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07"/>
  <workbookPr updateLinks="never" hidePivotFieldList="1"/>
  <mc:AlternateContent xmlns:mc="http://schemas.openxmlformats.org/markup-compatibility/2006">
    <mc:Choice Requires="x15">
      <x15ac:absPath xmlns:x15ac="http://schemas.microsoft.com/office/spreadsheetml/2010/11/ac" url="K:\SG Clean Energy\CE Projects\GHG Inventories\06 MAPC GHG Tool\02 GHG Tool\"/>
    </mc:Choice>
  </mc:AlternateContent>
  <xr:revisionPtr revIDLastSave="0" documentId="8_{1FA7241B-EF58-4815-AFE6-8DEDD1419ACA}" xr6:coauthVersionLast="45" xr6:coauthVersionMax="45" xr10:uidLastSave="{00000000-0000-0000-0000-000000000000}"/>
  <bookViews>
    <workbookView xWindow="-27810" yWindow="-5460" windowWidth="27630" windowHeight="16125" tabRatio="821" firstSheet="5" activeTab="5" xr2:uid="{00000000-000D-0000-FFFF-FFFF00000000}"/>
  </bookViews>
  <sheets>
    <sheet name="Introduction" sheetId="31" r:id="rId1"/>
    <sheet name="Inputs" sheetId="56" r:id="rId2"/>
    <sheet name="Log Of Edits" sheetId="65" r:id="rId3"/>
    <sheet name="Additional Inputs" sheetId="66" r:id="rId4"/>
    <sheet name="Adjust Inventory Year" sheetId="64" r:id="rId5"/>
    <sheet name="All Emissions - Summary" sheetId="46" r:id="rId6"/>
    <sheet name="Multi-Year Emissions Trend" sheetId="63" r:id="rId7"/>
    <sheet name="Report Charts" sheetId="55" r:id="rId8"/>
    <sheet name="Drop-Downs" sheetId="59" state="hidden" r:id="rId9"/>
    <sheet name="Emission Factors" sheetId="24" r:id="rId10"/>
    <sheet name="Stationary Energy - Summary" sheetId="25" r:id="rId11"/>
    <sheet name="Stationary Energy - Buildings" sheetId="1" r:id="rId12"/>
    <sheet name="Stationary Energy - Off Road" sheetId="16" r:id="rId13"/>
    <sheet name="Stationary Energy - E. Indus." sheetId="62" r:id="rId14"/>
    <sheet name="Stationary Energy - Propane" sheetId="67" r:id="rId15"/>
    <sheet name="Transportation - Summary" sheetId="34" r:id="rId16"/>
    <sheet name="Transportation - On Road" sheetId="4" r:id="rId17"/>
    <sheet name="Transportation - Rail" sheetId="52" r:id="rId18"/>
    <sheet name="Waste - Summary" sheetId="54" r:id="rId19"/>
    <sheet name="Waste-Solid Waste Disposal" sheetId="51" r:id="rId20"/>
    <sheet name="Waste-Biological Treatment" sheetId="61" r:id="rId21"/>
    <sheet name="Waste-Incineration" sheetId="49" r:id="rId22"/>
    <sheet name="Waste-Wastewater" sheetId="11" r:id="rId23"/>
  </sheets>
  <externalReferences>
    <externalReference r:id="rId24"/>
  </externalReferences>
  <definedNames>
    <definedName name="_xlnm._FilterDatabase" localSheetId="9" hidden="1">'Emission Factors'!$B$136:$E$136</definedName>
    <definedName name="_xlnm._FilterDatabase" localSheetId="1" hidden="1">Inputs!$B$27:$C$27</definedName>
    <definedName name="_xlnm._FilterDatabase" localSheetId="11" hidden="1">Inputs!$B$69:$C$69</definedName>
    <definedName name="_xlnm._FilterDatabase" localSheetId="13" hidden="1">'Stationary Energy - E. Indus.'!$B$14:$F$14</definedName>
    <definedName name="Bacteria" localSheetId="6">#REF!</definedName>
    <definedName name="Bacteria" localSheetId="13">#REF!</definedName>
    <definedName name="Bacteria" localSheetId="20">#REF!</definedName>
    <definedName name="Bacteria">#REF!</definedName>
    <definedName name="Bacterias" localSheetId="6">#REF!</definedName>
    <definedName name="Bacterias" localSheetId="13">#REF!</definedName>
    <definedName name="Bacterias" localSheetId="20">#REF!</definedName>
    <definedName name="Bacterias">#REF!</definedName>
    <definedName name="Denitrification" localSheetId="6">#REF!</definedName>
    <definedName name="Denitrification" localSheetId="13">#REF!</definedName>
    <definedName name="Denitrification" localSheetId="20">#REF!</definedName>
    <definedName name="Denitrification">#REF!</definedName>
    <definedName name="Denitrifications" localSheetId="6">#REF!</definedName>
    <definedName name="Denitrifications" localSheetId="13">#REF!</definedName>
    <definedName name="Denitrifications" localSheetId="20">#REF!</definedName>
    <definedName name="Denitrifications">#REF!</definedName>
    <definedName name="Equipment">'[1]RF-FA Default Emission Rates'!$E$96:$E$101</definedName>
    <definedName name="Question_1" localSheetId="6">#REF!</definedName>
    <definedName name="Question_1" localSheetId="13">#REF!</definedName>
    <definedName name="Question_1" localSheetId="20">#REF!</definedName>
    <definedName name="Question_1">#REF!</definedName>
    <definedName name="Question_2" localSheetId="6">#REF!</definedName>
    <definedName name="Question_2" localSheetId="13">#REF!</definedName>
    <definedName name="Question_2" localSheetId="20">#REF!</definedName>
    <definedName name="Question_2">#REF!</definedName>
    <definedName name="Question_2_on_this_sheet" localSheetId="6">#REF!</definedName>
    <definedName name="Question_2_on_this_sheet" localSheetId="13">#REF!</definedName>
    <definedName name="Question_2_on_this_sheet" localSheetId="20">#REF!</definedName>
    <definedName name="Question_2_on_this_sheet">#REF!</definedName>
    <definedName name="Question_on_this_sheet" localSheetId="6">#REF!</definedName>
    <definedName name="Question_on_this_sheet" localSheetId="13">#REF!</definedName>
    <definedName name="Question_on_this_sheet" localSheetId="20">#REF!</definedName>
    <definedName name="Question_on_this_sheet">#REF!</definedName>
    <definedName name="Question1" localSheetId="6">#REF!</definedName>
    <definedName name="Question1" localSheetId="13">#REF!</definedName>
    <definedName name="Question1" localSheetId="20">#REF!</definedName>
    <definedName name="Question1">#REF!</definedName>
    <definedName name="Question1onThisSheet" localSheetId="6">#REF!</definedName>
    <definedName name="Question1onThisSheet" localSheetId="13">#REF!</definedName>
    <definedName name="Question1onThisSheet" localSheetId="20">#REF!</definedName>
    <definedName name="Question1onThisSheet">#REF!</definedName>
    <definedName name="Question2" localSheetId="6">#REF!</definedName>
    <definedName name="Question2" localSheetId="13">#REF!</definedName>
    <definedName name="Question2" localSheetId="20">#REF!</definedName>
    <definedName name="Question2">#REF!</definedName>
    <definedName name="QuestiononThisSheet" localSheetId="6">#REF!</definedName>
    <definedName name="QuestiononThisSheet" localSheetId="13">#REF!</definedName>
    <definedName name="QuestiononThisSheet" localSheetId="20">#REF!</definedName>
    <definedName name="QuestiononThisSheet">#REF!</definedName>
  </definedNames>
  <calcPr calcId="191028" iterate="1" iterateCount="1"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6" i="46" l="1"/>
  <c r="E145" i="46"/>
  <c r="E144" i="46"/>
  <c r="E143" i="46"/>
  <c r="E142" i="46"/>
  <c r="E141" i="46"/>
  <c r="E140" i="46"/>
  <c r="E139" i="46"/>
  <c r="E135" i="46"/>
  <c r="E136" i="46"/>
  <c r="E137" i="46"/>
  <c r="E138" i="46"/>
  <c r="E134" i="46"/>
  <c r="C304" i="56"/>
  <c r="C15" i="67"/>
  <c r="H15" i="67" s="1"/>
  <c r="D108" i="46" s="1"/>
  <c r="C14" i="67"/>
  <c r="H14" i="67" s="1"/>
  <c r="D104" i="46" s="1"/>
  <c r="D112" i="46" s="1"/>
  <c r="U18" i="25"/>
  <c r="E23" i="67"/>
  <c r="C23" i="67"/>
  <c r="D23" i="67"/>
  <c r="C16" i="67"/>
  <c r="H16" i="67" s="1"/>
  <c r="C17" i="67"/>
  <c r="H17" i="67" s="1"/>
  <c r="F40" i="1"/>
  <c r="F16" i="67" l="1"/>
  <c r="E16" i="67"/>
  <c r="D16" i="67"/>
  <c r="U23" i="25"/>
  <c r="F15" i="67"/>
  <c r="X23" i="25" s="1"/>
  <c r="E15" i="67"/>
  <c r="W23" i="25" s="1"/>
  <c r="G80" i="46" s="1"/>
  <c r="D15" i="67"/>
  <c r="V23" i="25" s="1"/>
  <c r="F80" i="46" s="1"/>
  <c r="U15" i="25"/>
  <c r="F14" i="67"/>
  <c r="E14" i="67"/>
  <c r="D14" i="67"/>
  <c r="F17" i="67"/>
  <c r="E17" i="67"/>
  <c r="D17" i="67"/>
  <c r="G14" i="67"/>
  <c r="G15" i="67"/>
  <c r="J12" i="16"/>
  <c r="X30" i="25" l="1"/>
  <c r="H80" i="46"/>
  <c r="V30" i="25"/>
  <c r="W30" i="25"/>
  <c r="U30" i="25"/>
  <c r="I80" i="46"/>
  <c r="V15" i="25"/>
  <c r="V18" i="25"/>
  <c r="W15" i="25"/>
  <c r="W18" i="25"/>
  <c r="X15" i="25"/>
  <c r="X18" i="25"/>
  <c r="G16" i="67"/>
  <c r="G17" i="67"/>
  <c r="D27" i="1"/>
  <c r="C60" i="4"/>
  <c r="C59" i="4"/>
  <c r="M88" i="4"/>
  <c r="K88" i="4"/>
  <c r="G88" i="4"/>
  <c r="C88" i="4"/>
  <c r="F49" i="46" l="1"/>
  <c r="E108" i="46"/>
  <c r="AA15" i="25"/>
  <c r="H74" i="46"/>
  <c r="Z15" i="25"/>
  <c r="G74" i="46"/>
  <c r="Y15" i="25"/>
  <c r="F74" i="46"/>
  <c r="I74" i="46" s="1"/>
  <c r="F131" i="24"/>
  <c r="F59" i="4" s="1"/>
  <c r="E131" i="24"/>
  <c r="E59" i="4" s="1"/>
  <c r="D131" i="24"/>
  <c r="F130" i="24"/>
  <c r="F60" i="4" s="1"/>
  <c r="E130" i="24"/>
  <c r="E60" i="4" s="1"/>
  <c r="D130" i="24"/>
  <c r="D60" i="4" s="1"/>
  <c r="C126" i="24"/>
  <c r="B126" i="24"/>
  <c r="F12" i="24"/>
  <c r="E12" i="24"/>
  <c r="D12" i="24"/>
  <c r="C10" i="24"/>
  <c r="F43" i="46" l="1"/>
  <c r="E104" i="46"/>
  <c r="E112" i="46" s="1"/>
  <c r="G60" i="4"/>
  <c r="J88" i="4"/>
  <c r="E88" i="4"/>
  <c r="F88" i="4"/>
  <c r="H88" i="4"/>
  <c r="D88" i="4"/>
  <c r="D59" i="4"/>
  <c r="G59" i="4" s="1"/>
  <c r="I88" i="4"/>
  <c r="D86" i="64"/>
  <c r="E133" i="24" s="1"/>
  <c r="E20" i="46" l="1"/>
  <c r="C27" i="1"/>
  <c r="C35" i="1" l="1"/>
  <c r="D35" i="1" s="1"/>
  <c r="C49" i="24"/>
  <c r="F68" i="24"/>
  <c r="E33" i="24"/>
  <c r="D31" i="24"/>
  <c r="D32" i="24"/>
  <c r="D30" i="24"/>
  <c r="F35" i="1" l="1"/>
  <c r="G35" i="1"/>
  <c r="E35" i="1"/>
  <c r="D25" i="11"/>
  <c r="D31" i="51"/>
  <c r="D30" i="51"/>
  <c r="D28" i="51"/>
  <c r="D27" i="51"/>
  <c r="D26" i="51"/>
  <c r="D65" i="4"/>
  <c r="D66" i="4"/>
  <c r="D67" i="4"/>
  <c r="D68" i="4"/>
  <c r="D69" i="4"/>
  <c r="D70" i="4"/>
  <c r="D64" i="4"/>
  <c r="C65" i="4"/>
  <c r="C66" i="4"/>
  <c r="C67" i="4"/>
  <c r="C68" i="4"/>
  <c r="C69" i="4"/>
  <c r="C70" i="4"/>
  <c r="C64" i="4"/>
  <c r="B66" i="4"/>
  <c r="B67" i="4"/>
  <c r="B68" i="4"/>
  <c r="B69" i="4"/>
  <c r="B70" i="4"/>
  <c r="B65" i="4"/>
  <c r="B64" i="4"/>
  <c r="E211" i="1"/>
  <c r="C211" i="1"/>
  <c r="B211" i="1"/>
  <c r="C115" i="24"/>
  <c r="C102" i="24"/>
  <c r="C103" i="24"/>
  <c r="C104" i="24"/>
  <c r="C105" i="24"/>
  <c r="C106" i="24"/>
  <c r="C107" i="24"/>
  <c r="C108" i="24"/>
  <c r="C109" i="24"/>
  <c r="C110" i="24"/>
  <c r="C111" i="24"/>
  <c r="C112" i="24"/>
  <c r="C113" i="24"/>
  <c r="C114" i="24"/>
  <c r="C101" i="24"/>
  <c r="C99" i="24"/>
  <c r="C98" i="24"/>
  <c r="C96" i="24"/>
  <c r="C76" i="24"/>
  <c r="C77" i="24"/>
  <c r="C78" i="24"/>
  <c r="C79" i="24"/>
  <c r="C80" i="24"/>
  <c r="C81" i="24"/>
  <c r="C82" i="24"/>
  <c r="C83" i="24"/>
  <c r="C84" i="24"/>
  <c r="C85" i="24"/>
  <c r="C86" i="24"/>
  <c r="C87" i="24"/>
  <c r="C88" i="24"/>
  <c r="C89" i="24"/>
  <c r="C90" i="24"/>
  <c r="C91" i="24"/>
  <c r="C92" i="24"/>
  <c r="C93" i="24"/>
  <c r="C94" i="24"/>
  <c r="C95" i="24"/>
  <c r="C75" i="24"/>
  <c r="C74" i="24"/>
  <c r="C50" i="24"/>
  <c r="C48" i="24"/>
  <c r="H35" i="1" l="1"/>
  <c r="F38" i="24"/>
  <c r="C51" i="24"/>
  <c r="F43" i="24"/>
  <c r="C52" i="24"/>
  <c r="C24" i="52"/>
  <c r="C23" i="52"/>
  <c r="C22" i="52"/>
  <c r="C21" i="52"/>
  <c r="C20" i="52"/>
  <c r="C19" i="52"/>
  <c r="C79" i="4"/>
  <c r="C78" i="4"/>
  <c r="C77" i="4"/>
  <c r="F79" i="4"/>
  <c r="F77" i="4"/>
  <c r="K79" i="4"/>
  <c r="F243" i="56"/>
  <c r="N78" i="4" s="1"/>
  <c r="O78" i="4" s="1"/>
  <c r="F242" i="56"/>
  <c r="N77" i="4" s="1"/>
  <c r="O77" i="4" s="1"/>
  <c r="D23" i="52"/>
  <c r="D15" i="16"/>
  <c r="F15" i="16" s="1"/>
  <c r="H15" i="16" s="1"/>
  <c r="D14" i="16"/>
  <c r="F14" i="16" s="1"/>
  <c r="H14" i="16" s="1"/>
  <c r="D13" i="16"/>
  <c r="F13" i="16" s="1"/>
  <c r="H13" i="16" s="1"/>
  <c r="D12" i="16"/>
  <c r="F12" i="16" s="1"/>
  <c r="H12" i="16" s="1"/>
  <c r="C15" i="16"/>
  <c r="E15" i="16" s="1"/>
  <c r="G15" i="16" s="1"/>
  <c r="C14" i="16"/>
  <c r="E14" i="16" s="1"/>
  <c r="G14" i="16" s="1"/>
  <c r="C13" i="16"/>
  <c r="E13" i="16" s="1"/>
  <c r="G13" i="16" s="1"/>
  <c r="C12" i="16"/>
  <c r="E12" i="16" s="1"/>
  <c r="G12" i="16" s="1"/>
  <c r="E23" i="52" l="1"/>
  <c r="C6" i="64"/>
  <c r="C86" i="4" l="1"/>
  <c r="E86" i="4" s="1"/>
  <c r="C87" i="4"/>
  <c r="E87" i="4" s="1"/>
  <c r="C85" i="4"/>
  <c r="F85" i="4" l="1"/>
  <c r="C89" i="4"/>
  <c r="D85" i="4"/>
  <c r="D87" i="4"/>
  <c r="E85" i="4"/>
  <c r="E89" i="4" s="1"/>
  <c r="F87" i="4"/>
  <c r="F86" i="4"/>
  <c r="D86" i="4"/>
  <c r="F24" i="52"/>
  <c r="K23" i="52"/>
  <c r="L23" i="52" s="1"/>
  <c r="M23" i="52" s="1"/>
  <c r="E252" i="56"/>
  <c r="K22" i="52" s="1"/>
  <c r="L22" i="52" s="1"/>
  <c r="E251" i="56"/>
  <c r="K21" i="52" s="1"/>
  <c r="L21" i="52" s="1"/>
  <c r="E250" i="56"/>
  <c r="K20" i="52" s="1"/>
  <c r="L20" i="52" s="1"/>
  <c r="E249" i="56"/>
  <c r="K19" i="52" s="1"/>
  <c r="L19" i="52" s="1"/>
  <c r="D89" i="4" l="1"/>
  <c r="F89" i="4"/>
  <c r="K25" i="52"/>
  <c r="D226" i="56"/>
  <c r="C226" i="56"/>
  <c r="D217" i="56"/>
  <c r="C217" i="56"/>
  <c r="J15" i="16" l="1"/>
  <c r="J14" i="16"/>
  <c r="J13" i="16"/>
  <c r="D20" i="46" l="1"/>
  <c r="G21" i="63" l="1"/>
  <c r="D140" i="46"/>
  <c r="F22" i="63"/>
  <c r="E22" i="63"/>
  <c r="D22" i="63"/>
  <c r="D10" i="24" l="1"/>
  <c r="I27" i="1" s="1"/>
  <c r="E19" i="46" s="1"/>
  <c r="E18" i="1" l="1"/>
  <c r="D21" i="25" s="1"/>
  <c r="E13" i="1"/>
  <c r="I13" i="1" s="1"/>
  <c r="F13" i="25" s="1"/>
  <c r="D63" i="56"/>
  <c r="D13" i="25" l="1"/>
  <c r="I18" i="1"/>
  <c r="F21" i="25" s="1"/>
  <c r="F16" i="63"/>
  <c r="E16" i="63"/>
  <c r="C18" i="11"/>
  <c r="C17" i="11"/>
  <c r="C19" i="11" l="1"/>
  <c r="D24" i="11" s="1"/>
  <c r="C20" i="11"/>
  <c r="C69" i="11" s="1"/>
  <c r="C5" i="46"/>
  <c r="E35" i="63" l="1"/>
  <c r="K15" i="16"/>
  <c r="L15" i="16" s="1"/>
  <c r="K13" i="16"/>
  <c r="L13" i="16" s="1"/>
  <c r="B11" i="62"/>
  <c r="C11" i="62" s="1"/>
  <c r="E34" i="25" s="1"/>
  <c r="E118" i="46" s="1"/>
  <c r="F35" i="63" l="1"/>
  <c r="D35" i="63"/>
  <c r="F25" i="52"/>
  <c r="M86" i="4"/>
  <c r="M87" i="4"/>
  <c r="M85" i="4"/>
  <c r="K86" i="4"/>
  <c r="K87" i="4"/>
  <c r="K85" i="4"/>
  <c r="G86" i="4"/>
  <c r="G87" i="4"/>
  <c r="G85" i="4"/>
  <c r="G89" i="4" s="1"/>
  <c r="D79" i="4"/>
  <c r="D78" i="4"/>
  <c r="D77" i="4"/>
  <c r="E77" i="4" s="1"/>
  <c r="P77" i="4" s="1"/>
  <c r="C94" i="4" s="1"/>
  <c r="M89" i="4" l="1"/>
  <c r="K89" i="4"/>
  <c r="D16" i="63"/>
  <c r="G77" i="4"/>
  <c r="J87" i="4" l="1"/>
  <c r="I87" i="4"/>
  <c r="H87" i="4"/>
  <c r="J86" i="4"/>
  <c r="I86" i="4"/>
  <c r="H86" i="4"/>
  <c r="H85" i="4"/>
  <c r="J85" i="4"/>
  <c r="I85" i="4"/>
  <c r="J77" i="4"/>
  <c r="I77" i="4"/>
  <c r="H77" i="4"/>
  <c r="H89" i="4" l="1"/>
  <c r="J89" i="4"/>
  <c r="I89" i="4"/>
  <c r="J50" i="4"/>
  <c r="G39" i="4"/>
  <c r="C37" i="4" l="1"/>
  <c r="D20" i="52"/>
  <c r="D21" i="52"/>
  <c r="D22" i="52"/>
  <c r="D24" i="52"/>
  <c r="D19" i="52"/>
  <c r="L25" i="52" l="1"/>
  <c r="E20" i="52" l="1"/>
  <c r="M20" i="52" s="1"/>
  <c r="E21" i="52"/>
  <c r="M21" i="52" s="1"/>
  <c r="C32" i="52" s="1"/>
  <c r="E22" i="52"/>
  <c r="M22" i="52" s="1"/>
  <c r="C31" i="52" l="1"/>
  <c r="C33" i="52"/>
  <c r="C65" i="11" l="1"/>
  <c r="C68" i="11" s="1"/>
  <c r="C71" i="11" s="1"/>
  <c r="C62" i="11"/>
  <c r="C67" i="11" s="1"/>
  <c r="D12" i="11" l="1"/>
  <c r="C70" i="11"/>
  <c r="D25" i="51"/>
  <c r="C12" i="11" l="1"/>
  <c r="I41" i="1"/>
  <c r="I42" i="1"/>
  <c r="I43" i="1"/>
  <c r="I44" i="1"/>
  <c r="I40" i="1"/>
  <c r="H44" i="1"/>
  <c r="H43" i="1"/>
  <c r="H42" i="1"/>
  <c r="H41" i="1"/>
  <c r="H40" i="1"/>
  <c r="C13" i="11" l="1"/>
  <c r="G14" i="54" s="1"/>
  <c r="F97" i="46" s="1"/>
  <c r="AA28" i="25" l="1"/>
  <c r="AA29" i="25"/>
  <c r="AA26" i="25"/>
  <c r="D55" i="56" l="1"/>
  <c r="C58" i="24"/>
  <c r="G58" i="24" s="1"/>
  <c r="C59" i="24"/>
  <c r="G59" i="24" s="1"/>
  <c r="C60" i="24"/>
  <c r="C57" i="24"/>
  <c r="G57" i="24" s="1"/>
  <c r="H60" i="24"/>
  <c r="H59" i="24"/>
  <c r="H58" i="24"/>
  <c r="H57" i="24"/>
  <c r="D60" i="24" l="1"/>
  <c r="G60" i="24"/>
  <c r="D17" i="1"/>
  <c r="D16" i="1" s="1"/>
  <c r="K57" i="24"/>
  <c r="K60" i="24"/>
  <c r="K59" i="24"/>
  <c r="K58" i="24"/>
  <c r="D52" i="51"/>
  <c r="D53" i="51"/>
  <c r="D54" i="51"/>
  <c r="D55" i="51"/>
  <c r="D56" i="51"/>
  <c r="D51" i="51"/>
  <c r="E56" i="51"/>
  <c r="E55" i="51"/>
  <c r="E54" i="51"/>
  <c r="E53" i="51"/>
  <c r="E52" i="51"/>
  <c r="E51" i="51"/>
  <c r="D11" i="61"/>
  <c r="C11" i="61"/>
  <c r="D20" i="51"/>
  <c r="D19" i="51"/>
  <c r="F19" i="51" s="1"/>
  <c r="C20" i="51"/>
  <c r="C19" i="51"/>
  <c r="D304" i="56"/>
  <c r="J51" i="4"/>
  <c r="J52" i="4"/>
  <c r="J53" i="4"/>
  <c r="J54" i="4"/>
  <c r="G51" i="4"/>
  <c r="G52" i="4"/>
  <c r="G53" i="4"/>
  <c r="G54" i="4"/>
  <c r="G50" i="4"/>
  <c r="D51" i="4"/>
  <c r="D52" i="4"/>
  <c r="D53" i="4"/>
  <c r="D54" i="4"/>
  <c r="D50" i="4"/>
  <c r="C51" i="4"/>
  <c r="C52" i="4"/>
  <c r="C53" i="4"/>
  <c r="C54" i="4"/>
  <c r="C50" i="4"/>
  <c r="C48" i="4"/>
  <c r="J40" i="4"/>
  <c r="J41" i="4"/>
  <c r="J42" i="4"/>
  <c r="J43" i="4"/>
  <c r="J39" i="4"/>
  <c r="G40" i="4"/>
  <c r="G41" i="4"/>
  <c r="G42" i="4"/>
  <c r="G43" i="4"/>
  <c r="D40" i="4"/>
  <c r="D41" i="4"/>
  <c r="D42" i="4"/>
  <c r="D43" i="4"/>
  <c r="D39" i="4"/>
  <c r="C40" i="4"/>
  <c r="C41" i="4"/>
  <c r="C42" i="4"/>
  <c r="C43" i="4"/>
  <c r="C39" i="4"/>
  <c r="D71" i="4"/>
  <c r="K54" i="4" s="1"/>
  <c r="F51" i="51" l="1"/>
  <c r="E54" i="49" s="1"/>
  <c r="F52" i="51"/>
  <c r="E55" i="49" s="1"/>
  <c r="F53" i="51"/>
  <c r="E25" i="49" s="1"/>
  <c r="F54" i="51"/>
  <c r="E42" i="49" s="1"/>
  <c r="F55" i="51"/>
  <c r="E43" i="49" s="1"/>
  <c r="F56" i="51"/>
  <c r="E59" i="49" s="1"/>
  <c r="C38" i="4"/>
  <c r="D21" i="51"/>
  <c r="B11" i="61" s="1"/>
  <c r="C16" i="61" s="1"/>
  <c r="F20" i="51"/>
  <c r="F21" i="51" s="1"/>
  <c r="E41" i="49"/>
  <c r="E58" i="49"/>
  <c r="E39" i="49"/>
  <c r="D45" i="51"/>
  <c r="E27" i="49"/>
  <c r="E44" i="49"/>
  <c r="E40" i="49"/>
  <c r="E57" i="49"/>
  <c r="E28" i="49"/>
  <c r="E23" i="49"/>
  <c r="E26" i="49"/>
  <c r="E56" i="49"/>
  <c r="E24" i="49"/>
  <c r="E39" i="4" l="1"/>
  <c r="E43" i="4"/>
  <c r="E42" i="4"/>
  <c r="E41" i="4"/>
  <c r="E40" i="4"/>
  <c r="I16" i="61"/>
  <c r="F16" i="61"/>
  <c r="F41" i="4"/>
  <c r="F12" i="54"/>
  <c r="E12" i="54"/>
  <c r="C17" i="61"/>
  <c r="F39" i="4" l="1"/>
  <c r="H39" i="4" s="1"/>
  <c r="F17" i="61"/>
  <c r="H17" i="61" s="1"/>
  <c r="I17" i="61"/>
  <c r="H16" i="61"/>
  <c r="O15" i="16"/>
  <c r="N15" i="16"/>
  <c r="N18" i="16" s="1"/>
  <c r="S28" i="25" s="1"/>
  <c r="K12" i="16"/>
  <c r="L12" i="16" s="1"/>
  <c r="K14" i="16"/>
  <c r="L14" i="16" s="1"/>
  <c r="O18" i="16" l="1"/>
  <c r="T28" i="25" s="1"/>
  <c r="Z28" i="25" s="1"/>
  <c r="S29" i="25"/>
  <c r="F85" i="46" s="1"/>
  <c r="Y28" i="25"/>
  <c r="H18" i="61"/>
  <c r="G12" i="54" s="1"/>
  <c r="I18" i="61"/>
  <c r="I12" i="54" s="1"/>
  <c r="E16" i="1"/>
  <c r="E20" i="1" s="1"/>
  <c r="C223" i="1" s="1"/>
  <c r="E11" i="1"/>
  <c r="E15" i="1" s="1"/>
  <c r="C222" i="1" s="1"/>
  <c r="E222" i="1" s="1"/>
  <c r="C63" i="56"/>
  <c r="D50" i="56"/>
  <c r="D56" i="56" s="1"/>
  <c r="D34" i="56"/>
  <c r="C34" i="56"/>
  <c r="D18" i="1"/>
  <c r="D13" i="1"/>
  <c r="G13" i="25" s="1"/>
  <c r="Y29" i="25" l="1"/>
  <c r="H95" i="46"/>
  <c r="F95" i="46"/>
  <c r="G21" i="25"/>
  <c r="C121" i="24"/>
  <c r="D11" i="25"/>
  <c r="D12" i="1"/>
  <c r="J57" i="24"/>
  <c r="J58" i="24"/>
  <c r="J60" i="24"/>
  <c r="J59" i="24"/>
  <c r="D11" i="1" l="1"/>
  <c r="C120" i="24" s="1"/>
  <c r="I95" i="46"/>
  <c r="F64" i="46" s="1"/>
  <c r="E21" i="1"/>
  <c r="G34" i="46" l="1"/>
  <c r="D34" i="46"/>
  <c r="D20" i="1"/>
  <c r="G32" i="63" l="1"/>
  <c r="D144" i="46"/>
  <c r="H80" i="1"/>
  <c r="H81" i="1"/>
  <c r="H82" i="1"/>
  <c r="H83" i="1"/>
  <c r="H84" i="1"/>
  <c r="H85" i="1"/>
  <c r="H86" i="1"/>
  <c r="H87" i="1"/>
  <c r="H88" i="1"/>
  <c r="H89" i="1"/>
  <c r="H90" i="1"/>
  <c r="H91" i="1"/>
  <c r="H92" i="1"/>
  <c r="H93" i="1"/>
  <c r="H94" i="1"/>
  <c r="H95" i="1"/>
  <c r="H96" i="1"/>
  <c r="H97" i="1"/>
  <c r="H98" i="1"/>
  <c r="H99" i="1"/>
  <c r="H79" i="1"/>
  <c r="F109" i="1" l="1"/>
  <c r="F110" i="1"/>
  <c r="F111" i="1"/>
  <c r="F112" i="1"/>
  <c r="F113" i="1"/>
  <c r="F114" i="1"/>
  <c r="F115" i="1"/>
  <c r="F116" i="1"/>
  <c r="F117" i="1"/>
  <c r="F118" i="1"/>
  <c r="F119" i="1"/>
  <c r="C79" i="1" s="1"/>
  <c r="F120" i="1"/>
  <c r="C80" i="1" s="1"/>
  <c r="F121" i="1"/>
  <c r="C81" i="1" s="1"/>
  <c r="F122" i="1"/>
  <c r="C82" i="1" s="1"/>
  <c r="F123" i="1"/>
  <c r="C83" i="1" s="1"/>
  <c r="F124" i="1"/>
  <c r="C84" i="1" s="1"/>
  <c r="F125" i="1"/>
  <c r="C85" i="1" s="1"/>
  <c r="F126" i="1"/>
  <c r="C86" i="1" s="1"/>
  <c r="F127" i="1"/>
  <c r="C87" i="1" s="1"/>
  <c r="F128" i="1"/>
  <c r="C88" i="1" s="1"/>
  <c r="F129" i="1"/>
  <c r="C89" i="1" s="1"/>
  <c r="F130" i="1"/>
  <c r="C90" i="1" s="1"/>
  <c r="F131" i="1"/>
  <c r="C91" i="1" s="1"/>
  <c r="F132" i="1"/>
  <c r="C92" i="1" s="1"/>
  <c r="F133" i="1"/>
  <c r="C93" i="1" s="1"/>
  <c r="F134" i="1"/>
  <c r="C94" i="1" s="1"/>
  <c r="F135" i="1"/>
  <c r="C95" i="1" s="1"/>
  <c r="F136" i="1"/>
  <c r="C96" i="1" s="1"/>
  <c r="F137" i="1"/>
  <c r="C97" i="1" s="1"/>
  <c r="F138" i="1"/>
  <c r="C98" i="1" s="1"/>
  <c r="F139" i="1"/>
  <c r="C99" i="1" s="1"/>
  <c r="F140" i="1"/>
  <c r="F141" i="1"/>
  <c r="F142" i="1"/>
  <c r="F143" i="1"/>
  <c r="F144" i="1"/>
  <c r="F145" i="1"/>
  <c r="F146" i="1"/>
  <c r="F147" i="1"/>
  <c r="C58" i="1" s="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C57" i="1" s="1"/>
  <c r="F186" i="1"/>
  <c r="C61" i="1" s="1"/>
  <c r="F187" i="1"/>
  <c r="C60" i="1" s="1"/>
  <c r="F188" i="1"/>
  <c r="F189" i="1"/>
  <c r="F190" i="1"/>
  <c r="F191" i="1"/>
  <c r="F192" i="1"/>
  <c r="F193" i="1"/>
  <c r="F194" i="1"/>
  <c r="C59" i="1" s="1"/>
  <c r="F195" i="1"/>
  <c r="F196" i="1"/>
  <c r="F197" i="1"/>
  <c r="C68" i="1" s="1"/>
  <c r="F198" i="1"/>
  <c r="F199" i="1"/>
  <c r="F200" i="1"/>
  <c r="C67" i="1" s="1"/>
  <c r="F201" i="1"/>
  <c r="F202" i="1"/>
  <c r="F203" i="1"/>
  <c r="F204" i="1"/>
  <c r="F205" i="1"/>
  <c r="F206" i="1"/>
  <c r="F108"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D58" i="1" s="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D57" i="1" s="1"/>
  <c r="E186" i="1"/>
  <c r="D61" i="1" s="1"/>
  <c r="E187" i="1"/>
  <c r="D60" i="1" s="1"/>
  <c r="E188" i="1"/>
  <c r="E189" i="1"/>
  <c r="E190" i="1"/>
  <c r="E191" i="1"/>
  <c r="E192" i="1"/>
  <c r="E193" i="1"/>
  <c r="E194" i="1"/>
  <c r="D59" i="1" s="1"/>
  <c r="E195" i="1"/>
  <c r="E196" i="1"/>
  <c r="E197" i="1"/>
  <c r="D68" i="1" s="1"/>
  <c r="E198" i="1"/>
  <c r="E199" i="1"/>
  <c r="E200" i="1"/>
  <c r="D67" i="1" s="1"/>
  <c r="E201" i="1"/>
  <c r="E202" i="1"/>
  <c r="E203" i="1"/>
  <c r="E204" i="1"/>
  <c r="E205" i="1"/>
  <c r="E206" i="1"/>
  <c r="C64" i="1" l="1"/>
  <c r="D62" i="1"/>
  <c r="D64" i="1"/>
  <c r="D69" i="1"/>
  <c r="D71" i="1"/>
  <c r="J96" i="1"/>
  <c r="I96" i="1" s="1"/>
  <c r="D96" i="1"/>
  <c r="J88" i="1"/>
  <c r="M88" i="1" s="1"/>
  <c r="D88" i="1"/>
  <c r="J80" i="1"/>
  <c r="L80" i="1" s="1"/>
  <c r="D80" i="1"/>
  <c r="C62" i="1"/>
  <c r="C66" i="1"/>
  <c r="C70" i="1"/>
  <c r="D63" i="1"/>
  <c r="J95" i="1"/>
  <c r="K95" i="1" s="1"/>
  <c r="D95" i="1"/>
  <c r="J87" i="1"/>
  <c r="M87" i="1" s="1"/>
  <c r="D87" i="1"/>
  <c r="J79" i="1"/>
  <c r="K79" i="1" s="1"/>
  <c r="D79" i="1"/>
  <c r="J85" i="1"/>
  <c r="L85" i="1" s="1"/>
  <c r="D85" i="1"/>
  <c r="J94" i="1"/>
  <c r="K94" i="1" s="1"/>
  <c r="D94" i="1"/>
  <c r="J86" i="1"/>
  <c r="K86" i="1" s="1"/>
  <c r="D86" i="1"/>
  <c r="C65" i="1"/>
  <c r="J93" i="1"/>
  <c r="M93" i="1" s="1"/>
  <c r="D93" i="1"/>
  <c r="D66" i="1"/>
  <c r="D70" i="1"/>
  <c r="J92" i="1"/>
  <c r="I92" i="1" s="1"/>
  <c r="D92" i="1"/>
  <c r="J84" i="1"/>
  <c r="K84" i="1" s="1"/>
  <c r="D84" i="1"/>
  <c r="C71" i="1"/>
  <c r="J99" i="1"/>
  <c r="M99" i="1" s="1"/>
  <c r="D99" i="1"/>
  <c r="J91" i="1"/>
  <c r="K91" i="1" s="1"/>
  <c r="D91" i="1"/>
  <c r="J83" i="1"/>
  <c r="K83" i="1" s="1"/>
  <c r="D83" i="1"/>
  <c r="C63" i="1"/>
  <c r="D65" i="1"/>
  <c r="J98" i="1"/>
  <c r="L98" i="1" s="1"/>
  <c r="D98" i="1"/>
  <c r="J90" i="1"/>
  <c r="I90" i="1" s="1"/>
  <c r="D90" i="1"/>
  <c r="J82" i="1"/>
  <c r="L82" i="1" s="1"/>
  <c r="D82" i="1"/>
  <c r="J97" i="1"/>
  <c r="I97" i="1" s="1"/>
  <c r="D97" i="1"/>
  <c r="J89" i="1"/>
  <c r="I89" i="1" s="1"/>
  <c r="D89" i="1"/>
  <c r="J81" i="1"/>
  <c r="L81" i="1" s="1"/>
  <c r="D81" i="1"/>
  <c r="C69" i="1"/>
  <c r="M79" i="1" l="1"/>
  <c r="M96" i="1"/>
  <c r="I79" i="1"/>
  <c r="L99" i="1"/>
  <c r="K89" i="1"/>
  <c r="L96" i="1"/>
  <c r="L89" i="1"/>
  <c r="M98" i="1"/>
  <c r="L79" i="1"/>
  <c r="I80" i="1"/>
  <c r="I87" i="1"/>
  <c r="I86" i="1"/>
  <c r="I82" i="1"/>
  <c r="K99" i="1"/>
  <c r="M89" i="1"/>
  <c r="K93" i="1"/>
  <c r="I93" i="1"/>
  <c r="L90" i="1"/>
  <c r="M81" i="1"/>
  <c r="M91" i="1"/>
  <c r="K81" i="1"/>
  <c r="K90" i="1"/>
  <c r="I91" i="1"/>
  <c r="L93" i="1"/>
  <c r="L97" i="1"/>
  <c r="L84" i="1"/>
  <c r="K92" i="1"/>
  <c r="M92" i="1"/>
  <c r="I81" i="1"/>
  <c r="L88" i="1"/>
  <c r="K98" i="1"/>
  <c r="M85" i="1"/>
  <c r="I94" i="1"/>
  <c r="I99" i="1"/>
  <c r="I88" i="1"/>
  <c r="I98" i="1"/>
  <c r="M95" i="1"/>
  <c r="L91" i="1"/>
  <c r="J100" i="1"/>
  <c r="D34" i="1" s="1"/>
  <c r="L92" i="1"/>
  <c r="M90" i="1"/>
  <c r="I95" i="1"/>
  <c r="I85" i="1"/>
  <c r="K97" i="1"/>
  <c r="K88" i="1"/>
  <c r="L94" i="1"/>
  <c r="M94" i="1"/>
  <c r="K96" i="1"/>
  <c r="L95" i="1"/>
  <c r="K85" i="1"/>
  <c r="K80" i="1"/>
  <c r="M86" i="1"/>
  <c r="L87" i="1"/>
  <c r="L83" i="1"/>
  <c r="K87" i="1"/>
  <c r="M80" i="1"/>
  <c r="L86" i="1"/>
  <c r="M82" i="1"/>
  <c r="M83" i="1"/>
  <c r="K82" i="1"/>
  <c r="I83" i="1"/>
  <c r="M84" i="1"/>
  <c r="M97" i="1"/>
  <c r="I84" i="1"/>
  <c r="E68" i="1"/>
  <c r="E58" i="1"/>
  <c r="E61" i="1"/>
  <c r="E60" i="1"/>
  <c r="E59" i="1"/>
  <c r="E67" i="1"/>
  <c r="E69" i="1"/>
  <c r="E57" i="1"/>
  <c r="E65" i="1"/>
  <c r="E66" i="1"/>
  <c r="E71" i="1"/>
  <c r="E64" i="1"/>
  <c r="E70" i="1"/>
  <c r="E63" i="1"/>
  <c r="E62" i="1"/>
  <c r="K100" i="1" l="1"/>
  <c r="E34" i="1" s="1"/>
  <c r="M100" i="1"/>
  <c r="G34" i="1" s="1"/>
  <c r="L100" i="1"/>
  <c r="F34" i="1" s="1"/>
  <c r="I100" i="1"/>
  <c r="C34" i="1" s="1"/>
  <c r="D211" i="1"/>
  <c r="F211" i="1" s="1"/>
  <c r="D97" i="4" s="1"/>
  <c r="C217" i="1"/>
  <c r="E223" i="1"/>
  <c r="E229" i="1"/>
  <c r="E230" i="1"/>
  <c r="H34" i="1" l="1"/>
  <c r="D94" i="4"/>
  <c r="E94" i="4" s="1"/>
  <c r="D95" i="4"/>
  <c r="D32" i="52"/>
  <c r="D33" i="52"/>
  <c r="E33" i="52" s="1"/>
  <c r="D30" i="52"/>
  <c r="D31" i="52"/>
  <c r="E31" i="52" s="1"/>
  <c r="C224" i="1"/>
  <c r="E224" i="1" s="1"/>
  <c r="D217" i="1"/>
  <c r="E217" i="1" s="1"/>
  <c r="D218" i="1"/>
  <c r="D216" i="1"/>
  <c r="J63" i="1"/>
  <c r="J64" i="1"/>
  <c r="J65" i="1"/>
  <c r="K65" i="1" s="1"/>
  <c r="J66" i="1"/>
  <c r="K66" i="1" s="1"/>
  <c r="L66" i="1" s="1"/>
  <c r="J67" i="1"/>
  <c r="K67" i="1" s="1"/>
  <c r="J68" i="1"/>
  <c r="K68" i="1" s="1"/>
  <c r="J69" i="1"/>
  <c r="K69" i="1" s="1"/>
  <c r="L69" i="1" s="1"/>
  <c r="J70" i="1"/>
  <c r="K70" i="1" s="1"/>
  <c r="J71" i="1"/>
  <c r="K71" i="1" s="1"/>
  <c r="J62" i="1"/>
  <c r="K62" i="1" s="1"/>
  <c r="J61" i="1"/>
  <c r="J60" i="1"/>
  <c r="K60" i="1" s="1"/>
  <c r="J59" i="1"/>
  <c r="J58" i="1"/>
  <c r="J57" i="1"/>
  <c r="K57" i="1" s="1"/>
  <c r="I64" i="1"/>
  <c r="I63" i="1"/>
  <c r="I61" i="1"/>
  <c r="I59" i="1"/>
  <c r="I58" i="1"/>
  <c r="F64" i="1" l="1"/>
  <c r="F61" i="1"/>
  <c r="F59" i="1"/>
  <c r="F58" i="1"/>
  <c r="G58" i="1" s="1"/>
  <c r="K58" i="1" s="1"/>
  <c r="L67" i="1" l="1"/>
  <c r="L71" i="1"/>
  <c r="L68" i="1"/>
  <c r="L70" i="1"/>
  <c r="M66" i="1" l="1"/>
  <c r="N66" i="1"/>
  <c r="O66" i="1"/>
  <c r="L65" i="1"/>
  <c r="M71" i="1"/>
  <c r="O71" i="1"/>
  <c r="N71" i="1"/>
  <c r="M67" i="1"/>
  <c r="N67" i="1"/>
  <c r="O67" i="1"/>
  <c r="M68" i="1"/>
  <c r="O68" i="1"/>
  <c r="N68" i="1"/>
  <c r="M70" i="1"/>
  <c r="O70" i="1"/>
  <c r="N70" i="1"/>
  <c r="G61" i="1"/>
  <c r="K61" i="1" s="1"/>
  <c r="G63" i="1"/>
  <c r="L58" i="1"/>
  <c r="G64" i="1"/>
  <c r="G59" i="1"/>
  <c r="K59" i="1" s="1"/>
  <c r="L62" i="1"/>
  <c r="L60" i="1"/>
  <c r="K63" i="1" l="1"/>
  <c r="L63" i="1" s="1"/>
  <c r="K64" i="1"/>
  <c r="L64" i="1" s="1"/>
  <c r="L61" i="1"/>
  <c r="L57" i="1"/>
  <c r="M60" i="1"/>
  <c r="O60" i="1"/>
  <c r="N60" i="1"/>
  <c r="M69" i="1"/>
  <c r="O69" i="1"/>
  <c r="N69" i="1"/>
  <c r="M65" i="1"/>
  <c r="O65" i="1"/>
  <c r="N65" i="1"/>
  <c r="N58" i="1"/>
  <c r="O58" i="1"/>
  <c r="M58" i="1"/>
  <c r="M62" i="1"/>
  <c r="O62" i="1"/>
  <c r="N62" i="1"/>
  <c r="F41" i="1"/>
  <c r="F42" i="1"/>
  <c r="F43" i="1"/>
  <c r="F45" i="1"/>
  <c r="D44" i="1"/>
  <c r="D43" i="1"/>
  <c r="D42" i="1"/>
  <c r="D41" i="1"/>
  <c r="D40" i="1"/>
  <c r="C41" i="1"/>
  <c r="K72" i="1" l="1"/>
  <c r="C33" i="1" s="1"/>
  <c r="M61" i="1"/>
  <c r="O61" i="1"/>
  <c r="N61" i="1"/>
  <c r="O64" i="1"/>
  <c r="N64" i="1"/>
  <c r="M64" i="1"/>
  <c r="O63" i="1"/>
  <c r="N63" i="1"/>
  <c r="M63" i="1"/>
  <c r="L59" i="1"/>
  <c r="L72" i="1" s="1"/>
  <c r="N57" i="1"/>
  <c r="O57" i="1"/>
  <c r="M57" i="1"/>
  <c r="F44" i="1"/>
  <c r="E44" i="1" s="1"/>
  <c r="C46" i="1" l="1"/>
  <c r="C48" i="1" s="1"/>
  <c r="O24" i="25"/>
  <c r="O27" i="25" s="1"/>
  <c r="D109" i="46" s="1"/>
  <c r="D33" i="1"/>
  <c r="N59" i="1"/>
  <c r="N72" i="1" s="1"/>
  <c r="M59" i="1"/>
  <c r="M72" i="1" s="1"/>
  <c r="O59" i="1"/>
  <c r="G40" i="1" l="1"/>
  <c r="J40" i="1" s="1"/>
  <c r="G41" i="1"/>
  <c r="E33" i="1"/>
  <c r="P24" i="25" s="1"/>
  <c r="Y24" i="25" s="1"/>
  <c r="O72" i="1"/>
  <c r="G33" i="1" s="1"/>
  <c r="R24" i="25" s="1"/>
  <c r="F33" i="1"/>
  <c r="Q24" i="25" s="1"/>
  <c r="J41" i="1"/>
  <c r="K41" i="1" s="1"/>
  <c r="G43" i="1"/>
  <c r="J43" i="1" s="1"/>
  <c r="K43" i="1" s="1"/>
  <c r="G42" i="1"/>
  <c r="J42" i="1" s="1"/>
  <c r="K42" i="1" s="1"/>
  <c r="G44" i="1"/>
  <c r="J44" i="1" s="1"/>
  <c r="K44" i="1" s="1"/>
  <c r="R27" i="25" l="1"/>
  <c r="H81" i="46" s="1"/>
  <c r="AA24" i="25"/>
  <c r="P27" i="25"/>
  <c r="F81" i="46" s="1"/>
  <c r="H33" i="1"/>
  <c r="Z24" i="25"/>
  <c r="Q27" i="25"/>
  <c r="G81" i="46" s="1"/>
  <c r="J45" i="1"/>
  <c r="K40" i="1"/>
  <c r="K45" i="1" s="1"/>
  <c r="L42" i="1"/>
  <c r="N42" i="1"/>
  <c r="M42" i="1"/>
  <c r="L43" i="1"/>
  <c r="M43" i="1"/>
  <c r="N43" i="1"/>
  <c r="L44" i="1"/>
  <c r="M44" i="1"/>
  <c r="N44" i="1"/>
  <c r="N41" i="1"/>
  <c r="M41" i="1"/>
  <c r="L41" i="1"/>
  <c r="H68" i="24"/>
  <c r="F60" i="24"/>
  <c r="I81" i="46" l="1"/>
  <c r="E60" i="24"/>
  <c r="H4" i="59"/>
  <c r="M40" i="1"/>
  <c r="M45" i="1" s="1"/>
  <c r="N40" i="1"/>
  <c r="N45" i="1" s="1"/>
  <c r="L40" i="1"/>
  <c r="L45" i="1" s="1"/>
  <c r="D32" i="1"/>
  <c r="D36" i="1" s="1"/>
  <c r="C32" i="1"/>
  <c r="D33" i="24"/>
  <c r="I57" i="24"/>
  <c r="I58" i="24"/>
  <c r="I59" i="24"/>
  <c r="I60" i="24"/>
  <c r="O16" i="25" l="1"/>
  <c r="O30" i="25" s="1"/>
  <c r="C36" i="1"/>
  <c r="E32" i="24"/>
  <c r="E31" i="24"/>
  <c r="D68" i="24" s="1"/>
  <c r="I68" i="24" s="1"/>
  <c r="F18" i="1" s="1"/>
  <c r="H21" i="25" s="1"/>
  <c r="Y21" i="25" s="1"/>
  <c r="E30" i="24"/>
  <c r="L60" i="24"/>
  <c r="M60" i="24"/>
  <c r="N60" i="24"/>
  <c r="E32" i="1"/>
  <c r="F32" i="1"/>
  <c r="G32" i="1"/>
  <c r="O60" i="24" l="1"/>
  <c r="P60" i="24" s="1"/>
  <c r="H32" i="1"/>
  <c r="H36" i="1" s="1"/>
  <c r="O18" i="25"/>
  <c r="D105" i="46" s="1"/>
  <c r="D113" i="46" s="1"/>
  <c r="R16" i="25"/>
  <c r="AA16" i="25" s="1"/>
  <c r="G36" i="1"/>
  <c r="Q16" i="25"/>
  <c r="Q18" i="25" s="1"/>
  <c r="G75" i="46" s="1"/>
  <c r="F36" i="1"/>
  <c r="P16" i="25"/>
  <c r="Y16" i="25" s="1"/>
  <c r="E36" i="1"/>
  <c r="D38" i="24"/>
  <c r="G38" i="24" s="1"/>
  <c r="C43" i="24"/>
  <c r="D59" i="24"/>
  <c r="M59" i="24" s="1"/>
  <c r="D58" i="24"/>
  <c r="M58" i="24" s="1"/>
  <c r="C68" i="24"/>
  <c r="J68" i="24" s="1"/>
  <c r="C38" i="24"/>
  <c r="D57" i="24"/>
  <c r="M57" i="24" s="1"/>
  <c r="E58" i="24"/>
  <c r="L58" i="24" s="1"/>
  <c r="E57" i="24"/>
  <c r="L57" i="24" s="1"/>
  <c r="D43" i="24"/>
  <c r="E59" i="24"/>
  <c r="L59" i="24" s="1"/>
  <c r="F58" i="24"/>
  <c r="N58" i="24" s="1"/>
  <c r="F57" i="24"/>
  <c r="N57" i="24" s="1"/>
  <c r="F59" i="24"/>
  <c r="N59" i="24" s="1"/>
  <c r="E43" i="24"/>
  <c r="E38" i="24"/>
  <c r="E68" i="24"/>
  <c r="K68" i="24" s="1"/>
  <c r="F13" i="1"/>
  <c r="H13" i="25" s="1"/>
  <c r="Y13" i="25" s="1"/>
  <c r="R18" i="25"/>
  <c r="H75" i="46" s="1"/>
  <c r="I43" i="24" l="1"/>
  <c r="P88" i="4" s="1"/>
  <c r="G43" i="24"/>
  <c r="F94" i="4" s="1"/>
  <c r="H38" i="24"/>
  <c r="H43" i="24"/>
  <c r="O86" i="4" s="1"/>
  <c r="I38" i="24"/>
  <c r="G27" i="1" s="1"/>
  <c r="O57" i="24"/>
  <c r="P57" i="24" s="1"/>
  <c r="O58" i="24"/>
  <c r="P58" i="24" s="1"/>
  <c r="O59" i="24"/>
  <c r="P59" i="24" s="1"/>
  <c r="N61" i="24"/>
  <c r="H12" i="1" s="1"/>
  <c r="N62" i="24"/>
  <c r="H17" i="1" s="1"/>
  <c r="E27" i="1"/>
  <c r="Z16" i="25"/>
  <c r="P30" i="25"/>
  <c r="P18" i="25"/>
  <c r="F75" i="46" s="1"/>
  <c r="I75" i="46" s="1"/>
  <c r="M61" i="24"/>
  <c r="M62" i="24"/>
  <c r="L68" i="24"/>
  <c r="L62" i="24"/>
  <c r="F17" i="1" s="1"/>
  <c r="H31" i="52"/>
  <c r="H33" i="52"/>
  <c r="P86" i="4"/>
  <c r="P87" i="4"/>
  <c r="P85" i="4"/>
  <c r="P21" i="52"/>
  <c r="P23" i="52"/>
  <c r="P22" i="52"/>
  <c r="H94" i="4"/>
  <c r="S77" i="4"/>
  <c r="P20" i="52"/>
  <c r="G18" i="1"/>
  <c r="I21" i="25" s="1"/>
  <c r="Z21" i="25" s="1"/>
  <c r="G13" i="1"/>
  <c r="I13" i="25" s="1"/>
  <c r="Z13" i="25" s="1"/>
  <c r="L61" i="24"/>
  <c r="F12" i="1" s="1"/>
  <c r="H12" i="25" s="1"/>
  <c r="Y12" i="25" s="1"/>
  <c r="F33" i="52"/>
  <c r="F31" i="52"/>
  <c r="N23" i="52"/>
  <c r="O85" i="4"/>
  <c r="O87" i="4"/>
  <c r="G31" i="52"/>
  <c r="H13" i="1"/>
  <c r="J13" i="25" s="1"/>
  <c r="AA13" i="25" s="1"/>
  <c r="H18" i="1"/>
  <c r="J21" i="25" s="1"/>
  <c r="AA21" i="25" s="1"/>
  <c r="F11" i="1"/>
  <c r="G11" i="1"/>
  <c r="N87" i="4" l="1"/>
  <c r="N20" i="52"/>
  <c r="H11" i="1"/>
  <c r="G33" i="52"/>
  <c r="O23" i="52"/>
  <c r="O21" i="52"/>
  <c r="G94" i="4"/>
  <c r="I94" i="4" s="1"/>
  <c r="O20" i="52"/>
  <c r="R77" i="4"/>
  <c r="N22" i="52"/>
  <c r="N85" i="4"/>
  <c r="Q77" i="4"/>
  <c r="O88" i="4"/>
  <c r="N88" i="4"/>
  <c r="J38" i="24"/>
  <c r="K38" i="24" s="1"/>
  <c r="O22" i="52"/>
  <c r="N86" i="4"/>
  <c r="N21" i="52"/>
  <c r="F27" i="1"/>
  <c r="H27" i="1" s="1"/>
  <c r="F19" i="46" s="1"/>
  <c r="H3" i="59"/>
  <c r="M68" i="24"/>
  <c r="G17" i="1"/>
  <c r="I20" i="25" s="1"/>
  <c r="Z20" i="25" s="1"/>
  <c r="O62" i="24"/>
  <c r="P62" i="24" s="1"/>
  <c r="G12" i="1"/>
  <c r="E120" i="24" s="1"/>
  <c r="H120" i="24" s="1"/>
  <c r="O61" i="24"/>
  <c r="P61" i="24" s="1"/>
  <c r="F120" i="24"/>
  <c r="I120" i="24" s="1"/>
  <c r="J20" i="25"/>
  <c r="AA20" i="25" s="1"/>
  <c r="H20" i="25"/>
  <c r="Y20" i="25" s="1"/>
  <c r="D120" i="24"/>
  <c r="G120" i="24" s="1"/>
  <c r="P89" i="4"/>
  <c r="O89" i="4"/>
  <c r="C15" i="49"/>
  <c r="N89" i="4" l="1"/>
  <c r="G19" i="46"/>
  <c r="G21" i="46" s="1"/>
  <c r="F21" i="46"/>
  <c r="H2" i="59"/>
  <c r="D32" i="51"/>
  <c r="E32" i="51" s="1"/>
  <c r="D29" i="51"/>
  <c r="E29" i="51" s="1"/>
  <c r="C38" i="51" l="1"/>
  <c r="C37" i="51"/>
  <c r="D16" i="49"/>
  <c r="D53" i="49"/>
  <c r="D15" i="49"/>
  <c r="E15" i="49" s="1"/>
  <c r="D38" i="49"/>
  <c r="E36" i="46"/>
  <c r="E35" i="46"/>
  <c r="E33" i="46"/>
  <c r="T18" i="25" l="1"/>
  <c r="S18" i="25"/>
  <c r="E132" i="24" l="1"/>
  <c r="L88" i="4" s="1"/>
  <c r="L86" i="4" l="1"/>
  <c r="L87" i="4"/>
  <c r="L85" i="4"/>
  <c r="I16" i="1"/>
  <c r="I20" i="1" s="1"/>
  <c r="I11" i="1"/>
  <c r="I15" i="1" s="1"/>
  <c r="C49" i="4"/>
  <c r="F42" i="4"/>
  <c r="H42" i="4" s="1"/>
  <c r="I42" i="4" s="1"/>
  <c r="L42" i="4" s="1"/>
  <c r="E50" i="4" l="1"/>
  <c r="E54" i="4"/>
  <c r="E53" i="4"/>
  <c r="E52" i="4"/>
  <c r="E51" i="4"/>
  <c r="L89" i="4"/>
  <c r="I21" i="1"/>
  <c r="F52" i="4"/>
  <c r="H52" i="4" s="1"/>
  <c r="I52" i="4" s="1"/>
  <c r="L52" i="4" s="1"/>
  <c r="F51" i="4"/>
  <c r="H51" i="4" s="1"/>
  <c r="I51" i="4" s="1"/>
  <c r="L51" i="4" s="1"/>
  <c r="F19" i="25"/>
  <c r="F11" i="25"/>
  <c r="F54" i="4"/>
  <c r="H54" i="4" s="1"/>
  <c r="I54" i="4" s="1"/>
  <c r="F53" i="4"/>
  <c r="H53" i="4" s="1"/>
  <c r="I53" i="4" s="1"/>
  <c r="L53" i="4" s="1"/>
  <c r="H41" i="4"/>
  <c r="I41" i="4" s="1"/>
  <c r="L41" i="4" s="1"/>
  <c r="F43" i="4"/>
  <c r="H43" i="4" s="1"/>
  <c r="I43" i="4" s="1"/>
  <c r="C31" i="4" l="1"/>
  <c r="C30" i="4"/>
  <c r="C32" i="4"/>
  <c r="F50" i="4"/>
  <c r="H50" i="4" s="1"/>
  <c r="F40" i="4"/>
  <c r="H40" i="4" s="1"/>
  <c r="I40" i="4" s="1"/>
  <c r="L40" i="4" s="1"/>
  <c r="I39" i="4" l="1"/>
  <c r="L39" i="4" s="1"/>
  <c r="I50" i="4"/>
  <c r="L50" i="4" s="1"/>
  <c r="N50" i="4" s="1"/>
  <c r="F48" i="4"/>
  <c r="F37" i="4"/>
  <c r="C29" i="4"/>
  <c r="C28" i="4"/>
  <c r="E28" i="4" l="1"/>
  <c r="C27" i="4"/>
  <c r="C19" i="24" l="1"/>
  <c r="C20" i="24" s="1"/>
  <c r="C24" i="24" s="1"/>
  <c r="C26" i="24" s="1"/>
  <c r="G223" i="1" l="1"/>
  <c r="G222" i="1"/>
  <c r="G224" i="1"/>
  <c r="J11" i="25"/>
  <c r="AA11" i="25" s="1"/>
  <c r="H11" i="25"/>
  <c r="C23" i="24"/>
  <c r="C25" i="24" s="1"/>
  <c r="F222" i="1" s="1"/>
  <c r="D19" i="46" l="1"/>
  <c r="D136" i="46" s="1"/>
  <c r="Y11" i="25"/>
  <c r="F223" i="1"/>
  <c r="F224" i="1"/>
  <c r="D37" i="51"/>
  <c r="C16" i="49"/>
  <c r="G45" i="51"/>
  <c r="J24" i="49"/>
  <c r="F36" i="46"/>
  <c r="F35" i="46"/>
  <c r="F33" i="46"/>
  <c r="E78" i="4"/>
  <c r="E79" i="4"/>
  <c r="D31" i="11"/>
  <c r="D32" i="11" s="1"/>
  <c r="D11" i="11" s="1"/>
  <c r="E19" i="51"/>
  <c r="E24" i="52"/>
  <c r="G24" i="52" s="1"/>
  <c r="E19" i="52"/>
  <c r="M19" i="52" s="1"/>
  <c r="M25" i="52" s="1"/>
  <c r="G11" i="25"/>
  <c r="G20" i="25"/>
  <c r="D19" i="25"/>
  <c r="O12" i="16" l="1"/>
  <c r="O16" i="16" s="1"/>
  <c r="N12" i="16"/>
  <c r="E21" i="46"/>
  <c r="D21" i="46"/>
  <c r="G20" i="63"/>
  <c r="G22" i="63" s="1"/>
  <c r="D13" i="11"/>
  <c r="I14" i="54" s="1"/>
  <c r="H97" i="46" s="1"/>
  <c r="I97" i="46" s="1"/>
  <c r="F66" i="46" s="1"/>
  <c r="D36" i="46" s="1"/>
  <c r="D12" i="52"/>
  <c r="F18" i="34" s="1"/>
  <c r="C30" i="52"/>
  <c r="C34" i="52" s="1"/>
  <c r="P78" i="4"/>
  <c r="C95" i="4" s="1"/>
  <c r="L79" i="4"/>
  <c r="G79" i="4"/>
  <c r="I24" i="52"/>
  <c r="I25" i="52" s="1"/>
  <c r="F11" i="52" s="1"/>
  <c r="H24" i="52"/>
  <c r="O19" i="52"/>
  <c r="N19" i="52"/>
  <c r="P19" i="52"/>
  <c r="P25" i="52" s="1"/>
  <c r="E16" i="49"/>
  <c r="E17" i="49" s="1"/>
  <c r="D22" i="49" s="1"/>
  <c r="C17" i="49"/>
  <c r="J28" i="49"/>
  <c r="J23" i="49"/>
  <c r="J26" i="49"/>
  <c r="N16" i="16"/>
  <c r="D96" i="4"/>
  <c r="D34" i="52"/>
  <c r="D98" i="4"/>
  <c r="N14" i="16"/>
  <c r="H45" i="51"/>
  <c r="D12" i="51" s="1"/>
  <c r="G25" i="52"/>
  <c r="J24" i="52"/>
  <c r="J25" i="52" s="1"/>
  <c r="G11" i="52" s="1"/>
  <c r="K43" i="4"/>
  <c r="N13" i="16"/>
  <c r="J27" i="49"/>
  <c r="J25" i="49"/>
  <c r="O13" i="16"/>
  <c r="O14" i="16"/>
  <c r="E20" i="51"/>
  <c r="E21" i="51" s="1"/>
  <c r="E14" i="46"/>
  <c r="F56" i="49"/>
  <c r="H56" i="49" s="1"/>
  <c r="F14" i="46"/>
  <c r="C21" i="51"/>
  <c r="N17" i="16" l="1"/>
  <c r="N19" i="16" s="1"/>
  <c r="O17" i="16"/>
  <c r="T26" i="25" s="1"/>
  <c r="Z26" i="25" s="1"/>
  <c r="G34" i="63"/>
  <c r="D146" i="46"/>
  <c r="E30" i="52"/>
  <c r="F30" i="52" s="1"/>
  <c r="Q78" i="4"/>
  <c r="R78" i="4"/>
  <c r="M79" i="4"/>
  <c r="G11" i="4" s="1"/>
  <c r="I11" i="34" s="1"/>
  <c r="G86" i="46" s="1"/>
  <c r="I86" i="46" s="1"/>
  <c r="F55" i="46" s="1"/>
  <c r="D11" i="4"/>
  <c r="D16" i="4" s="1"/>
  <c r="E95" i="4"/>
  <c r="S78" i="4"/>
  <c r="J79" i="4"/>
  <c r="H79" i="4"/>
  <c r="I79" i="4"/>
  <c r="C11" i="52"/>
  <c r="D17" i="34" s="1"/>
  <c r="F14" i="25"/>
  <c r="H25" i="52"/>
  <c r="E11" i="52" s="1"/>
  <c r="T29" i="25"/>
  <c r="G85" i="46" s="1"/>
  <c r="I85" i="46" s="1"/>
  <c r="I11" i="25"/>
  <c r="Z11" i="25" s="1"/>
  <c r="E32" i="52"/>
  <c r="I17" i="34"/>
  <c r="G91" i="46" s="1"/>
  <c r="J29" i="49"/>
  <c r="C11" i="49" s="1"/>
  <c r="H13" i="54" s="1"/>
  <c r="H15" i="54" s="1"/>
  <c r="D13" i="54"/>
  <c r="J17" i="34"/>
  <c r="H91" i="46" s="1"/>
  <c r="D22" i="25"/>
  <c r="D27" i="25" s="1"/>
  <c r="G36" i="46"/>
  <c r="G12" i="52"/>
  <c r="O25" i="52"/>
  <c r="F12" i="52" s="1"/>
  <c r="N25" i="52"/>
  <c r="E12" i="52" s="1"/>
  <c r="F44" i="49"/>
  <c r="H44" i="49" s="1"/>
  <c r="F57" i="49"/>
  <c r="H57" i="49" s="1"/>
  <c r="F43" i="49"/>
  <c r="H43" i="49" s="1"/>
  <c r="F42" i="49"/>
  <c r="H42" i="49" s="1"/>
  <c r="F40" i="49"/>
  <c r="H40" i="49" s="1"/>
  <c r="F58" i="49"/>
  <c r="H58" i="49" s="1"/>
  <c r="F59" i="49"/>
  <c r="H59" i="49" s="1"/>
  <c r="F41" i="49"/>
  <c r="H41" i="49" s="1"/>
  <c r="F54" i="49"/>
  <c r="H54" i="49" s="1"/>
  <c r="F55" i="49"/>
  <c r="H55" i="49" s="1"/>
  <c r="F39" i="49"/>
  <c r="H39" i="49" s="1"/>
  <c r="D38" i="51"/>
  <c r="D39" i="51" s="1"/>
  <c r="C12" i="51" s="1"/>
  <c r="C39" i="51"/>
  <c r="C11" i="54" s="1"/>
  <c r="S26" i="25" l="1"/>
  <c r="Y26" i="25" s="1"/>
  <c r="O19" i="16"/>
  <c r="G12" i="51"/>
  <c r="G11" i="54" s="1"/>
  <c r="E34" i="52"/>
  <c r="G30" i="52"/>
  <c r="H30" i="52"/>
  <c r="D107" i="46"/>
  <c r="G77" i="46"/>
  <c r="F18" i="25"/>
  <c r="Z29" i="25"/>
  <c r="H17" i="34"/>
  <c r="F91" i="46" s="1"/>
  <c r="I91" i="46" s="1"/>
  <c r="F60" i="46" s="1"/>
  <c r="E11" i="34"/>
  <c r="G95" i="4"/>
  <c r="F95" i="4"/>
  <c r="H95" i="4"/>
  <c r="G32" i="52"/>
  <c r="H32" i="52"/>
  <c r="F32" i="52"/>
  <c r="F34" i="52" s="1"/>
  <c r="F54" i="46"/>
  <c r="D30" i="46" s="1"/>
  <c r="D14" i="25"/>
  <c r="D18" i="25" s="1"/>
  <c r="E14" i="25"/>
  <c r="G96" i="46"/>
  <c r="F30" i="46"/>
  <c r="E22" i="25"/>
  <c r="F22" i="25"/>
  <c r="H45" i="49"/>
  <c r="B11" i="49" s="1"/>
  <c r="G13" i="54" s="1"/>
  <c r="F96" i="46" s="1"/>
  <c r="H60" i="49"/>
  <c r="D11" i="49" s="1"/>
  <c r="I13" i="54" s="1"/>
  <c r="I15" i="54" s="1"/>
  <c r="G76" i="46" l="1"/>
  <c r="I76" i="46" s="1"/>
  <c r="D30" i="25"/>
  <c r="I95" i="4"/>
  <c r="G28" i="63"/>
  <c r="D137" i="46"/>
  <c r="H34" i="52"/>
  <c r="G13" i="52" s="1"/>
  <c r="G34" i="52"/>
  <c r="F13" i="52" s="1"/>
  <c r="G83" i="46"/>
  <c r="F27" i="25"/>
  <c r="F30" i="25" s="1"/>
  <c r="D13" i="52"/>
  <c r="G19" i="34" s="1"/>
  <c r="F94" i="46"/>
  <c r="I94" i="46" s="1"/>
  <c r="F63" i="46" s="1"/>
  <c r="D33" i="46" s="1"/>
  <c r="G15" i="54"/>
  <c r="S27" i="25"/>
  <c r="F84" i="46" s="1"/>
  <c r="E18" i="25"/>
  <c r="E27" i="25"/>
  <c r="F83" i="46" s="1"/>
  <c r="H96" i="46"/>
  <c r="I96" i="46" s="1"/>
  <c r="F65" i="46" s="1"/>
  <c r="E32" i="46"/>
  <c r="T27" i="25"/>
  <c r="J18" i="34"/>
  <c r="G31" i="63" l="1"/>
  <c r="D143" i="46"/>
  <c r="I83" i="46"/>
  <c r="G82" i="46"/>
  <c r="I82" i="46" s="1"/>
  <c r="E107" i="46" s="1"/>
  <c r="E30" i="25"/>
  <c r="D103" i="46"/>
  <c r="D111" i="46" s="1"/>
  <c r="T30" i="25"/>
  <c r="G84" i="46"/>
  <c r="I84" i="46" s="1"/>
  <c r="F53" i="46" s="1"/>
  <c r="F77" i="46"/>
  <c r="I77" i="46" s="1"/>
  <c r="F46" i="46" s="1"/>
  <c r="F50" i="46"/>
  <c r="E109" i="46"/>
  <c r="D35" i="46"/>
  <c r="I19" i="34"/>
  <c r="G93" i="46" s="1"/>
  <c r="F14" i="52"/>
  <c r="J19" i="34"/>
  <c r="H93" i="46" s="1"/>
  <c r="G14" i="52"/>
  <c r="G33" i="46"/>
  <c r="E13" i="52"/>
  <c r="E14" i="52" s="1"/>
  <c r="S30" i="25"/>
  <c r="G30" i="46"/>
  <c r="H18" i="34"/>
  <c r="I18" i="34"/>
  <c r="H92" i="46"/>
  <c r="F45" i="46"/>
  <c r="E103" i="46"/>
  <c r="R30" i="25"/>
  <c r="G12" i="25"/>
  <c r="G35" i="46"/>
  <c r="G33" i="63" l="1"/>
  <c r="D145" i="46"/>
  <c r="H19" i="34"/>
  <c r="F93" i="46" s="1"/>
  <c r="I93" i="46" s="1"/>
  <c r="F62" i="46" s="1"/>
  <c r="G32" i="46" s="1"/>
  <c r="J20" i="34"/>
  <c r="G14" i="46"/>
  <c r="E30" i="46"/>
  <c r="J12" i="25"/>
  <c r="AA12" i="25" s="1"/>
  <c r="I12" i="25"/>
  <c r="Z12" i="25" s="1"/>
  <c r="F92" i="46"/>
  <c r="I20" i="34"/>
  <c r="G92" i="46"/>
  <c r="F51" i="46"/>
  <c r="E111" i="46"/>
  <c r="F52" i="46"/>
  <c r="Q30" i="25"/>
  <c r="D14" i="46"/>
  <c r="G15" i="63" l="1"/>
  <c r="H20" i="34"/>
  <c r="I92" i="46"/>
  <c r="F61" i="46" s="1"/>
  <c r="D32" i="46" s="1"/>
  <c r="E29" i="46"/>
  <c r="G30" i="63" l="1"/>
  <c r="D142" i="46"/>
  <c r="F32" i="46"/>
  <c r="F44" i="46"/>
  <c r="E105" i="46"/>
  <c r="E113" i="46" s="1"/>
  <c r="E28" i="46" l="1"/>
  <c r="E12" i="46" s="1"/>
  <c r="H16" i="1" l="1"/>
  <c r="F121" i="24" s="1"/>
  <c r="F16" i="1"/>
  <c r="D121" i="24" s="1"/>
  <c r="G16" i="1"/>
  <c r="E121" i="24" s="1"/>
  <c r="K22" i="25"/>
  <c r="K27" i="25" s="1"/>
  <c r="G19" i="25"/>
  <c r="H121" i="24" l="1"/>
  <c r="G217" i="1" s="1"/>
  <c r="M22" i="25" s="1"/>
  <c r="I121" i="24"/>
  <c r="H217" i="1" s="1"/>
  <c r="N22" i="25" s="1"/>
  <c r="H19" i="25"/>
  <c r="I19" i="25"/>
  <c r="Z19" i="25" s="1"/>
  <c r="J19" i="25"/>
  <c r="AA19" i="25" s="1"/>
  <c r="N27" i="25" l="1"/>
  <c r="H79" i="46" s="1"/>
  <c r="Z22" i="25"/>
  <c r="M27" i="25"/>
  <c r="G79" i="46" s="1"/>
  <c r="G121" i="24"/>
  <c r="F217" i="1" s="1"/>
  <c r="L22" i="25" s="1"/>
  <c r="L27" i="25" s="1"/>
  <c r="Y19" i="25"/>
  <c r="AA22" i="25"/>
  <c r="F79" i="46" l="1"/>
  <c r="I79" i="46" s="1"/>
  <c r="F48" i="46" s="1"/>
  <c r="Y22" i="25"/>
  <c r="G29" i="46" l="1"/>
  <c r="M54" i="4" l="1"/>
  <c r="C97" i="4" l="1"/>
  <c r="E97" i="4" s="1"/>
  <c r="N54" i="4"/>
  <c r="O54" i="4"/>
  <c r="F97" i="4"/>
  <c r="G97" i="4"/>
  <c r="H97" i="4"/>
  <c r="P54" i="4"/>
  <c r="C230" i="1"/>
  <c r="Q54" i="4" l="1"/>
  <c r="I97" i="4"/>
  <c r="N51" i="4"/>
  <c r="O51" i="4"/>
  <c r="P51" i="4"/>
  <c r="O52" i="4"/>
  <c r="P52" i="4"/>
  <c r="N52" i="4"/>
  <c r="I48" i="4"/>
  <c r="N53" i="4"/>
  <c r="O53" i="4"/>
  <c r="P53" i="4"/>
  <c r="F230" i="1"/>
  <c r="G230" i="1"/>
  <c r="Q52" i="4" l="1"/>
  <c r="Q53" i="4"/>
  <c r="Q51" i="4"/>
  <c r="P50" i="4"/>
  <c r="O50" i="4"/>
  <c r="D31" i="4"/>
  <c r="Q50" i="4" l="1"/>
  <c r="D139" i="46" s="1"/>
  <c r="O42" i="4"/>
  <c r="H31" i="4" s="1"/>
  <c r="D29" i="4"/>
  <c r="C22" i="4" s="1"/>
  <c r="I37" i="4" l="1"/>
  <c r="D27" i="4" s="1"/>
  <c r="P42" i="4"/>
  <c r="I31" i="4" s="1"/>
  <c r="E31" i="4"/>
  <c r="N42" i="4"/>
  <c r="D30" i="4"/>
  <c r="E29" i="4"/>
  <c r="C12" i="4" s="1"/>
  <c r="P40" i="4"/>
  <c r="I29" i="4" s="1"/>
  <c r="H12" i="4" s="1"/>
  <c r="N40" i="4"/>
  <c r="O40" i="4"/>
  <c r="H29" i="4" s="1"/>
  <c r="G12" i="4" s="1"/>
  <c r="D28" i="4"/>
  <c r="C21" i="4" l="1"/>
  <c r="G29" i="4"/>
  <c r="F12" i="4" s="1"/>
  <c r="Q40" i="4"/>
  <c r="G31" i="4"/>
  <c r="Q42" i="4"/>
  <c r="M43" i="4"/>
  <c r="C96" i="4" s="1"/>
  <c r="C98" i="4" s="1"/>
  <c r="D32" i="4"/>
  <c r="C23" i="4" s="1"/>
  <c r="D22" i="4"/>
  <c r="E22" i="4" s="1"/>
  <c r="D12" i="34"/>
  <c r="E30" i="4"/>
  <c r="P41" i="4"/>
  <c r="I30" i="4" s="1"/>
  <c r="N41" i="4"/>
  <c r="O41" i="4"/>
  <c r="H30" i="4" s="1"/>
  <c r="I22" i="4"/>
  <c r="P39" i="4"/>
  <c r="I28" i="4" s="1"/>
  <c r="H15" i="4" s="1"/>
  <c r="O39" i="4"/>
  <c r="H28" i="4" s="1"/>
  <c r="G15" i="4" s="1"/>
  <c r="N39" i="4"/>
  <c r="J22" i="4"/>
  <c r="C15" i="4" l="1"/>
  <c r="C16" i="4" s="1"/>
  <c r="H22" i="4"/>
  <c r="J15" i="34"/>
  <c r="H90" i="46" s="1"/>
  <c r="I15" i="34"/>
  <c r="G90" i="46" s="1"/>
  <c r="D21" i="4"/>
  <c r="E21" i="4" s="1"/>
  <c r="G30" i="4"/>
  <c r="Q41" i="4"/>
  <c r="G28" i="4"/>
  <c r="F15" i="4" s="1"/>
  <c r="Q39" i="4"/>
  <c r="O43" i="4"/>
  <c r="H32" i="4" s="1"/>
  <c r="G13" i="4" s="1"/>
  <c r="C229" i="1"/>
  <c r="N43" i="4"/>
  <c r="F32" i="4"/>
  <c r="E13" i="4" s="1"/>
  <c r="P43" i="4"/>
  <c r="I32" i="4" s="1"/>
  <c r="H13" i="4" s="1"/>
  <c r="I12" i="34"/>
  <c r="I21" i="4"/>
  <c r="K22" i="4"/>
  <c r="L22" i="4" s="1"/>
  <c r="J12" i="34"/>
  <c r="J21" i="4"/>
  <c r="H12" i="34"/>
  <c r="H15" i="34" l="1"/>
  <c r="F90" i="46" s="1"/>
  <c r="I90" i="46" s="1"/>
  <c r="F59" i="46" s="1"/>
  <c r="H21" i="4"/>
  <c r="K21" i="4" s="1"/>
  <c r="L21" i="4" s="1"/>
  <c r="G32" i="4"/>
  <c r="Q43" i="4"/>
  <c r="D15" i="34"/>
  <c r="J13" i="34"/>
  <c r="H88" i="46" s="1"/>
  <c r="I13" i="34"/>
  <c r="G88" i="46" s="1"/>
  <c r="F13" i="34"/>
  <c r="F23" i="4"/>
  <c r="G23" i="4" s="1"/>
  <c r="F229" i="1"/>
  <c r="F231" i="1" s="1"/>
  <c r="D14" i="1" s="1"/>
  <c r="G229" i="1"/>
  <c r="G231" i="1" s="1"/>
  <c r="D19" i="1" s="1"/>
  <c r="C231" i="1"/>
  <c r="G87" i="46"/>
  <c r="F87" i="46"/>
  <c r="H87" i="46"/>
  <c r="F13" i="4" l="1"/>
  <c r="H13" i="34" s="1"/>
  <c r="F88" i="46" s="1"/>
  <c r="I88" i="46" s="1"/>
  <c r="F57" i="46" s="1"/>
  <c r="I87" i="46"/>
  <c r="F56" i="46" s="1"/>
  <c r="G19" i="1"/>
  <c r="G20" i="1" s="1"/>
  <c r="G25" i="25"/>
  <c r="H19" i="1"/>
  <c r="H20" i="1" s="1"/>
  <c r="F19" i="1"/>
  <c r="F20" i="1" s="1"/>
  <c r="H14" i="1"/>
  <c r="H15" i="1" s="1"/>
  <c r="F14" i="1"/>
  <c r="F15" i="1" s="1"/>
  <c r="G17" i="25"/>
  <c r="G18" i="25" s="1"/>
  <c r="D15" i="1"/>
  <c r="G14" i="1"/>
  <c r="G15" i="1" s="1"/>
  <c r="E96" i="4"/>
  <c r="E98" i="4" s="1"/>
  <c r="G27" i="25" l="1"/>
  <c r="D106" i="46" s="1"/>
  <c r="F31" i="46"/>
  <c r="F13" i="46" s="1"/>
  <c r="E14" i="4"/>
  <c r="E16" i="4" s="1"/>
  <c r="D21" i="1"/>
  <c r="C216" i="1"/>
  <c r="H25" i="25"/>
  <c r="G96" i="4"/>
  <c r="G98" i="4" s="1"/>
  <c r="G14" i="34"/>
  <c r="H96" i="4"/>
  <c r="H98" i="4" s="1"/>
  <c r="F96" i="4"/>
  <c r="G30" i="25"/>
  <c r="D102" i="46"/>
  <c r="J25" i="25"/>
  <c r="J27" i="25" s="1"/>
  <c r="H17" i="25"/>
  <c r="H18" i="25" s="1"/>
  <c r="I17" i="25"/>
  <c r="I18" i="25" s="1"/>
  <c r="J17" i="25"/>
  <c r="J18" i="25" s="1"/>
  <c r="I25" i="25"/>
  <c r="I27" i="25" s="1"/>
  <c r="E31" i="46"/>
  <c r="D110" i="46" l="1"/>
  <c r="H27" i="25"/>
  <c r="F78" i="46" s="1"/>
  <c r="I96" i="4"/>
  <c r="F98" i="4"/>
  <c r="F14" i="4" s="1"/>
  <c r="F72" i="46"/>
  <c r="E13" i="46"/>
  <c r="E37" i="46"/>
  <c r="F21" i="1"/>
  <c r="H21" i="1"/>
  <c r="G21" i="1"/>
  <c r="H72" i="46"/>
  <c r="AA17" i="25"/>
  <c r="Y17" i="25"/>
  <c r="Y25" i="25"/>
  <c r="H14" i="4"/>
  <c r="J23" i="4"/>
  <c r="G78" i="46"/>
  <c r="Z25" i="25"/>
  <c r="E216" i="1"/>
  <c r="C218" i="1"/>
  <c r="E218" i="1" s="1"/>
  <c r="G72" i="46"/>
  <c r="Z17" i="25"/>
  <c r="H78" i="46"/>
  <c r="AA25" i="25"/>
  <c r="H23" i="4"/>
  <c r="I23" i="4"/>
  <c r="G14" i="4"/>
  <c r="Y27" i="25" l="1"/>
  <c r="I98" i="4"/>
  <c r="D138" i="46"/>
  <c r="E15" i="46"/>
  <c r="I78" i="46"/>
  <c r="E106" i="46" s="1"/>
  <c r="I72" i="46"/>
  <c r="AA27" i="25"/>
  <c r="Z27" i="25"/>
  <c r="K23" i="4"/>
  <c r="M23" i="4" s="1"/>
  <c r="G16" i="4"/>
  <c r="I14" i="34"/>
  <c r="G216" i="1"/>
  <c r="M14" i="25" s="1"/>
  <c r="M18" i="25" s="1"/>
  <c r="Z18" i="25" s="1"/>
  <c r="H216" i="1"/>
  <c r="K14" i="25"/>
  <c r="F216" i="1"/>
  <c r="J14" i="34"/>
  <c r="H16" i="4"/>
  <c r="H30" i="25"/>
  <c r="H14" i="34"/>
  <c r="F16" i="4"/>
  <c r="I30" i="25"/>
  <c r="J30" i="25"/>
  <c r="K18" i="25" l="1"/>
  <c r="K30" i="25" s="1"/>
  <c r="F47" i="46"/>
  <c r="H218" i="1"/>
  <c r="N14" i="25"/>
  <c r="N18" i="25" s="1"/>
  <c r="AA18" i="25" s="1"/>
  <c r="H16" i="34"/>
  <c r="H21" i="34" s="1"/>
  <c r="F89" i="46"/>
  <c r="J16" i="34"/>
  <c r="J21" i="34" s="1"/>
  <c r="H89" i="46"/>
  <c r="G218" i="1"/>
  <c r="F218" i="1"/>
  <c r="L14" i="25"/>
  <c r="L18" i="25" s="1"/>
  <c r="Y18" i="25" s="1"/>
  <c r="G89" i="46"/>
  <c r="I16" i="34"/>
  <c r="I21" i="34" s="1"/>
  <c r="D29" i="46" l="1"/>
  <c r="F29" i="46"/>
  <c r="Z14" i="25"/>
  <c r="G73" i="46"/>
  <c r="G98" i="46" s="1"/>
  <c r="I89" i="46"/>
  <c r="F58" i="46" s="1"/>
  <c r="Y14" i="25"/>
  <c r="AA14" i="25"/>
  <c r="H73" i="46"/>
  <c r="H98" i="46" s="1"/>
  <c r="F41" i="46"/>
  <c r="E102" i="46"/>
  <c r="F108" i="46" l="1"/>
  <c r="F104" i="46"/>
  <c r="D31" i="46"/>
  <c r="G27" i="63"/>
  <c r="D135" i="46"/>
  <c r="F73" i="46"/>
  <c r="F28" i="46"/>
  <c r="F37" i="46" s="1"/>
  <c r="G31" i="46"/>
  <c r="G13" i="46" s="1"/>
  <c r="M30" i="25"/>
  <c r="Z30" i="25" s="1"/>
  <c r="N30" i="25"/>
  <c r="AA30" i="25" s="1"/>
  <c r="F107" i="46"/>
  <c r="F102" i="46"/>
  <c r="E110" i="46"/>
  <c r="F105" i="46"/>
  <c r="F103" i="46"/>
  <c r="F111" i="46"/>
  <c r="F106" i="46"/>
  <c r="F113" i="46"/>
  <c r="F109" i="46"/>
  <c r="L30" i="25"/>
  <c r="Y30" i="25" s="1"/>
  <c r="F110" i="46" l="1"/>
  <c r="F112" i="46"/>
  <c r="G29" i="63"/>
  <c r="D141" i="46"/>
  <c r="I73" i="46"/>
  <c r="I98" i="46" s="1"/>
  <c r="F98" i="46"/>
  <c r="F12" i="46"/>
  <c r="D13" i="46"/>
  <c r="G14" i="63" s="1"/>
  <c r="F15" i="46" l="1"/>
  <c r="F42" i="46"/>
  <c r="D28" i="46" s="1"/>
  <c r="F67" i="46" l="1"/>
  <c r="G28" i="46"/>
  <c r="G26" i="63" l="1"/>
  <c r="G35" i="63" s="1"/>
  <c r="D134" i="46"/>
  <c r="D37" i="46"/>
  <c r="D12" i="46"/>
  <c r="G37" i="46"/>
  <c r="G12" i="46"/>
  <c r="D147" i="46" l="1"/>
  <c r="C158" i="46" s="1"/>
  <c r="G15" i="46"/>
  <c r="D15" i="46"/>
  <c r="G13" i="63"/>
  <c r="G16" i="63" s="1"/>
  <c r="C128" i="46"/>
  <c r="C130" i="46"/>
  <c r="C124" i="46"/>
  <c r="C127" i="46"/>
  <c r="C129" i="46"/>
  <c r="C126" i="46"/>
  <c r="C123" i="46"/>
  <c r="C125" i="46"/>
  <c r="C122" i="46"/>
  <c r="C151" i="46" l="1"/>
  <c r="C159" i="46"/>
  <c r="C154" i="46"/>
  <c r="C160" i="46"/>
  <c r="C157" i="46"/>
  <c r="C153" i="46"/>
  <c r="C156" i="46"/>
  <c r="C155" i="46"/>
  <c r="C152" i="46"/>
</calcChain>
</file>

<file path=xl/sharedStrings.xml><?xml version="1.0" encoding="utf-8"?>
<sst xmlns="http://schemas.openxmlformats.org/spreadsheetml/2006/main" count="2979" uniqueCount="1804">
  <si>
    <t>MAPC Community Greenhouse Gas Inventory Tool</t>
  </si>
  <si>
    <t>Tables of supporting data to review and update for inventory years other than 2017</t>
  </si>
  <si>
    <t>Tab</t>
  </si>
  <si>
    <t>Table</t>
  </si>
  <si>
    <t>Emission Factors - All</t>
  </si>
  <si>
    <t>Table 1: Stationary Fuel Emission Factors
Table 3. MA DEP 2016 Massachusetts-based Retail Level Electricity Emission Factor
Table 6. List Investor-owned Utilities and % Non-emitting Sales
Table 7. Community Choice Aggregation Electricity Emission Factors
Table 9. List of Municipal Utilities % Non-emitting Sales
Table 11: IPCC AR5 100-Year Global Warming Potentials without Climate-carbon Feedbacks
Table 12: Transportation Fuel Emission Factors</t>
  </si>
  <si>
    <t>Stationary Energy - Buildings</t>
  </si>
  <si>
    <t>Table 7. Massachusetts Electricity Transmission &amp; Distribution Grid Loss Factor</t>
  </si>
  <si>
    <t>Transportation - On Road</t>
  </si>
  <si>
    <t>Table 6: Private On-road Electric Vehicles Fuel Efficiency</t>
  </si>
  <si>
    <t>Waste - Solid Waste</t>
  </si>
  <si>
    <t>Table 3: Proportion of Massachusetts In-state Waste Disposed: Landfilled vs. Combusted by Waste Type for 2017</t>
  </si>
  <si>
    <t>Waste - Wastewater</t>
  </si>
  <si>
    <t>Table 3: Indirect N2O Emissions From Wastewater Effluent (GPC Equation 8.11) for Communities Served by MWRA WWTP</t>
  </si>
  <si>
    <t>Table 4: Indirect N2O Emissions From Wastewater Effluent and CH4 Generation from Wastewater Treatment for Communities Not Served by MWRA WWTP**</t>
  </si>
  <si>
    <t xml:space="preserve">**List of WWTPs with Methane Capture </t>
  </si>
  <si>
    <t>Data Input</t>
  </si>
  <si>
    <t>Please enter community-specific data below using the instructions provided. Green cells must be updated for the tool to function properly. Blue cells are not applicable to all communities or data may be input by others (i.e. MAPC).</t>
  </si>
  <si>
    <t>Links to Input Tables:</t>
  </si>
  <si>
    <t>Energy Data</t>
  </si>
  <si>
    <t>Transportation Data</t>
  </si>
  <si>
    <t>Waste Data</t>
  </si>
  <si>
    <t xml:space="preserve">Select your city or town from the drop down menu: </t>
  </si>
  <si>
    <t>Nantucket</t>
  </si>
  <si>
    <t xml:space="preserve">Inventory year: </t>
  </si>
  <si>
    <t>ELECTRICITY AND NATURAL GAS</t>
  </si>
  <si>
    <r>
      <t xml:space="preserve">Which investor-owned utility or utilities provide(s) electricity in your community? </t>
    </r>
    <r>
      <rPr>
        <i/>
        <sz val="10"/>
        <rFont val="Arial"/>
        <family val="2"/>
      </rPr>
      <t>(Use drop down menu to select)</t>
    </r>
  </si>
  <si>
    <t>NGRID</t>
  </si>
  <si>
    <r>
      <t xml:space="preserve">If not served by an investor-owned utility, which municipally-owned utility supplies electricity in your community? </t>
    </r>
    <r>
      <rPr>
        <i/>
        <sz val="10"/>
        <rFont val="Arial"/>
        <family val="2"/>
      </rPr>
      <t>(Use drop down menu to select)</t>
    </r>
  </si>
  <si>
    <t>Not served by municipal utility</t>
  </si>
  <si>
    <r>
      <rPr>
        <b/>
        <u/>
        <sz val="10"/>
        <rFont val="Arial"/>
        <family val="2"/>
      </rPr>
      <t>Optional Question Instructions:</t>
    </r>
    <r>
      <rPr>
        <sz val="10"/>
        <rFont val="Arial"/>
        <family val="2"/>
      </rPr>
      <t xml:space="preserve"> 
1) </t>
    </r>
    <r>
      <rPr>
        <b/>
        <sz val="10"/>
        <rFont val="Arial"/>
        <family val="2"/>
      </rPr>
      <t>If your community's electricity is provided by both Eversource &amp; NGRID</t>
    </r>
    <r>
      <rPr>
        <sz val="10"/>
        <rFont val="Arial"/>
        <family val="2"/>
      </rPr>
      <t xml:space="preserve">, please indicate below the estimated percentage of electricity that is provided by each investor-owned utility. Total must add up to 100%. This information will be used to estimate the utility-specific weighted electricity emission factor. 
2) </t>
    </r>
    <r>
      <rPr>
        <b/>
        <sz val="10"/>
        <rFont val="Arial"/>
        <family val="2"/>
      </rPr>
      <t>If your community's electricity is provided by only one investor-owned utility (either Eversource or NGRID) or is served by a municipal utility</t>
    </r>
    <r>
      <rPr>
        <sz val="10"/>
        <rFont val="Arial"/>
        <family val="2"/>
      </rPr>
      <t xml:space="preserve">, skip this table. </t>
    </r>
  </si>
  <si>
    <t>Investor Owned Utility Electricity Service Coverage</t>
  </si>
  <si>
    <t>Electricity Rate</t>
  </si>
  <si>
    <t>% of Community Served by Utility</t>
  </si>
  <si>
    <t>Eversource (Eastern or Western)</t>
  </si>
  <si>
    <r>
      <rPr>
        <b/>
        <u/>
        <sz val="10"/>
        <rFont val="Arial"/>
        <family val="2"/>
      </rPr>
      <t>Mandatory Question Instructions:</t>
    </r>
    <r>
      <rPr>
        <sz val="10"/>
        <rFont val="Arial"/>
        <family val="2"/>
      </rPr>
      <t xml:space="preserve"> 
Use the hyperlink to the right to access the "MassSaveData" website. Click on the "Geographic" button in the top right and select "Usage By Month." Use the drop-downs in the top left to select "Electricity" or "Gas" and the appropriate year (2017). Find your community and enter the "Annual" total on the far right for both the "Residential" and "Commercial &amp; Industrial" sectors in the table below. If your community obtains electricity and/or gas through a municipal utility, do not enter that consumption data in this table. See below table for municipal utilities. </t>
    </r>
  </si>
  <si>
    <t>MassSaveData Source</t>
  </si>
  <si>
    <t>MassSave Electricity and Natural Gas Consumption Data</t>
  </si>
  <si>
    <t>Sector</t>
  </si>
  <si>
    <t>Total Annual Electricity Consumption (MWh / Year)</t>
  </si>
  <si>
    <t>Annual Natural Gas Consumption (Therms / Year)</t>
  </si>
  <si>
    <t>Residential:</t>
  </si>
  <si>
    <t>Commercial &amp; Industrial:</t>
  </si>
  <si>
    <t>Combined Total:</t>
  </si>
  <si>
    <t>Optional Question Instructions: 
Communities may use this table to enter electricity, natural gas, and heating oil consumption data from MassEnergyInsight. Note that the electricity and natural gas consumption data for municipal operations is also included in the MassSaveData. We break them out here so that communities may track emissions from municipal operations separately. The emissions associated with MassEnergyInsight data do not get added to MassSaveData for building energy consumption, otherwise they will be double counted.   
To find usage data by fiscal year in MassEnergyInsight, click 'view reports', and then the tab labeled 'use and cost table'. Note that delivered fuels and vehicle fleet may not align if not monthly entries.</t>
  </si>
  <si>
    <t>MassEnergyInsight Data</t>
  </si>
  <si>
    <t>MassEnergyInsight Municipal Electricity and Natural Gas Consumption Data</t>
  </si>
  <si>
    <t>Total Annual Electricity Consumption (kWh / Year)</t>
  </si>
  <si>
    <t>Annual Heating Oil Consumption (Gallons / Year)</t>
  </si>
  <si>
    <t>Municipal Operations</t>
  </si>
  <si>
    <t>Service Provider:</t>
  </si>
  <si>
    <t>IOU</t>
  </si>
  <si>
    <t>If municipal facilities are enrolled in the CCA, which program rate are they are subscribed to?</t>
  </si>
  <si>
    <t>N/A</t>
  </si>
  <si>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t>
    </r>
    <r>
      <rPr>
        <b/>
        <u/>
        <sz val="10"/>
        <rFont val="Arial"/>
        <family val="2"/>
      </rPr>
      <t>do</t>
    </r>
    <r>
      <rPr>
        <b/>
        <sz val="10"/>
        <rFont val="Arial"/>
        <family val="2"/>
      </rPr>
      <t xml:space="preserve"> have community choice aggregation</t>
    </r>
    <r>
      <rPr>
        <sz val="10"/>
        <rFont val="Arial"/>
        <family val="2"/>
      </rPr>
      <t xml:space="preserve"> in your community, contact your community choice aggregation or retail electricity provider to obtain data on the annual electricity consumption for 2017 by rate (e.g. "Traditional", "5% Green", "50% Green", "100% Green") and by sector (e.g. "Residential" and "Commercial &amp; Industrial"). The number of rates will vary from community to community. For example, some communities will have three residential rates while others will have four residential rates. If, for example, your community only has three residential rates, in the "Residential Rate 4" row select "No" in the "Include This Rate in Calculations?" column. For each rate, you will also need to obtain information from your community choice aggregation or retail provider on the percent of "Class I Voluntary RECs" associated with each rate. Enter the appropriate data in the table below.
2) </t>
    </r>
    <r>
      <rPr>
        <b/>
        <sz val="10"/>
        <rFont val="Arial"/>
        <family val="2"/>
      </rPr>
      <t xml:space="preserve">If you </t>
    </r>
    <r>
      <rPr>
        <b/>
        <u/>
        <sz val="10"/>
        <rFont val="Arial"/>
        <family val="2"/>
      </rPr>
      <t>do not</t>
    </r>
    <r>
      <rPr>
        <b/>
        <sz val="10"/>
        <rFont val="Arial"/>
        <family val="2"/>
      </rPr>
      <t xml:space="preserve"> have community choice aggregation</t>
    </r>
    <r>
      <rPr>
        <sz val="10"/>
        <rFont val="Arial"/>
        <family val="2"/>
      </rPr>
      <t xml:space="preserve"> in your community, skip this table. </t>
    </r>
  </si>
  <si>
    <t>Community Choice Electricity Consumption Data</t>
  </si>
  <si>
    <t>Include This Rate in Calculations?</t>
  </si>
  <si>
    <t>% of Class I Voluntary RECs</t>
  </si>
  <si>
    <t>Residential PowerChoice</t>
  </si>
  <si>
    <t>Yes</t>
  </si>
  <si>
    <t>Residential PowerChoice Green</t>
  </si>
  <si>
    <t>Residential Rate 3</t>
  </si>
  <si>
    <t>No</t>
  </si>
  <si>
    <t>Residential Rate 4</t>
  </si>
  <si>
    <t>Total CCA Residential</t>
  </si>
  <si>
    <t>C&amp;I PowerChoice</t>
  </si>
  <si>
    <t>C&amp;I PowerChoice Green</t>
  </si>
  <si>
    <t>C&amp;I Rate 3</t>
  </si>
  <si>
    <t>C&amp;I Rate 4</t>
  </si>
  <si>
    <t>Total CCA Commercial &amp; Industrial</t>
  </si>
  <si>
    <t>Total CCA Residential, Commercial &amp; Industrial</t>
  </si>
  <si>
    <r>
      <rPr>
        <b/>
        <u/>
        <sz val="10"/>
        <rFont val="Arial"/>
        <family val="2"/>
      </rPr>
      <t>Mandatory Question Instructions:</t>
    </r>
    <r>
      <rPr>
        <b/>
        <sz val="10"/>
        <rFont val="Arial"/>
        <family val="2"/>
      </rPr>
      <t xml:space="preserve"> </t>
    </r>
    <r>
      <rPr>
        <sz val="10"/>
        <rFont val="Arial"/>
        <family val="2"/>
      </rPr>
      <t xml:space="preserve">
1) </t>
    </r>
    <r>
      <rPr>
        <b/>
        <sz val="10"/>
        <rFont val="Arial"/>
        <family val="2"/>
      </rPr>
      <t>If your electricity or gas is provided by a municipal utility</t>
    </r>
    <r>
      <rPr>
        <sz val="10"/>
        <rFont val="Arial"/>
        <family val="2"/>
      </rPr>
      <t xml:space="preserve">, contact your municipal utility to obtain data on the annual electricity consumption and/or natural gas consumption for 2017 by sector (e.g. "Residential" and "Commercial &amp; Industrial"). Enter the appropriate data in the table below.
2) </t>
    </r>
    <r>
      <rPr>
        <b/>
        <sz val="10"/>
        <rFont val="Arial"/>
        <family val="2"/>
      </rPr>
      <t xml:space="preserve">If you </t>
    </r>
    <r>
      <rPr>
        <b/>
        <u/>
        <sz val="10"/>
        <rFont val="Arial"/>
        <family val="2"/>
      </rPr>
      <t>do not have</t>
    </r>
    <r>
      <rPr>
        <b/>
        <sz val="10"/>
        <rFont val="Arial"/>
        <family val="2"/>
      </rPr>
      <t xml:space="preserve"> a municipal utility</t>
    </r>
    <r>
      <rPr>
        <sz val="10"/>
        <rFont val="Arial"/>
        <family val="2"/>
      </rPr>
      <t xml:space="preserve"> in your community, skip this table.  </t>
    </r>
  </si>
  <si>
    <t>Municipal Utility Electricity Consumption Data</t>
  </si>
  <si>
    <t>Total Natural Gas Consumption (therms / Year)</t>
  </si>
  <si>
    <t>Residential</t>
  </si>
  <si>
    <t>Commercial &amp; Industrial</t>
  </si>
  <si>
    <t>Total</t>
  </si>
  <si>
    <t>HEATING OIL</t>
  </si>
  <si>
    <r>
      <rPr>
        <b/>
        <u/>
        <sz val="10"/>
        <rFont val="Arial"/>
        <family val="2"/>
      </rPr>
      <t>Mandatory Question Instructions:</t>
    </r>
    <r>
      <rPr>
        <sz val="10"/>
        <rFont val="Arial"/>
        <family val="2"/>
      </rPr>
      <t xml:space="preserve"> 
Use the hyperlink to the right to access the Massachusetts Executive office of Labor and Workforce Development (EOLWD) Employment and Wages (ES-202) data. 
1) "Select Area Type" drop-down: Select "City or Town"
2) "Select Specific Geogrpahic Area" drop-down: Select your community
3) "Select a Year" drop-down: Select your inventory year
4) "Select the Time Period" drop-down: Select "Annual Report"
5) "Select the Ownership" drop-down: Select "All ownership types"
6) "Select an Industry or Industry Sector" drop-down: Select "Total, All Industries"
7) "Select the Category" option: Select "Category and all sub-categories"
8) Select the link to "Download and save the data as a Comma Separated Value (CSV) File". Open the CSV. 
9) Sort Column A ("NAICS") to "Sort smallest to largest"
10) </t>
    </r>
    <r>
      <rPr>
        <u/>
        <sz val="10"/>
        <rFont val="Arial"/>
        <family val="2"/>
      </rPr>
      <t>Only include data that has a 3-digit NAICS code</t>
    </r>
    <r>
      <rPr>
        <sz val="10"/>
        <rFont val="Arial"/>
        <family val="2"/>
      </rPr>
      <t xml:space="preserve"> in column A. Take data from Column A ("NAICS"), Column C ("No. of Establishments") and column Q ("Average Monthly Employment") for all rows of data with a 3-digit NAICS code and paste it in the table below. 
The number of NAICS codes in each community will vary considerably. It is very likely that the below table will have blank rows after it is populated with your community's data. 
</t>
    </r>
  </si>
  <si>
    <t>EOLWD Source</t>
  </si>
  <si>
    <t>Number of Establishments and Monthly Employment by NAICS Code</t>
  </si>
  <si>
    <t>Column A - NAICS</t>
  </si>
  <si>
    <t>Column C - No. of Establishments</t>
  </si>
  <si>
    <t>Column Q - Average Monthly Employment</t>
  </si>
  <si>
    <r>
      <rPr>
        <b/>
        <u/>
        <sz val="10"/>
        <rFont val="Arial"/>
        <family val="2"/>
      </rPr>
      <t>Mandatory Question Instructions Part 1:</t>
    </r>
    <r>
      <rPr>
        <sz val="10"/>
        <rFont val="Arial"/>
        <family val="2"/>
      </rPr>
      <t xml:space="preserve"> 
Use the hyperlink to the right to access ACS data for Housing Tenure by Units in Structure on MAPC's Data Common
1) Select the applicable five year estimate range (for 2017, this is 2013-2017).
2) Click the "CSV" button in the top right of the display to download the data, or simply view in the browser.
3) Navigate to the appropriate row of data for your municipality. Enter the number of households in your community for each "Units in Structure" category below. The applicable meta data field name is provided in parantheses.
</t>
    </r>
  </si>
  <si>
    <t>MAPC Data Common Housing by Units</t>
  </si>
  <si>
    <r>
      <rPr>
        <b/>
        <u/>
        <sz val="10"/>
        <rFont val="Arial"/>
        <family val="2"/>
      </rPr>
      <t>Mandatory Question Instructions Part 2:</t>
    </r>
    <r>
      <rPr>
        <sz val="10"/>
        <rFont val="Arial"/>
        <family val="2"/>
      </rPr>
      <t xml:space="preserve"> 
Use the hyperlink to the right to access ACS data for Housing Tenure by Fuel Type on MAPC's Data Common
1) Select the applicable five year estimate range (for 2017, this is 2013-2017).
2) Click the "CSV" button in the top right of the display to download the data, or simply view in the browser.
3) Navigate to the appropriate row of data for your municipality. Enter the value for "% of households heated by Oil" below.</t>
    </r>
  </si>
  <si>
    <t>MAPC Data Common Housing by Fuel Type</t>
  </si>
  <si>
    <t>Households in Community by Housing Type &amp; Percent of Homes Using Fuel Oil</t>
  </si>
  <si>
    <t>Housing Type</t>
  </si>
  <si>
    <t>Number of Households in Community</t>
  </si>
  <si>
    <t>1-unit, detached (u1d)</t>
  </si>
  <si>
    <t>1-unit, attached (u1a)</t>
  </si>
  <si>
    <t>2 units (u2)</t>
  </si>
  <si>
    <t>3 or 4 units (u3_4)</t>
  </si>
  <si>
    <t>5 to 9 units (u5_9)</t>
  </si>
  <si>
    <t>10 to 19 units (u10_19)</t>
  </si>
  <si>
    <t>20 or more units (u20ov)</t>
  </si>
  <si>
    <t>Mobiles homes (mobl)</t>
  </si>
  <si>
    <t>House Heating Fuel</t>
  </si>
  <si>
    <t>Percent Occupied Housing Units in Community</t>
  </si>
  <si>
    <t>Fuel oil, kerosene, etc. (oil_p)</t>
  </si>
  <si>
    <t>OFF ROAD</t>
  </si>
  <si>
    <r>
      <rPr>
        <b/>
        <u/>
        <sz val="10"/>
        <rFont val="Arial"/>
        <family val="2"/>
      </rPr>
      <t>Mandatory Question Instructions Part 1:</t>
    </r>
    <r>
      <rPr>
        <sz val="10"/>
        <rFont val="Arial"/>
        <family val="2"/>
      </rPr>
      <t xml:space="preserve"> 
Use the hyperlink to the right to access the U.S. Census Data search: 
1) Enter "CB1700CBP" into the search bar and select "Search"
2) Select the table titled "All Sectors: County Business Patterns by Legal Form of Organization and Employment Size Class for U.S., States, and Selected Geographics: 2017"
3) Select "Customize Table"
4) Select "Geographies", then select the filters for "County", "Massachuestts", and your municipality's county. 
5) For the top row ("Total for all sectors" and "All establishments") find the "Number of employees" column. Enter this data as total employment for the county in the below table. 
6) For the "Manufacturing" and "All establishments" row find the "Number of employees". Enter this data as manufacturing employment for the county in the below table. 
</t>
    </r>
  </si>
  <si>
    <t>U.S. Census Data</t>
  </si>
  <si>
    <r>
      <rPr>
        <b/>
        <u/>
        <sz val="10"/>
        <rFont val="Arial"/>
        <family val="2"/>
      </rPr>
      <t>Mandatory Question Instructions Part 2:</t>
    </r>
    <r>
      <rPr>
        <sz val="10"/>
        <rFont val="Arial"/>
        <family val="2"/>
      </rPr>
      <t xml:space="preserve"> 
Use the hyperlink to the right to access the U.S. Census Data search: 
1) Enter "S2405" into the search bar and select "Search"
2) Select the table titled "Industry by Occupation for the Civilian Employed Population 16 Years and Over"
3) Underthe "Product" dropdown select the 5-year estimates for your inventory year.
4) Select "Customize Table"
5) Select "Geographies", then select the filters for "County Subdivision", "Massachuestts", and your municipality. 
6) For the top row ("Civilian employed population 16 years and over") find the "Total" estimate column. Enter this data as total employment for the city/town in the below table. 
7) For the "Manufacturing" row find the "Total" estimate column. Enter this data as manufacturing employment for the city/town in the below table. 
</t>
    </r>
  </si>
  <si>
    <r>
      <rPr>
        <b/>
        <u/>
        <sz val="10"/>
        <rFont val="Arial"/>
        <family val="2"/>
      </rPr>
      <t>Mandatory Question Instructions Part 3:</t>
    </r>
    <r>
      <rPr>
        <sz val="10"/>
        <rFont val="Arial"/>
        <family val="2"/>
      </rPr>
      <t xml:space="preserve"> 
Use the hyperlink to the right to access estimated landscaped area square footage data on MAPC's DataCommon. 
1) Select the applicable year (the most recent year available is 2017).
2) Click the "CSV" button in the top right of the display to download the data, or simply view in the browser.
3) Navigate to the appropriate row of data for your municipality. Enter the values for developed open space at the county and municipal level.</t>
    </r>
  </si>
  <si>
    <t>MAPC Data Common - Estimated Landscaped Area</t>
  </si>
  <si>
    <t>Total &amp; Manufacturing Employment</t>
  </si>
  <si>
    <t>Employment Description</t>
  </si>
  <si>
    <t>County Data</t>
  </si>
  <si>
    <t>City/Town Data</t>
  </si>
  <si>
    <t>Total Employment</t>
  </si>
  <si>
    <t>Manufacturing Employment</t>
  </si>
  <si>
    <t>Square Feet of Developed Open Space</t>
  </si>
  <si>
    <t>Square Feet of Commercial Development Under Construction</t>
  </si>
  <si>
    <r>
      <rPr>
        <b/>
        <u/>
        <sz val="10"/>
        <rFont val="Arial"/>
        <family val="2"/>
      </rPr>
      <t xml:space="preserve">Mandatory Question Instructions:
</t>
    </r>
    <r>
      <rPr>
        <sz val="10"/>
        <rFont val="Arial"/>
        <family val="2"/>
      </rPr>
      <t xml:space="preserve">Use the hyperlink to the right to access the MOVES emissions data on MAPC's Data Common. 
1) Select the applicable year (the most recent year available is 2017).
2) Click the "CSV" button in the top right of the display to download the data, or simply view in the browser.
3) Navigate to the appropriate rows of data for your county. Enter the CO2 and CH4 emissions for your county below.
</t>
    </r>
  </si>
  <si>
    <t>MAPC DataCommon - MOVES Off-Road Estimates</t>
  </si>
  <si>
    <t xml:space="preserve">County Off-Road Transportation Emissions </t>
  </si>
  <si>
    <t>County in which your community located:</t>
  </si>
  <si>
    <t>Emissions Source</t>
  </si>
  <si>
    <t>CO2 Emissions (lbs)</t>
  </si>
  <si>
    <t>CH4 Emissions (lbs)</t>
  </si>
  <si>
    <t>Industrial</t>
  </si>
  <si>
    <t>Lawn / Garden</t>
  </si>
  <si>
    <t xml:space="preserve">Commercial </t>
  </si>
  <si>
    <t>Construction</t>
  </si>
  <si>
    <r>
      <rPr>
        <b/>
        <u/>
        <sz val="10"/>
        <rFont val="Arial"/>
        <family val="2"/>
      </rPr>
      <t>Mandatory Question Instructions:</t>
    </r>
    <r>
      <rPr>
        <sz val="10"/>
        <rFont val="Arial"/>
        <family val="2"/>
      </rPr>
      <t xml:space="preserve"> 
Use the hyperlink to the right to access the Massachusetts Vehicle Census on MAPC's Data Common. 
1) Select the applicable year (the most recent year available is 2014).
2) Click the "CSV" button in the top right of the display to download the data, or simply view in the browser.
3) Navigate to the appropriate row of data for your municipality. Enter the values called for below for both passenger and commercial vehicles.</t>
    </r>
    <r>
      <rPr>
        <i/>
        <sz val="10"/>
        <rFont val="Arial"/>
        <family val="2"/>
      </rPr>
      <t xml:space="preserve"> Note: Gasoline Hybrid vehicles are indicated by the presence of a "1" in the Hybrid column of the data. </t>
    </r>
  </si>
  <si>
    <t>MAPC DataCommon - MA Vehicle Census Summary Statistics</t>
  </si>
  <si>
    <t>Private On-road Passenger Vehicles Registration, VMT, and Fuel Economy Data</t>
  </si>
  <si>
    <t>Vehicle Fuel</t>
  </si>
  <si>
    <r>
      <t xml:space="preserve">Vehicles Registered in Town/City: All </t>
    </r>
    <r>
      <rPr>
        <i/>
        <sz val="10"/>
        <color theme="0"/>
        <rFont val="Arial"/>
        <family val="2"/>
      </rPr>
      <t>(veh_tot)</t>
    </r>
  </si>
  <si>
    <r>
      <t>Vehicles Registered in Town/City: With Valid Mileage Estimate and Fuel Economy</t>
    </r>
    <r>
      <rPr>
        <i/>
        <sz val="10"/>
        <color theme="0"/>
        <rFont val="Arial"/>
        <family val="2"/>
      </rPr>
      <t xml:space="preserve"> (dvmtmpg_vh)</t>
    </r>
  </si>
  <si>
    <r>
      <t>Average Daily Vehicle Miles Travelled (DVMT): 
Vehicles With Known Fuel Type</t>
    </r>
    <r>
      <rPr>
        <i/>
        <sz val="10"/>
        <color theme="0"/>
        <rFont val="Arial"/>
        <family val="2"/>
      </rPr>
      <t xml:space="preserve"> (dvmt_mean)</t>
    </r>
  </si>
  <si>
    <r>
      <t>Average Fuel Economy (MPG): Vehicles with Know Fuel Type</t>
    </r>
    <r>
      <rPr>
        <i/>
        <sz val="10"/>
        <color theme="0"/>
        <rFont val="Arial"/>
        <family val="2"/>
      </rPr>
      <t xml:space="preserve"> (mpg_mean)</t>
    </r>
  </si>
  <si>
    <t>Passenger Vehicles</t>
  </si>
  <si>
    <t xml:space="preserve">   Gasoline</t>
  </si>
  <si>
    <t xml:space="preserve">   Diesel</t>
  </si>
  <si>
    <t xml:space="preserve">   FlexFuel</t>
  </si>
  <si>
    <t xml:space="preserve">   Gasoline (Hybrid)</t>
  </si>
  <si>
    <t xml:space="preserve">   Electric</t>
  </si>
  <si>
    <t>Private On-road Commercial Vehicles Registration, VMT, and Fuel Economy Data</t>
  </si>
  <si>
    <r>
      <t xml:space="preserve">Vehicles Registered in Town/City: With Valid Mileage Estimate and Fuel Economy </t>
    </r>
    <r>
      <rPr>
        <i/>
        <sz val="10"/>
        <color theme="0"/>
        <rFont val="Arial"/>
        <family val="2"/>
      </rPr>
      <t>(dvmtmpg_vh)</t>
    </r>
  </si>
  <si>
    <r>
      <t xml:space="preserve">Average Daily Vehicle Miles Travelled (DVMT): 
Vehicles With Known Fuel Type </t>
    </r>
    <r>
      <rPr>
        <i/>
        <sz val="10"/>
        <color theme="0"/>
        <rFont val="Arial"/>
        <family val="2"/>
      </rPr>
      <t>(dvmt_mean)</t>
    </r>
  </si>
  <si>
    <r>
      <t xml:space="preserve">Average Fuel Economy (MPG): Vehicles with Know Fuel Type </t>
    </r>
    <r>
      <rPr>
        <i/>
        <sz val="10"/>
        <color theme="0"/>
        <rFont val="Arial"/>
        <family val="2"/>
      </rPr>
      <t>(mpg_mean)</t>
    </r>
  </si>
  <si>
    <t>Commercial Vehicles</t>
  </si>
  <si>
    <r>
      <rPr>
        <b/>
        <u/>
        <sz val="10"/>
        <rFont val="Arial"/>
        <family val="2"/>
      </rPr>
      <t>Optional Question Instructions:</t>
    </r>
    <r>
      <rPr>
        <sz val="10"/>
        <rFont val="Arial"/>
        <family val="2"/>
      </rPr>
      <t xml:space="preserve"> 
Communities may use this table to enter vehicle gasoline and diesel consumption data from MassEnergyInsight. Municipal fleet vehicles are not included in the Massachusetts Vehicle Census, so these are emissions resulting from the combustion of fuel are added to the on-road commercial vehicle totals   
To find usage data by fiscal year in MassEnergyInsight, click 'view reports', and then the tab labeled 'use and cost table'. Note that delivered fuels and vehicle fleet may not align if not monthly entries.</t>
    </r>
  </si>
  <si>
    <t xml:space="preserve">MassEnergyInsight Municipal Vehicle Fuel Consumption Data </t>
  </si>
  <si>
    <t>Number of Fleet Vehicles by Fuel Type</t>
  </si>
  <si>
    <t>Fuel Used by Fuel Type (gallons)</t>
  </si>
  <si>
    <r>
      <rPr>
        <b/>
        <u/>
        <sz val="10"/>
        <rFont val="Arial"/>
        <family val="2"/>
      </rPr>
      <t>Mandatory Question Instructions:</t>
    </r>
    <r>
      <rPr>
        <sz val="10"/>
        <rFont val="Arial"/>
        <family val="2"/>
      </rPr>
      <t xml:space="preserve"> 
Use the hyperlink to the right to access MBTA Route Distance data on MAPC's Data Common. 
1) Select the applicable year (the most recent year available is 2017).
2) Click the "CSV" button in the top right of the display to download the data, or simply view in the browser.
3) Navigate to the appropriate row of data for your municipality. Enter the values called for below for each On-Road Public Transit Type serving your municipality.</t>
    </r>
  </si>
  <si>
    <t>MAPC DataCommon - MBTA Frequency Weighted Trip Miles</t>
  </si>
  <si>
    <t>MBTA On-Road Public Transportation City/Town Frequency-weighted Route Distance</t>
  </si>
  <si>
    <t>On-Road Public Transit Type</t>
  </si>
  <si>
    <t>City/Town Frequency-weighted Route Distance (miles/year)</t>
  </si>
  <si>
    <t>Line Annual Diesel Consumption (gallons/year)*</t>
  </si>
  <si>
    <t>Line Annual CNG Consumption (MMBTU/year)</t>
  </si>
  <si>
    <t>Line Annual Electricity Consumption (MWh/year)*</t>
  </si>
  <si>
    <r>
      <t>MBTA Frequency-weighted Route Distance (miles/year)</t>
    </r>
    <r>
      <rPr>
        <b/>
        <sz val="12"/>
        <color theme="0"/>
        <rFont val="Arial"/>
        <family val="2"/>
      </rPr>
      <t>*</t>
    </r>
  </si>
  <si>
    <t>MBTA Silver Line</t>
  </si>
  <si>
    <t>Trackless Trolley</t>
  </si>
  <si>
    <t>All MBTA Bus (Excluding Silver Line)</t>
  </si>
  <si>
    <r>
      <rPr>
        <b/>
        <u/>
        <sz val="10"/>
        <rFont val="Arial"/>
        <family val="2"/>
      </rPr>
      <t>Mandatory Question Instructions:</t>
    </r>
    <r>
      <rPr>
        <sz val="10"/>
        <rFont val="Arial"/>
        <family val="2"/>
      </rPr>
      <t xml:space="preserve"> 
Use the hyperlink to the right to access MBTA Route Distance data on MAPC's Data Common. 
1) Select the applicable year (the most recent year available is 2017).
2) Click the "CSV" button in the top right of the display to download the data, or simply view in the browser.
3) Navigate to the appropriate row of data for your municipality. Enter the values called for below for each Railway Type serving your municipality.</t>
    </r>
  </si>
  <si>
    <t>MAPC DataCommon - Frequency Weighted Trip Miles</t>
  </si>
  <si>
    <t>MBTA Rail Public Transportation City/Town Frequency-weighted Route Distance</t>
  </si>
  <si>
    <t>Blue Line (Heavy Rail)</t>
  </si>
  <si>
    <t>Orange Line (Heavy Rail)</t>
  </si>
  <si>
    <t>Red Line (Heavy Rail)</t>
  </si>
  <si>
    <t>Green Line (Light Rail)</t>
  </si>
  <si>
    <t>Mattapan Trolley</t>
  </si>
  <si>
    <t>Commuter Rail</t>
  </si>
  <si>
    <t>*Input by MAPC</t>
  </si>
  <si>
    <r>
      <rPr>
        <b/>
        <u/>
        <sz val="10"/>
        <rFont val="Arial"/>
        <family val="2"/>
      </rPr>
      <t>Optional Question Instructions:</t>
    </r>
    <r>
      <rPr>
        <sz val="10"/>
        <rFont val="Arial"/>
        <family val="2"/>
      </rPr>
      <t xml:space="preserve"> 
Cities should account for fuel consumption occurring within their city boundary from Regional Transit Authority (RTA) buses. However, this data may not always be consistently available. Data must be independly collected by cities in order to estimate RTA emissions and may require some additional calculations outside of the Tool. Communities will need to discuss with RTAs the best methodology for estimating fuel consumption associated with bus lines going through an individual community. RTAs may be able to provide a direct estimate of fuel consumption occurring within a city boundary or they may be able to provide information on route distance travelled in the city, total route distance travelled by the RTA and total fuel consumption associated with the RTA. This information can be used to separately estimate total RTA fuel consumption attributable to a single community as an optional input into the table below.  </t>
    </r>
  </si>
  <si>
    <t>Regional Transit Authority On-Road Public Transportation City/Town Fuel Consumption</t>
  </si>
  <si>
    <t>City/Town Annual Gasoline Consumption (gal/year)</t>
  </si>
  <si>
    <t>City/Town Annual Diesel Consumption (gal/year)</t>
  </si>
  <si>
    <t>City/Town CNG Consumption (MMBTU/year)</t>
  </si>
  <si>
    <t>City/Town Electricity Consumption (kWh/year)**</t>
  </si>
  <si>
    <t>Fixed Route Service</t>
  </si>
  <si>
    <t>Demand Response Service</t>
  </si>
  <si>
    <t>Non-Revenue Vehicles Fixed Route</t>
  </si>
  <si>
    <r>
      <rPr>
        <b/>
        <u/>
        <sz val="10"/>
        <rFont val="Arial"/>
        <family val="2"/>
      </rPr>
      <t>Optional Question Instructions:</t>
    </r>
    <r>
      <rPr>
        <sz val="10"/>
        <rFont val="Arial"/>
        <family val="2"/>
      </rPr>
      <t xml:space="preserve"> 
Cities should account for fuel consumption occurring within their city boundary from any municipally operated on-road or trolley buses. This data can be input below if this data is collected by the municipality on annual fuel consumption associated with these bus routes</t>
    </r>
  </si>
  <si>
    <t>Municipally-operated Bus Routes</t>
  </si>
  <si>
    <r>
      <t xml:space="preserve">Do you know what percent of waste collected in your community (excluding separated organics) is sent to landfill vs. incineration? </t>
    </r>
    <r>
      <rPr>
        <i/>
        <sz val="10"/>
        <rFont val="Arial"/>
        <family val="2"/>
      </rPr>
      <t>(Use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</si>
  <si>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2) </t>
    </r>
    <r>
      <rPr>
        <b/>
        <sz val="10"/>
        <rFont val="Arial"/>
        <family val="2"/>
      </rPr>
      <t xml:space="preserve">If you answered </t>
    </r>
    <r>
      <rPr>
        <b/>
        <u/>
        <sz val="10"/>
        <rFont val="Arial"/>
        <family val="2"/>
      </rPr>
      <t>"No"</t>
    </r>
    <r>
      <rPr>
        <sz val="10"/>
        <rFont val="Arial"/>
        <family val="2"/>
      </rPr>
      <t xml:space="preserve"> to the previous question, skip below table. 
</t>
    </r>
  </si>
  <si>
    <t>City-Specific Disposed Waste Destination</t>
  </si>
  <si>
    <t>Final Destination of Collected Waste Material</t>
  </si>
  <si>
    <t>Percent of Waste</t>
  </si>
  <si>
    <t>Landfill</t>
  </si>
  <si>
    <t>Incineration</t>
  </si>
  <si>
    <r>
      <t xml:space="preserve">If your community has curbside organics collection, do you know what percent of collected organic material is sent to a compositing facility vs. an anaerobic digestion facility? </t>
    </r>
    <r>
      <rPr>
        <i/>
        <sz val="10"/>
        <rFont val="Arial"/>
        <family val="2"/>
      </rPr>
      <t>(Use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</si>
  <si>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b/>
        <sz val="10"/>
        <rFont val="Arial"/>
        <family val="2"/>
      </rPr>
      <t xml:space="preserve"> </t>
    </r>
    <r>
      <rPr>
        <sz val="10"/>
        <rFont val="Arial"/>
        <family val="2"/>
      </rPr>
      <t xml:space="preserve">to previous question, complete below table.
2) </t>
    </r>
    <r>
      <rPr>
        <b/>
        <sz val="10"/>
        <rFont val="Arial"/>
        <family val="2"/>
      </rPr>
      <t xml:space="preserve">If you answered </t>
    </r>
    <r>
      <rPr>
        <b/>
        <u/>
        <sz val="10"/>
        <rFont val="Arial"/>
        <family val="2"/>
      </rPr>
      <t>"No" or "N/A"</t>
    </r>
    <r>
      <rPr>
        <sz val="10"/>
        <rFont val="Arial"/>
        <family val="2"/>
      </rPr>
      <t xml:space="preserve"> to the previous question, skip below table. 
</t>
    </r>
  </si>
  <si>
    <t>City-Specific Organic Recycling Destination</t>
  </si>
  <si>
    <t>Final Destination of Collected Organic Material</t>
  </si>
  <si>
    <t>Composting Facility</t>
  </si>
  <si>
    <t>Anaerobic Digestion Facility</t>
  </si>
  <si>
    <r>
      <t>Has your community completed a waste characterization study that you would prefer to use in this inventory instead of the default State waste characterization study?</t>
    </r>
    <r>
      <rPr>
        <i/>
        <sz val="10"/>
        <rFont val="Arial"/>
        <family val="2"/>
      </rPr>
      <t xml:space="preserve"> (Use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</si>
  <si>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If your community has a waste characterization study, the categories in your community's waste characterization study may not "map" exactly to the waste categories used by the GPC. For example, instead of "garden waste and plant debris," your community's waste characterization study may have categories such as "branches and stumps" and "prunings, trimmings, leaves and grass". In the below table, include the sum of all categories in your community's inventory (e.g. "branches and stumps" and "prunings, trimmings, leaves and grass") that you think appropriately "map" to the GPC waste category (e.g. "garden waste and plant debris"). 
2) </t>
    </r>
    <r>
      <rPr>
        <b/>
        <sz val="10"/>
        <rFont val="Arial"/>
        <family val="2"/>
      </rPr>
      <t xml:space="preserve">If you answered </t>
    </r>
    <r>
      <rPr>
        <b/>
        <u/>
        <sz val="10"/>
        <rFont val="Arial"/>
        <family val="2"/>
      </rPr>
      <t>"No"</t>
    </r>
    <r>
      <rPr>
        <sz val="10"/>
        <rFont val="Arial"/>
        <family val="2"/>
      </rPr>
      <t xml:space="preserve"> to the previous question, skip below table. 
</t>
    </r>
  </si>
  <si>
    <t>City-Specific Waste Characterization</t>
  </si>
  <si>
    <t>GPC Waste Category</t>
  </si>
  <si>
    <t>Percent of Total Disposed Waste in Category</t>
  </si>
  <si>
    <t>Food</t>
  </si>
  <si>
    <t>Garden Waste and Plant Debris</t>
  </si>
  <si>
    <t>Paper</t>
  </si>
  <si>
    <t>Wood</t>
  </si>
  <si>
    <t>Textiles</t>
  </si>
  <si>
    <t>Industrial Waste</t>
  </si>
  <si>
    <r>
      <rPr>
        <b/>
        <u/>
        <sz val="10"/>
        <rFont val="Arial"/>
        <family val="2"/>
      </rPr>
      <t>Mandatory Question Instructions:</t>
    </r>
    <r>
      <rPr>
        <sz val="10"/>
        <rFont val="Arial"/>
        <family val="2"/>
      </rPr>
      <t xml:space="preserve"> 
1) If your community has municipally-collected waste, determine the mass of waste collected by the municipal waste hauler. Enter the data into the appropriate cell in the below table. 
2) If your community has municipally-collected organics recycling, determine the mass of organic recycling collected by the municipal waste hauler. Enter the data into the appropriate cell in the below table. 
3) If your community has private hauler-collected waste, determine the mass of waste collected by the municipal waste hauler. Enter the data into the appropriate cell in the below table. This data is often very difficult to collect. If you are unable to collect an accurate estimate, skip this step. 
4) If your community has private hauler-collected organics recycling, determine the mass of organic recycling collected by the municipal waste hauler. Enter the data into the appropriate cell in the below table. This data is often very difficult to collect. If you are unable to collect an accurate estimate, skip this step. </t>
    </r>
  </si>
  <si>
    <t>Tonnage of Solid Waste Collected: Municipal &amp; Private Haulers</t>
  </si>
  <si>
    <t>Waste Collection Type</t>
  </si>
  <si>
    <t>Mass of Solid Waste Disposed by Landfill and Incineration - Short Tons</t>
  </si>
  <si>
    <t>Mass of Solid Waste Disposed by Composting and Anaerobic Digestion - Short Tons</t>
  </si>
  <si>
    <t>Municipal</t>
  </si>
  <si>
    <t>Commercial</t>
  </si>
  <si>
    <t>Community Total</t>
  </si>
  <si>
    <r>
      <t xml:space="preserve">Which wastewater treatment plant does your community send wastewater to? </t>
    </r>
    <r>
      <rPr>
        <i/>
        <sz val="10"/>
        <rFont val="Arial"/>
        <family val="2"/>
      </rPr>
      <t>(Use drop down menu to select)</t>
    </r>
  </si>
  <si>
    <t>None of these WWTPs</t>
  </si>
  <si>
    <t>If you selected a specific WWTP above, what is the estimated percent of your total community's population served by this WWTP?</t>
  </si>
  <si>
    <r>
      <rPr>
        <b/>
        <u/>
        <sz val="10"/>
        <rFont val="Arial"/>
        <family val="2"/>
      </rPr>
      <t>Mandatory Question Instructions:</t>
    </r>
    <r>
      <rPr>
        <sz val="10"/>
        <rFont val="Arial"/>
        <family val="2"/>
      </rPr>
      <t xml:space="preserve"> 
Community population estimates from the U.S. Census can be accessed through MAPC's DataCommon. Select the appropriate year for your inventory and navigate to the row for your municipality to find total population.</t>
    </r>
  </si>
  <si>
    <t>MAPC DataCommon - US Census Population Estimates</t>
  </si>
  <si>
    <t xml:space="preserve">What is the population of your community? </t>
  </si>
  <si>
    <t xml:space="preserve">Name </t>
  </si>
  <si>
    <t>Date</t>
  </si>
  <si>
    <t>Modification</t>
  </si>
  <si>
    <t>Source if applicable</t>
  </si>
  <si>
    <t>Brennan</t>
  </si>
  <si>
    <t>Added data to NAICS table (2019)</t>
  </si>
  <si>
    <t>Used given source</t>
  </si>
  <si>
    <t>Added data to MassSave Electicity Consumption Table (2018)</t>
  </si>
  <si>
    <t>Added data to households in community table (2018)</t>
  </si>
  <si>
    <t>Added data to Total &amp; Manufacturing Employment Table (2018 and prior)</t>
  </si>
  <si>
    <t>Added data to Off-Road Transportation Emissions (prior to 2018)</t>
  </si>
  <si>
    <t>Added data to Private On-Road Passenger Vehicles (prior to 2018)</t>
  </si>
  <si>
    <t>Added data to Private On-Road Commercial Vehicles (prior to 2018)</t>
  </si>
  <si>
    <t>Added Number of Vehicles in Vehicle Consumption data</t>
  </si>
  <si>
    <t>Spreadsheet given by Lauren</t>
  </si>
  <si>
    <t>Changed the percentages for landfill and composting</t>
  </si>
  <si>
    <t>Changed inputs for emissions factors (table 7)</t>
  </si>
  <si>
    <t>Changed inputs for emissions factors (table 12)</t>
  </si>
  <si>
    <t>Changed inputs for stationary energy - buidlings (table 7)</t>
  </si>
  <si>
    <t>Changed inputs for transportation - on road (table 6)</t>
  </si>
  <si>
    <t>Used EV cars sold in US source, as well as given source</t>
  </si>
  <si>
    <t>Changed inputs for water - solidwaste (table 3)</t>
  </si>
  <si>
    <t>Tyler</t>
  </si>
  <si>
    <t>Added data to MEI Municipal Electricity Consumption(2019)</t>
  </si>
  <si>
    <t>Used MEI software</t>
  </si>
  <si>
    <t>Added data to MEI Municipal Heating Oil Consumption(2019)</t>
  </si>
  <si>
    <t>Added data to MEI Municipal Vehicle Gas Consumption(2019)</t>
  </si>
  <si>
    <t>Added data to MEI Municipal Vehicle Diesel Consumption(2019)</t>
  </si>
  <si>
    <t>Jared</t>
  </si>
  <si>
    <t>Added Additional Inputs Tab</t>
  </si>
  <si>
    <t>Other Excel Sheet</t>
  </si>
  <si>
    <t>Added Stationary Energy - Propane Tab</t>
  </si>
  <si>
    <t>Added municipal propane consumption(2019)</t>
  </si>
  <si>
    <t>Changed "Municipally Collected" to "Drop-Off" in Solid Waste</t>
  </si>
  <si>
    <t>Changed the waste characterization table</t>
  </si>
  <si>
    <t>Used sources from Graeme Durovich</t>
  </si>
  <si>
    <t>Added propane emission factors to "Stationary Energy-Propane"</t>
  </si>
  <si>
    <t>Used EPA source</t>
  </si>
  <si>
    <t>Added data to Community Choice Electricity Consumption</t>
  </si>
  <si>
    <t>Lauren</t>
  </si>
  <si>
    <t>Added values to tonnage of solid waste collected table</t>
  </si>
  <si>
    <t>Added Propane functionality to Summary-Stationary Energy</t>
  </si>
  <si>
    <t>Added Propane functionality to All Emmsions - Summary</t>
  </si>
  <si>
    <t>Added Convsersion to MMBTU from gallons on Stationary Energy - Propane</t>
  </si>
  <si>
    <t>https://www.eia.gov/energyexplained/units-and-calculators/</t>
  </si>
  <si>
    <t>Modified RTA section to reflect NRTA routes</t>
  </si>
  <si>
    <t>Paula Leary</t>
  </si>
  <si>
    <t>Added data to RTA for "Fixed Route" diesel consumption(2019)</t>
  </si>
  <si>
    <t>Added data to RTA for "Demand Response" gas consumption(2019)</t>
  </si>
  <si>
    <t>Added data to RTA for "Non-Revenue" gas consumption(2019)</t>
  </si>
  <si>
    <t>Added Revised data for Waste and Waste Characterization</t>
  </si>
  <si>
    <t>Custom Spreadsheet, Graeme Durovich, Megan Aki</t>
  </si>
  <si>
    <t>Added propane to Table 6 in the "All Emissions - Summary" tab</t>
  </si>
  <si>
    <t>Added residential propane consumption to "Additional Inputs" tab</t>
  </si>
  <si>
    <t>Nantucket GHG Inventory 2009</t>
  </si>
  <si>
    <t>Propane Data</t>
  </si>
  <si>
    <t>Propane Usage Data</t>
  </si>
  <si>
    <t>Annual Propane Consumption (Gallons/Year)</t>
  </si>
  <si>
    <t xml:space="preserve">   Residential </t>
  </si>
  <si>
    <t xml:space="preserve">   Commercial/Industrial (including Municipal)</t>
  </si>
  <si>
    <t xml:space="preserve">   Municipal</t>
  </si>
  <si>
    <t>Update Emissions Factor</t>
  </si>
  <si>
    <t>Instructions:</t>
  </si>
  <si>
    <t>EPA Emissions Factors</t>
  </si>
  <si>
    <t>Utilize the EPA Emissions Factors Link to aquire the most up-to-date version of the emissions factors for the following.</t>
  </si>
  <si>
    <t>Emissions Factors</t>
  </si>
  <si>
    <t>Fuel Type</t>
  </si>
  <si>
    <t>Kilograms of CO2/Gallon</t>
  </si>
  <si>
    <t>Grams CH4 /Gallon</t>
  </si>
  <si>
    <t>Grams N2O/Gallon</t>
  </si>
  <si>
    <t>Propane</t>
  </si>
  <si>
    <t>Adjusting the Inventory Year</t>
  </si>
  <si>
    <t>This version of MAPC's tool is auto populated to support the completion of an inventory for the year 2017. If your community would like to complete an inventory for an alternate year, the following additional inputs will need to be updated to datasets from the appropriate year. See Appendix C of MAPC's Step-by-Step Guide for additional guidance.
Please note that, at the time of publishing this Tool, 2017 was the most recent year where the necessary data was widely available. Data availability from the sources listed below may vary depending on the alternate inventory year you have selected.</t>
  </si>
  <si>
    <t>Update Emissions Factors</t>
  </si>
  <si>
    <r>
      <rPr>
        <b/>
        <u/>
        <sz val="10"/>
        <rFont val="Arial"/>
        <family val="2"/>
      </rPr>
      <t>Instructions:</t>
    </r>
    <r>
      <rPr>
        <sz val="10"/>
        <rFont val="Arial"/>
        <family val="2"/>
      </rPr>
      <t xml:space="preserve"> 
Depending on the inventory year selected, new or revised emissions factors may be available for combusted fuels like natural gas and fuel oil. Emissions factors can be sourced from either the Climate Registry or US EPA. Both are free and publicly available - however, you will need to create a free account to access the archive of emissions factors produced by the Climate Registry. </t>
    </r>
  </si>
  <si>
    <t>The Climate Registry Emissions Factors</t>
  </si>
  <si>
    <t>Inputs for Emissions Factors - Table 1</t>
  </si>
  <si>
    <t>kg CO2/MMBTU</t>
  </si>
  <si>
    <t>MT CO2/MMBTU</t>
  </si>
  <si>
    <t>MT CH4/MMBTU</t>
  </si>
  <si>
    <t>MT N2O/MMBTU</t>
  </si>
  <si>
    <t>Natural Gas</t>
  </si>
  <si>
    <t xml:space="preserve">Distillate Fuel Oil No. 2. </t>
  </si>
  <si>
    <r>
      <rPr>
        <b/>
        <u/>
        <sz val="10"/>
        <rFont val="Arial"/>
        <family val="2"/>
      </rPr>
      <t>Instructions:</t>
    </r>
    <r>
      <rPr>
        <sz val="10"/>
        <rFont val="Arial"/>
        <family val="2"/>
      </rPr>
      <t xml:space="preserve"> 
In order to update the electricity emissions factors calculations, go to the MassDEP link provided and access the final GHG Reporting Program Summary Report for Retail Sellers of Electricity for the inventory year. 
1) Download the report and navigate to Table 1: GHG Emission Factors for Electricity Consumed in Massachusetts, prior to and after accounting for particular generating units" and input the value for the Massachusetts-based approach, non-biogenic, after accounting for particular generating units in lbs CO2e/MWh.
2) Within Appendix 3, you will also need to input the values from "Table 7: Electricity Consumers Retail-Level MA-Based CO2e GHG Emissions Factors by Individual Gas" for lbs/retail MWh for CO2, CH4, and N2O.</t>
    </r>
  </si>
  <si>
    <t>MassDEP Reported Emissions Factors</t>
  </si>
  <si>
    <t>Inputs for Emissions Factors - Table 3</t>
  </si>
  <si>
    <t>Greenhouse Gas</t>
  </si>
  <si>
    <t xml:space="preserve"> Combined Retail Level Electricity Emission Factor (lbs CO2e/MWh)</t>
  </si>
  <si>
    <t>Non-Biogenic Retail Level Electricity Emission Factor (lbs CO2e/MWh)</t>
  </si>
  <si>
    <t>CO2</t>
  </si>
  <si>
    <t>CH4</t>
  </si>
  <si>
    <t>N2O</t>
  </si>
  <si>
    <t>CO2e</t>
  </si>
  <si>
    <r>
      <rPr>
        <b/>
        <u/>
        <sz val="10"/>
        <rFont val="Arial"/>
        <family val="2"/>
      </rPr>
      <t>Instructions:</t>
    </r>
    <r>
      <rPr>
        <sz val="10"/>
        <rFont val="Arial"/>
        <family val="2"/>
      </rPr>
      <t xml:space="preserve"> 
In order to update the electricity emissions factors calculations, go to the MassDEP link provided and access the final GHG Reporting Program Summary Report for Retail Sellers of Electricty for the inventory year. 
1) Navigate to Appendix 2 and input the values from "Table 5: Individual Retail Seller Emissions Factors" for the % of sales reported as non-emitting MWh for each Electric Utility and Municipal Electric Department listed below. </t>
    </r>
  </si>
  <si>
    <t>Inputs for Emissions Factors - Table 6 and Table 9</t>
  </si>
  <si>
    <t>Investor-owned Utility / Municipal Utility</t>
  </si>
  <si>
    <t>% Of Sales Reported to MA DEP as "Non-emitting MWh"</t>
  </si>
  <si>
    <t>Eversource/NSTAR</t>
  </si>
  <si>
    <t>Eversource/WMECO</t>
  </si>
  <si>
    <t>Ashburnham Muni. Light Dept.</t>
  </si>
  <si>
    <t>Belmont Municipal Light Department</t>
  </si>
  <si>
    <t>Boylston Municipal Light Dept.</t>
  </si>
  <si>
    <t>Braintree Electric Light Dept.</t>
  </si>
  <si>
    <t>Chester Municipal Electric Light Dept.</t>
  </si>
  <si>
    <t>Chicopee Electric Light Dept.</t>
  </si>
  <si>
    <t>Concord Municipal Light Plant</t>
  </si>
  <si>
    <t>Danvers Electric Division</t>
  </si>
  <si>
    <t>Georgetown Municipal Light Department</t>
  </si>
  <si>
    <t>Groton Electric Light Dept.</t>
  </si>
  <si>
    <t>Groveland Municipal Light Dept.</t>
  </si>
  <si>
    <t>Hingham Municipal Lighting Plant</t>
  </si>
  <si>
    <t>Holden Municipal Light Dept.</t>
  </si>
  <si>
    <t>Holyoke Gas &amp; Electric Dept.</t>
  </si>
  <si>
    <t>Hudson Light &amp; Power Dept.</t>
  </si>
  <si>
    <t>Hull Municipal Lighting Plant</t>
  </si>
  <si>
    <t>Ipswich Municipal Light Department</t>
  </si>
  <si>
    <t>Littleton Electric Light &amp; Water</t>
  </si>
  <si>
    <t>Mansfield Municipal Electric Dept.</t>
  </si>
  <si>
    <t>Marblehead Municipal Light Dept.</t>
  </si>
  <si>
    <t>Merrimac Municipal Light &amp; Water Dept.</t>
  </si>
  <si>
    <t>Middleborough Gas &amp; Electric Dept.</t>
  </si>
  <si>
    <t>Middleton Municipal Electric Dept.</t>
  </si>
  <si>
    <t>North Attleboro Electric Dept.</t>
  </si>
  <si>
    <t>Norwood Municipal Light Dept.</t>
  </si>
  <si>
    <t>Paxton Municipal Light Dept.</t>
  </si>
  <si>
    <t>Peabody Municipal Light Plant</t>
  </si>
  <si>
    <t>Princeton Municipal Light Dept.</t>
  </si>
  <si>
    <t>Reading Municipal Light Dept.</t>
  </si>
  <si>
    <t>Rowley Municipal Lighting Plant</t>
  </si>
  <si>
    <t>Russell Municipal Light Department</t>
  </si>
  <si>
    <t>Shrewsbury Electric &amp; Cable Ops.</t>
  </si>
  <si>
    <t>South Hadley Electric Light Dept.</t>
  </si>
  <si>
    <t>Sterling Municipal Light Dept.</t>
  </si>
  <si>
    <t>Taunton Municipal Lighting Plant</t>
  </si>
  <si>
    <t>Templeton Municipal Light &amp; Water</t>
  </si>
  <si>
    <t>Wakefield Municipal Gas &amp; Light Dept.</t>
  </si>
  <si>
    <t>Wellesley Municipal Light Plant</t>
  </si>
  <si>
    <t>West Boylston Municipal Lighting Plant</t>
  </si>
  <si>
    <t>Westfield Gas &amp; Electric</t>
  </si>
  <si>
    <r>
      <rPr>
        <b/>
        <u/>
        <sz val="10"/>
        <rFont val="Arial"/>
        <family val="2"/>
      </rPr>
      <t>Instructions:</t>
    </r>
    <r>
      <rPr>
        <sz val="10"/>
        <rFont val="Arial"/>
        <family val="2"/>
      </rPr>
      <t xml:space="preserve"> 
If your community has a green municipal aggregation program (see Question 1C of the Guide), you will also need to update the minimum compliance percentage for Class I under the Massachusetts Renewable Portfolio Standard. Under Massachusetts General Law, this compliance percentage increases by one percent each year. You will need to access the minimum compliance percentage for Class I (with carve outs) for the appropriate inventory year.</t>
    </r>
  </si>
  <si>
    <t>Massachusetts Renewable Portfolio Standard</t>
  </si>
  <si>
    <t>Inputs for Emissions Factors - Table 7</t>
  </si>
  <si>
    <t>Class I (with carve outs)</t>
  </si>
  <si>
    <t>RPS minimum compliance percentage</t>
  </si>
  <si>
    <r>
      <rPr>
        <b/>
        <u/>
        <sz val="10"/>
        <rFont val="Arial"/>
        <family val="2"/>
      </rPr>
      <t>Instructions:</t>
    </r>
    <r>
      <rPr>
        <sz val="10"/>
        <rFont val="Arial"/>
        <family val="2"/>
      </rPr>
      <t xml:space="preserve"> 
Occasionally, the numbers used to assess Global Warming Potential will be updated or revised. This change can be due to updated scientific estimates of the energy absorption or lifetime of the gases or to changing atmospheric concentrations of GHGs that result in a change in the energy absorption of 1 additional ton of a gas relative to another. The Tool defaults to use the GWP values provided by the Intergovernmental Panel on Climate Change in the Fifth Assessment Report (2014). The Global Protocol recommends using the most recent GWP values available. 
</t>
    </r>
    <r>
      <rPr>
        <i/>
        <sz val="10"/>
        <rFont val="Arial"/>
        <family val="2"/>
      </rPr>
      <t>These inputs should only be adjusted if a more recent Assessment Report has been released by the IPCC with revised GWP values, or if this Tool is being used for a historic inventory requiring the use of older GWP values.</t>
    </r>
  </si>
  <si>
    <t>Global Protocol Historic IPCC GWP Values</t>
  </si>
  <si>
    <t>Inputs for Emissions Factors - Table 11</t>
  </si>
  <si>
    <t>Methane (CH4)</t>
  </si>
  <si>
    <t>Nitrous Oxide (N2O)</t>
  </si>
  <si>
    <r>
      <rPr>
        <b/>
        <u/>
        <sz val="10"/>
        <rFont val="Arial"/>
        <family val="2"/>
      </rPr>
      <t>Instructions:</t>
    </r>
    <r>
      <rPr>
        <sz val="10"/>
        <rFont val="Arial"/>
        <family val="2"/>
      </rPr>
      <t xml:space="preserve"> 
Depending on the inventory year selected, new or revised emissions factors may be available for vehicle fuels like diesel, gasoline, and compressed natural gas. Emissions factors can be sourced from either the Climate Registry or US EPA. Both are free and publicly available - however, you will need to create a free account to access the archive of emissions factors produced by the Climate Registry. </t>
    </r>
  </si>
  <si>
    <t>Inputs for Emissions Factors - Table 12</t>
  </si>
  <si>
    <t>Units</t>
  </si>
  <si>
    <t>Diesel</t>
  </si>
  <si>
    <t>MT CO2e/gallon</t>
  </si>
  <si>
    <t>Gasoline</t>
  </si>
  <si>
    <t>Compressed Natural Gas</t>
  </si>
  <si>
    <t>kg CO2/SCF</t>
  </si>
  <si>
    <t>Update Stationary Energy Defaults</t>
  </si>
  <si>
    <r>
      <rPr>
        <b/>
        <u/>
        <sz val="10"/>
        <rFont val="Arial"/>
        <family val="2"/>
      </rPr>
      <t>Instructions:</t>
    </r>
    <r>
      <rPr>
        <sz val="10"/>
        <rFont val="Arial"/>
        <family val="2"/>
      </rPr>
      <t xml:space="preserve"> 
A Massachusetts-specific electricity transmission and distribution grid loss factor was calculated per U.S. Energy Information Administration instructions. To adjust your inventory year, you will need to collect the data below from U.S. EIA's electricity profile for Massachusetts using the link provided. 
1) Select your inventory year from the drop down menu located in the top right of the webpage. 
2) Scroll to the bottom of the page and click the link "Full data tables 1-14" 
3) Download the Excel spreadsheet to access all of the data tables for Massachusetts. 
4) Navigate in the spreadsheet to "Table 10: Supply and Disposition of Electricity" and input the values for the fields below associated with the inventory year.</t>
    </r>
  </si>
  <si>
    <t>US EIA MA Electricity Profile</t>
  </si>
  <si>
    <t>Inputs for Stationary Energy - Buildings - Table 7</t>
  </si>
  <si>
    <t>Total Disposition (MWh)</t>
  </si>
  <si>
    <t>Direct Use (MWh)</t>
  </si>
  <si>
    <t>Estimated Losses (MWh)</t>
  </si>
  <si>
    <t>Update Transportation Defaults</t>
  </si>
  <si>
    <r>
      <rPr>
        <b/>
        <u/>
        <sz val="10"/>
        <rFont val="Arial"/>
        <family val="2"/>
      </rPr>
      <t>Instructions:</t>
    </r>
    <r>
      <rPr>
        <sz val="10"/>
        <rFont val="Arial"/>
        <family val="2"/>
      </rPr>
      <t xml:space="preserve"> 
The fuel efficiency of electric vehicles is rapidly progressing from year to year. To increase the accuracy of your GHG inventory for alternate years, you will need to update the data supporting the average vehicle efficiency applied to electric vehicles in the Tool's calculations. These can be found at FuelEconomy.gov. To maintain consistency, select the seven top selling electric vehicles.</t>
    </r>
  </si>
  <si>
    <t>Fuel Economy</t>
  </si>
  <si>
    <t>Inputs for Transportation - Onroad - Table 6</t>
  </si>
  <si>
    <t>Make</t>
  </si>
  <si>
    <t>Model</t>
  </si>
  <si>
    <t>Vehicle Efficiency (kWh/mile)</t>
  </si>
  <si>
    <t>Nisan</t>
  </si>
  <si>
    <t>Leaf</t>
  </si>
  <si>
    <t xml:space="preserve">Chevrolet </t>
  </si>
  <si>
    <t>Bolt</t>
  </si>
  <si>
    <t>Audi</t>
  </si>
  <si>
    <t>e-tron</t>
  </si>
  <si>
    <t>Volkswagon</t>
  </si>
  <si>
    <t>e-Golf</t>
  </si>
  <si>
    <t>Tesla</t>
  </si>
  <si>
    <t>Model X</t>
  </si>
  <si>
    <t>Model 3</t>
  </si>
  <si>
    <t>Model S</t>
  </si>
  <si>
    <t>Update Waste Defaults</t>
  </si>
  <si>
    <r>
      <rPr>
        <b/>
        <u/>
        <sz val="10"/>
        <rFont val="Arial"/>
        <family val="2"/>
      </rPr>
      <t>Instructions:</t>
    </r>
    <r>
      <rPr>
        <sz val="10"/>
        <rFont val="Arial"/>
        <family val="2"/>
      </rPr>
      <t xml:space="preserve"> 
This Tool assumes default State-level percent of disposed waste sent to landfill and combusted unless local data is entered on the "Inputs" tab of this workbook. To adjust your inventory year, use the link provided to access MassDEP's Solid Waste Data update for the appropriate year.
1) Navigate the report to "Table 2: Solid Waste Tonnage and Percent Change Summary". Input the mass of statewide waste reported in the inventory year by waste type and disposal method.</t>
    </r>
  </si>
  <si>
    <t>MassDEP Solid Waste Data Updates</t>
  </si>
  <si>
    <t>Inputs for Waste - Solid Waste - Table 3</t>
  </si>
  <si>
    <t>Waste Type</t>
  </si>
  <si>
    <t>Mass of Waste 
(short tons)</t>
  </si>
  <si>
    <t>Landfilled - Municipal Solid Waste (MSW)</t>
  </si>
  <si>
    <t>Landfilled - Construction &amp; Demolition Waste (C&amp;D)</t>
  </si>
  <si>
    <t>Landfilled - Other Waste</t>
  </si>
  <si>
    <t>Combusted - Municipal Solid Waste (MSW)</t>
  </si>
  <si>
    <t>Combused - Non-Municipal Solid Waste (MSW)</t>
  </si>
  <si>
    <r>
      <rPr>
        <b/>
        <u/>
        <sz val="10"/>
        <rFont val="Arial"/>
        <family val="2"/>
      </rPr>
      <t>Instructions:</t>
    </r>
    <r>
      <rPr>
        <sz val="10"/>
        <rFont val="Arial"/>
        <family val="2"/>
      </rPr>
      <t xml:space="preserve"> 
The Tool relies on data from the U.S. EPA's annual Inventory of U.S. Greenhouse Gas Emissions and Sinks to determine protein consumption per capita. To adjust your inventory year, use the link provided to navigate to the most recent summary report released by EPA. 
1) Within the "List of Tables, Figures, and Boxes" navigate to Table 7-16. Input the value provided for the inventory year for "Protein Consumed" in kg/person/year.</t>
    </r>
  </si>
  <si>
    <t>US GHG Inventory of Emissions and Sinks</t>
  </si>
  <si>
    <t>Inputs for Waste - Wastewater - Table 3</t>
  </si>
  <si>
    <t>Description of Variable</t>
  </si>
  <si>
    <t>kg/person/year</t>
  </si>
  <si>
    <t>Annual Per Capita Protein Consumption</t>
  </si>
  <si>
    <r>
      <rPr>
        <b/>
        <u/>
        <sz val="10"/>
        <rFont val="Arial"/>
        <family val="2"/>
      </rPr>
      <t>Instructions:</t>
    </r>
    <r>
      <rPr>
        <sz val="10"/>
        <rFont val="Arial"/>
        <family val="2"/>
      </rPr>
      <t xml:space="preserve"> 
The wastewater emissions analysis follows the approach used by the Massachusetts Department of Environmental Protection (DEP) to estimate wastewater treatment emissions for communities in Massachusetts that are not served by an MWRA WWTP in the "Statewide Greenhouse gas Emissions Level: 1990 Baseline and 2020 Business As Usual Projection Update" report. 
A "Wastewater Module" Excel workbook was provided by Sue Ann Richardson of DEP (sue.ann.richardson@state.ma.us) on 9/17/19. Data from the "Summary" tab of this workbook was used to obtain data on State total methane and nitrous oxide emissions from municipal wastewater treatment for 2017 and the Massachusetts state population not served by MWRA.
</t>
    </r>
    <r>
      <rPr>
        <i/>
        <sz val="10"/>
        <rFont val="Arial"/>
        <family val="2"/>
      </rPr>
      <t>For those communities not served by MWRA, please contact MassDEP for the wastwater module of the State's GHG Inventory for the selected inventory year to obtain the following inputs.</t>
    </r>
  </si>
  <si>
    <t>MassDEP GHG Report</t>
  </si>
  <si>
    <t>Inputs for Waste - Wastewater - Table 4</t>
  </si>
  <si>
    <t>Data Description</t>
  </si>
  <si>
    <t>Data</t>
  </si>
  <si>
    <t>Massachusetts total methane emissions from municipal wastewater treatment (MMT CO2e / year)</t>
  </si>
  <si>
    <t>Massachusetts total nitrous oxide emissions from municipal wastewater treatment (MMT CO2e / year)</t>
  </si>
  <si>
    <t>Massachusetts DEP assumed total state population for methane and nitrous oxide calculations</t>
  </si>
  <si>
    <t>All Emissions: Summary</t>
  </si>
  <si>
    <t>Sector:</t>
  </si>
  <si>
    <t>All Sectors</t>
  </si>
  <si>
    <t xml:space="preserve">Subsector/s: </t>
  </si>
  <si>
    <t>All Subsectors</t>
  </si>
  <si>
    <t>Summary of Methodology Used</t>
  </si>
  <si>
    <t xml:space="preserve">This worksheet provides an overall summary of emissions from the three main GPC sectors - Stationary Energy, Transportation, and Waste - based on the information calculated for the sector specific emissions summaries. This tool does not include emissions from the Industrial Process and Product Use (IPPU) and Agriculture, Forestry and Other Land Use (AFOLU) sectors due to lack of available data. Emissions are broken out by sector, subsector, source and scope. </t>
  </si>
  <si>
    <t>Table 1: Community-wide Emissions Summary by Sector &amp; Scope</t>
  </si>
  <si>
    <t xml:space="preserve"> Total Emissions (MT CO2e)</t>
  </si>
  <si>
    <t>Scope 1 Emissions (MT CO2e)</t>
  </si>
  <si>
    <t xml:space="preserve"> Scope 2 Emissions (MT CO2e)</t>
  </si>
  <si>
    <t xml:space="preserve"> Scope 3 Emissions (MT CO2e)</t>
  </si>
  <si>
    <t>Stationary Energy</t>
  </si>
  <si>
    <t>Transportation</t>
  </si>
  <si>
    <t>Waste</t>
  </si>
  <si>
    <t>All</t>
  </si>
  <si>
    <t>Table 2: Municipal Operations Emissions Summary</t>
  </si>
  <si>
    <t>Scope 1 Emissions (MT CO2e)*</t>
  </si>
  <si>
    <t xml:space="preserve"> Scope 2 Emissions (MT CO2e)**</t>
  </si>
  <si>
    <t xml:space="preserve"> Scope 3 Emissions (MT CO2e)***</t>
  </si>
  <si>
    <t>* Combustion of fuels (natural gas, fuel oil, gasolene or diesel) within the municipal boundary as well as fugitive emissions from natural gas distribution</t>
  </si>
  <si>
    <t>** Emissions from municipal electricity consumption</t>
  </si>
  <si>
    <t>*** Emissions from electricity transmission and distribution system losses</t>
  </si>
  <si>
    <t>Table 3: Community-wide Emissions Summary by Sector, Subsector, &amp; Scope</t>
  </si>
  <si>
    <t>Subsector</t>
  </si>
  <si>
    <t>Residential Buildings</t>
  </si>
  <si>
    <t>C&amp;I Buildings &amp; Manufacturing Industries</t>
  </si>
  <si>
    <t>On-road</t>
  </si>
  <si>
    <t>Railways</t>
  </si>
  <si>
    <t>Solid Waste Disposal</t>
  </si>
  <si>
    <t>Biological Treatment of Waste</t>
  </si>
  <si>
    <t>Incineration and Open Burning</t>
  </si>
  <si>
    <t>Wastewater Treatment and Discharge</t>
  </si>
  <si>
    <t>All Sectors &amp; Subsectors</t>
  </si>
  <si>
    <t>Table 4: Community-wide Emissions Summary by Sector, Subsector, Source &amp; Scope</t>
  </si>
  <si>
    <t>Source</t>
  </si>
  <si>
    <t>Scope</t>
  </si>
  <si>
    <t>Emissions 
(MT CO2e)</t>
  </si>
  <si>
    <t>Electricity</t>
  </si>
  <si>
    <t>Electricity T&amp;D Losses</t>
  </si>
  <si>
    <t>Fuel Oil</t>
  </si>
  <si>
    <t>Nat. Gas. Dist. Losses</t>
  </si>
  <si>
    <t>Commercial &amp; Institutional Buildings &amp; Manufacturing Industries</t>
  </si>
  <si>
    <t>Off-Road (Various Fuels)</t>
  </si>
  <si>
    <t>CNG</t>
  </si>
  <si>
    <t>Rail</t>
  </si>
  <si>
    <t xml:space="preserve">Solid Waste Disposal  </t>
  </si>
  <si>
    <t>Methane Commitment</t>
  </si>
  <si>
    <t>Direct Emissions</t>
  </si>
  <si>
    <t>Effluent</t>
  </si>
  <si>
    <t>All Sectors &amp; Subsectors:</t>
  </si>
  <si>
    <t>Table 5: Community-wide Emissions Summary by Sector, Subsector, Source, Scope &amp; Gas</t>
  </si>
  <si>
    <t>Methane Emissions (MT CH4)</t>
  </si>
  <si>
    <t>Carbon Dioxide Emissions (MT CO2)</t>
  </si>
  <si>
    <t>Nitrous Oxide Emissions (MT N2O)</t>
  </si>
  <si>
    <t>Carbon Dioxide Equivalent Emissions (MT CO2e)</t>
  </si>
  <si>
    <t>Table 6: Community-wide Summary of Building Energy Use by Sector and  Source</t>
  </si>
  <si>
    <t>Consumption (mmBtu)</t>
  </si>
  <si>
    <t xml:space="preserve"> Emissions (MTCO2e)</t>
  </si>
  <si>
    <t>% of Total Energy Emissions</t>
  </si>
  <si>
    <t xml:space="preserve"> Res. Electricity</t>
  </si>
  <si>
    <t xml:space="preserve"> Res. Natural Gas</t>
  </si>
  <si>
    <t xml:space="preserve"> Res. Propane</t>
  </si>
  <si>
    <t xml:space="preserve"> Res. Fuel Oil</t>
  </si>
  <si>
    <t>Commercial &amp; Institutional Buildings and Facilities + Manufacturing Industries*</t>
  </si>
  <si>
    <t xml:space="preserve"> Comm. &amp; Man. Electricity</t>
  </si>
  <si>
    <t xml:space="preserve"> Comm. &amp; Man. Natural Gas</t>
  </si>
  <si>
    <t xml:space="preserve"> Comm. &amp; Man. Propane</t>
  </si>
  <si>
    <t xml:space="preserve"> Comm. &amp; Man. Fuel Oil</t>
  </si>
  <si>
    <t>All Buildings</t>
  </si>
  <si>
    <t>The above energy consumption and emissions data excludes electricity transmission and distribution losses associated with electricity and natural gas. See "Stationary Energy - Summary" worksheet for a detailed breakdown of transmission and distribution losses.</t>
  </si>
  <si>
    <t>Table 7: Enery Industries Emissions - For Informational Purposes Only</t>
  </si>
  <si>
    <t xml:space="preserve"> Emissions (MTCO2)</t>
  </si>
  <si>
    <r>
      <t xml:space="preserve">Energy Industries </t>
    </r>
    <r>
      <rPr>
        <b/>
        <sz val="12"/>
        <rFont val="Arial"/>
        <family val="2"/>
      </rPr>
      <t>*</t>
    </r>
  </si>
  <si>
    <t>Multiple Fuels</t>
  </si>
  <si>
    <t xml:space="preserve">Emissions from Energy Industries (power plants) are part of the Stationary Energy Sector and fall into one of two categories. In both instances, the emissions in the above table are provided for informational purposes only. 
Category 1)  If the electricity generated from these facilities is consumed directly within the city (e.g. co-generation facility at large business), the emissions from this power plant should be captured under BASIC/BASIC+ GPC reporting guidelines. The natural gas consumption and associated emissions required to generate electricity at these power plants is captured in the Mass Save energy data on the "Stationary Energy - Buildings" tab and included in the total reported emissions. Therefore, adding the above Energy Industries emissions to the community total would constitute double counting of emissions. 
Category 2) If the electricity generated from these facilities is sent to the regional electricity grid (e.g. large coal power plant), the emissions from this power plant should not be captured under BASIC/BASIC+ GPC reporting guidelines. </t>
  </si>
  <si>
    <t>Table 8: Total Community-wide Emissions by Subsector</t>
  </si>
  <si>
    <t>Table 9: Community-wide Emissions Summary by Sector, Subsector, &amp; Scope (with municipal emissions disaggregated)</t>
  </si>
  <si>
    <t>Percentage of Total Emissions</t>
  </si>
  <si>
    <t>C&amp;I Buildings &amp; Manufacturing Industries*</t>
  </si>
  <si>
    <t>Municipal Buildings</t>
  </si>
  <si>
    <t>Municipal Vehicles</t>
  </si>
  <si>
    <t>On-road Buses and Trolleys</t>
  </si>
  <si>
    <t>*Municipal electricity and natural gas usage has been subtracted from C&amp;I usage to disaggregate municipal usage for the purposes of this Table.</t>
  </si>
  <si>
    <t>Table 10: Total Community-wide Emissions by Subsector (with municipal emissions disaggregated)</t>
  </si>
  <si>
    <t>Public Transportation (Buses, Trolleys, &amp; Railways)</t>
  </si>
  <si>
    <t>Waste (Landfill, Biological Treatment, &amp; Incineration &amp; Open Burning)</t>
  </si>
  <si>
    <t>*Subsectors have been added together in places to support visualization of the data in "Report Charts"</t>
  </si>
  <si>
    <t>All Emissions: Multi-Year Comparison</t>
  </si>
  <si>
    <t>Multiple</t>
  </si>
  <si>
    <t>This worksheet provides an overall summary of emissions from the three main GPC sectors - Stationary Energy, Transportation, and Waste - based on the information calculated for the sector specific emissions summaries. The purpose of this worksheet is to provide a multi-year comparison across multiple inventory years. Communities should copy/paste values from inventory year not covered in this inventory tool into the below tables in order to track emissions trends over time. For example, if this version of the tool covers inventory year 2017, but the community has also used a separate version of the tool to calculate 2015 emissions, 2015 emissions can be copy/pasted into the below table.</t>
  </si>
  <si>
    <t>Table 1: Community-wide Emissions Summary by Sector &amp; Scope: YYYY - YYYY</t>
  </si>
  <si>
    <t>YYYY Total Emissions (MT CO2e)</t>
  </si>
  <si>
    <t xml:space="preserve"> YYYY Total Emissions (MT CO2e)</t>
  </si>
  <si>
    <t>2017Total Emissions (MT CO2e)</t>
  </si>
  <si>
    <t>Percent Change from YYYY --&gt; YYYY</t>
  </si>
  <si>
    <t>Table 2: Municipal Operations Emissions Summary by Sector &amp; Scope: YYYY - YYYY</t>
  </si>
  <si>
    <t>Table 3: Community-wide Emissions Summary by Sector, Subsector, &amp; Scope: YYYY - YYYY</t>
  </si>
  <si>
    <t>2017 Total Emissions (MT CO2e)</t>
  </si>
  <si>
    <t>Summary Figures</t>
  </si>
  <si>
    <t>Y/N</t>
  </si>
  <si>
    <t>MSW</t>
  </si>
  <si>
    <t>IOU options</t>
  </si>
  <si>
    <t>Muni Utilities</t>
  </si>
  <si>
    <t>Town</t>
  </si>
  <si>
    <t>WWTP options</t>
  </si>
  <si>
    <t>Electricity provider</t>
  </si>
  <si>
    <t>Electricity Emissions</t>
  </si>
  <si>
    <t>County</t>
  </si>
  <si>
    <t>N/A - We don't have curbside composting</t>
  </si>
  <si>
    <t>Municipal Utility/Not served by IOU</t>
  </si>
  <si>
    <t>Abington</t>
  </si>
  <si>
    <t>Clinton WWTP</t>
  </si>
  <si>
    <t>Barnstable</t>
  </si>
  <si>
    <t>Eversource NSTAR (Eastern MA)</t>
  </si>
  <si>
    <t>Our municipality is not listed</t>
  </si>
  <si>
    <t>Acton</t>
  </si>
  <si>
    <t>Deer Island WWTP</t>
  </si>
  <si>
    <t>Berkshire</t>
  </si>
  <si>
    <t>Eversource WMECO (Western MA)</t>
  </si>
  <si>
    <t>Acushnet</t>
  </si>
  <si>
    <t>Greater Lawrence WWTP</t>
  </si>
  <si>
    <t>CCA</t>
  </si>
  <si>
    <t>Bristol</t>
  </si>
  <si>
    <t>Adams</t>
  </si>
  <si>
    <t>Pittsfield WWTP</t>
  </si>
  <si>
    <t>Dukes</t>
  </si>
  <si>
    <t>Eversource NSTAR (Eastern MA) &amp; NGRID</t>
  </si>
  <si>
    <t>Agawam</t>
  </si>
  <si>
    <t>Rockland WWTP</t>
  </si>
  <si>
    <t>Essex</t>
  </si>
  <si>
    <t>Eversource WMECO (Western MA) &amp; NGRID</t>
  </si>
  <si>
    <t>Alford</t>
  </si>
  <si>
    <t>Franklin</t>
  </si>
  <si>
    <t>Amesbury</t>
  </si>
  <si>
    <t>Hampden</t>
  </si>
  <si>
    <t>Amherst</t>
  </si>
  <si>
    <t>Hampshire</t>
  </si>
  <si>
    <t>Andover</t>
  </si>
  <si>
    <t>Middlesex</t>
  </si>
  <si>
    <t>Aquinnah</t>
  </si>
  <si>
    <t>Arlington</t>
  </si>
  <si>
    <t>Norfolk</t>
  </si>
  <si>
    <t>Ashburnham</t>
  </si>
  <si>
    <t>Plymouth</t>
  </si>
  <si>
    <t>Ashby</t>
  </si>
  <si>
    <t>Suffolk</t>
  </si>
  <si>
    <t>Ashfield</t>
  </si>
  <si>
    <t>Worcester</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</si>
  <si>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</si>
  <si>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</si>
  <si>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</si>
  <si>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</si>
  <si>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</si>
  <si>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</si>
  <si>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</si>
  <si>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</si>
  <si>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</si>
  <si>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</si>
  <si>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</si>
  <si>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</si>
  <si>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</si>
  <si>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</si>
  <si>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</si>
  <si>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</si>
  <si>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</si>
  <si>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</si>
  <si>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</si>
  <si>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</si>
  <si>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</si>
  <si>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</si>
  <si>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</si>
  <si>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</si>
  <si>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</si>
  <si>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</si>
  <si>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</si>
  <si>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</si>
  <si>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</si>
  <si>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</si>
  <si>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</si>
  <si>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</si>
  <si>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</si>
  <si>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</si>
  <si>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</si>
  <si>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</si>
  <si>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</si>
  <si>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</si>
  <si>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</si>
  <si>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</si>
  <si>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</si>
  <si>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</si>
  <si>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</si>
  <si>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</si>
  <si>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</si>
  <si>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</si>
  <si>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</si>
  <si>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</si>
  <si>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</si>
  <si>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</si>
  <si>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</si>
  <si>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</si>
  <si>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</si>
  <si>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</si>
  <si>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</si>
  <si>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</si>
  <si>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</si>
  <si>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</si>
  <si>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</si>
  <si>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</si>
  <si>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</si>
  <si>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</si>
  <si>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</si>
  <si>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</si>
  <si>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</si>
  <si>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</si>
  <si>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</si>
  <si>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</si>
  <si>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</si>
  <si>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</si>
  <si>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</si>
  <si>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</si>
  <si>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</si>
  <si>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</si>
  <si>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</si>
  <si>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</si>
  <si>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</si>
  <si>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</si>
  <si>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</si>
  <si>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</si>
  <si>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</si>
  <si>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</si>
  <si>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</si>
  <si>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</si>
  <si>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</si>
  <si>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</si>
  <si>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</si>
  <si>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</si>
  <si>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</si>
  <si>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</si>
  <si>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</si>
  <si>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</si>
  <si>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</si>
  <si>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</si>
  <si>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</si>
  <si>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</si>
  <si>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</si>
  <si>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</si>
  <si>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</si>
  <si>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</si>
  <si>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</si>
  <si>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</si>
  <si>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</si>
  <si>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</si>
  <si>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</si>
  <si>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</si>
  <si>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</si>
  <si>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</si>
  <si>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</si>
  <si>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</si>
  <si>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</si>
  <si>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</si>
  <si>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</si>
  <si>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</si>
  <si>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</si>
  <si>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</si>
  <si>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</si>
  <si>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</si>
  <si>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</si>
  <si>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</si>
  <si>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</si>
  <si>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</si>
  <si>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</si>
  <si>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</si>
  <si>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</si>
  <si>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</si>
  <si>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</si>
  <si>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</si>
  <si>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</si>
  <si>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</si>
  <si>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</si>
  <si>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</si>
  <si>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</si>
  <si>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</si>
  <si>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</si>
  <si>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</si>
  <si>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</si>
  <si>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</si>
  <si>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</si>
  <si>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</si>
  <si>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</si>
  <si>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</si>
  <si>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</si>
  <si>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</si>
  <si>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</si>
  <si>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</si>
  <si>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</si>
  <si>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</si>
  <si>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</si>
  <si>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</si>
  <si>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</si>
  <si>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</si>
  <si>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</si>
  <si>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</si>
  <si>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</si>
  <si>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</si>
  <si>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</si>
  <si>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</si>
  <si>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</si>
  <si>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</si>
  <si>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</si>
  <si>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</si>
  <si>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</si>
  <si>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</si>
  <si>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</si>
  <si>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</si>
  <si>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</si>
  <si>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</si>
  <si>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</si>
  <si>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</si>
  <si>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</si>
  <si>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</si>
  <si>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</si>
  <si>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</si>
  <si>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</si>
  <si>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</si>
  <si>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</si>
  <si>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</si>
  <si>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</si>
  <si>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</si>
  <si>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</si>
  <si>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</si>
  <si>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</si>
  <si>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</si>
  <si>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</si>
  <si>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</si>
  <si>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</si>
  <si>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</si>
  <si>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</si>
  <si>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</si>
  <si>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</si>
  <si>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</si>
  <si>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</si>
  <si>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</si>
  <si>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</si>
  <si>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</si>
  <si>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</si>
  <si>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</si>
  <si>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</si>
  <si>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</si>
  <si>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</si>
  <si>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</si>
  <si>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</si>
  <si>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</si>
  <si>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</si>
  <si>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</si>
  <si>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</si>
  <si>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</si>
  <si>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</si>
  <si>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</si>
  <si>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</si>
  <si>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</si>
  <si>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</si>
  <si>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</si>
  <si>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</si>
  <si>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</si>
  <si>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</si>
  <si>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</si>
  <si>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</si>
  <si>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</si>
  <si>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</si>
  <si>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</si>
  <si>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</si>
  <si>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</si>
  <si>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</si>
  <si>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</si>
  <si>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</si>
  <si>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</si>
  <si>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</si>
  <si>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</si>
  <si>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</si>
  <si>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</si>
  <si>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</si>
  <si>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</si>
  <si>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</si>
  <si>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</si>
  <si>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</si>
  <si>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</si>
  <si>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</si>
  <si>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</si>
  <si>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</si>
  <si>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</si>
  <si>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</si>
  <si>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</si>
  <si>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</si>
  <si>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</si>
  <si>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</si>
  <si>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</si>
  <si>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</si>
  <si>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</si>
  <si>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</si>
  <si>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</si>
  <si>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</si>
  <si>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</si>
  <si>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</si>
  <si>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</si>
  <si>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</si>
  <si>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</si>
  <si>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</si>
  <si>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</si>
  <si>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</si>
  <si>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</si>
  <si>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</si>
  <si>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</si>
  <si>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</si>
  <si>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</si>
  <si>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</si>
  <si>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</si>
  <si>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</si>
  <si>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</si>
  <si>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</si>
  <si>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</si>
  <si>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</si>
  <si>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</si>
  <si>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</si>
  <si>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</si>
  <si>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</si>
  <si>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</si>
  <si>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</si>
  <si>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</si>
  <si>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</si>
  <si>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</si>
  <si>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</si>
  <si>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</si>
  <si>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</si>
  <si>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</si>
  <si>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</si>
  <si>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</si>
  <si>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</si>
  <si>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</si>
  <si>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</si>
  <si>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</si>
  <si>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</si>
  <si>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</si>
  <si>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</si>
  <si>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</si>
  <si>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</si>
  <si>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</si>
  <si>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</si>
  <si>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</si>
  <si>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</si>
  <si>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</si>
  <si>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</si>
  <si>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</si>
  <si>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</si>
  <si>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</si>
  <si>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</si>
  <si>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</si>
  <si>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</si>
  <si>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</si>
  <si>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</si>
  <si>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</si>
  <si>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</si>
  <si>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</si>
  <si>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</si>
  <si>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</si>
  <si>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</si>
  <si>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</si>
  <si>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</si>
  <si>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</si>
  <si>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</si>
  <si>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</si>
  <si>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</si>
  <si>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</si>
  <si>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</si>
  <si>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</si>
  <si>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</si>
  <si>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</si>
  <si>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</si>
  <si>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Emission Factors &amp; Conversion Factors*</t>
  </si>
  <si>
    <t>*Emissions factors need to be checked annually to confirm conformance with latest standards</t>
  </si>
  <si>
    <r>
      <t>Emission factors in terms of carbon dioxide (CO</t>
    </r>
    <r>
      <rPr>
        <sz val="8"/>
        <rFont val="Arial"/>
        <family val="2"/>
      </rPr>
      <t>2</t>
    </r>
    <r>
      <rPr>
        <sz val="10"/>
        <rFont val="Arial"/>
        <family val="2"/>
      </rPr>
      <t>), methane (CH</t>
    </r>
    <r>
      <rPr>
        <sz val="8"/>
        <rFont val="Arial"/>
        <family val="2"/>
      </rPr>
      <t>4</t>
    </r>
    <r>
      <rPr>
        <sz val="10"/>
        <rFont val="Arial"/>
        <family val="2"/>
      </rPr>
      <t>) and nitrous oxide (N</t>
    </r>
    <r>
      <rPr>
        <sz val="8"/>
        <rFont val="Arial"/>
        <family val="2"/>
      </rPr>
      <t>2</t>
    </r>
    <r>
      <rPr>
        <sz val="10"/>
        <rFont val="Arial"/>
        <family val="2"/>
      </rPr>
      <t>O) are summarized on this worksheet. Global warming potentials of methane (CH</t>
    </r>
    <r>
      <rPr>
        <sz val="8"/>
        <rFont val="Arial"/>
        <family val="2"/>
      </rPr>
      <t>4</t>
    </r>
    <r>
      <rPr>
        <sz val="10"/>
        <rFont val="Arial"/>
        <family val="2"/>
      </rPr>
      <t xml:space="preserve">) and nitrous oxide (N2O) and common conversion factors are also included on this worksheet. In accordance with the GPC, the most recent global warming potential (GWP) values on a 100-year time horizon from the IPCC 5th Assessment Report are used throughout this report. 
</t>
    </r>
  </si>
  <si>
    <t>Table 1: Stationary Fuel Emission Factors</t>
  </si>
  <si>
    <t>MT CO2/Therm</t>
  </si>
  <si>
    <t>MT CH4/Therm</t>
  </si>
  <si>
    <t>MT N2O/Therm</t>
  </si>
  <si>
    <t>Natural Gas*</t>
  </si>
  <si>
    <t>TCR</t>
  </si>
  <si>
    <t>EPA</t>
  </si>
  <si>
    <t>*CCAR and TCR do not include CH4 or N2O in emissions from natural gas because these emissions are considered to be de minimis</t>
  </si>
  <si>
    <t>Table 2. Fugitive Emission Factor for Distribution Sector Natural Gas</t>
  </si>
  <si>
    <t>Description</t>
  </si>
  <si>
    <t>Volume of Natural Gas per Heat Energy (m3 gas /therm gas)</t>
  </si>
  <si>
    <t>Universal Conversion</t>
  </si>
  <si>
    <t>Density of Natural Gas at Standard Temperature and Pressure (kg gas/m3 gas)</t>
  </si>
  <si>
    <t>GHG Protocol Calculation Tool for Direct Emissions</t>
  </si>
  <si>
    <t>Mass of Natural Gas per Therm of Natural Gas (kg gas/therm gas)</t>
  </si>
  <si>
    <t>Calculated</t>
  </si>
  <si>
    <t>Mass of Natural Gas per Therm of Natural Gas (MT gas/therm gas)</t>
  </si>
  <si>
    <t>Methane Content in Distribution Sector Natural Gas (%)</t>
  </si>
  <si>
    <t>Annexes to the Inventory of U.S. GHG Emissions and Sinks (2015)</t>
  </si>
  <si>
    <t>Carbon Dioxide Content in Distribution Sector Natural Gas (%)</t>
  </si>
  <si>
    <t>Methane Mass per Therm of Natural Gas (MT CH4/therm)</t>
  </si>
  <si>
    <t>Carbon Dioxide Mass per Therm of Natural Gas (MT CO2/therm)</t>
  </si>
  <si>
    <t>Fugitive Natural Gas Emission Factor (MT CH4/therm)</t>
  </si>
  <si>
    <t>Fugitive Natural Gas Emission Factor (MT CO2/therm)</t>
  </si>
  <si>
    <t>Table 3. MA DEP 2016 Massachusetts-based Retail Level Electricity Emission Factor</t>
  </si>
  <si>
    <t>2017 Combined Retail Level Electricity Emission Factor (lbs CO2e/MWh)</t>
  </si>
  <si>
    <t>2017 Non-Biogenic Retail Level Electricity Emission Factor (lbs CO2e/MWh)</t>
  </si>
  <si>
    <t xml:space="preserve">In order to determine the utility-specific and CCA-specific emission factors, Table 1 from the MassDEP GHG Reporting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The Massachusetts-based consumer retail level combined electricity factors for CO2, CH4, and N2O from Appendix 3, Table 7, are used to estimate the breakdown of different gases from the CO2e value provided in Table 1. </t>
  </si>
  <si>
    <t>MA DEP 2017 Summary Report</t>
  </si>
  <si>
    <t>Table 4. Investor-owned Utility Electricity Emission Factor: Community</t>
  </si>
  <si>
    <t>Rate Option</t>
  </si>
  <si>
    <t>DEP Generic "Massachusetts-based" CO2 Electricity Emission Factor (lbs CO2/MWh)</t>
  </si>
  <si>
    <t>DEP Generic "Massachusetts-based" CH4 Electricity Emission Factor (lbs CH4/MWh)</t>
  </si>
  <si>
    <t>DEP Generic "Massachusetts-based" N2O Electricity Emission Factor (lbs N2O/MWh)</t>
  </si>
  <si>
    <t>Emissions Rate (MT CH4/kWh)</t>
  </si>
  <si>
    <t>Emissions Rate (MT CO2/kWh)</t>
  </si>
  <si>
    <t>Emissions Rate (MT N2O/kWh)</t>
  </si>
  <si>
    <t>Overall Emission Factor (MT of CO2e/kWh)</t>
  </si>
  <si>
    <t>Overall Emission Factor (lbs of CO2e/MWh)</t>
  </si>
  <si>
    <t>Selected Investor-owned Utility</t>
  </si>
  <si>
    <t xml:space="preserve">The above electricity emission factor is used to calculate electricity emissions associated all electricity consumed by  buildings  in the community that is procured from the investor-owned utility that serves the community. </t>
  </si>
  <si>
    <t>Table 5. Investor-owned Utility Electricity Emission Factor: Regional Public Transit</t>
  </si>
  <si>
    <t>DEP Generic "Massachusetts-based" CO2 Electricity Emission Factor (lbs CO2 / MWh)</t>
  </si>
  <si>
    <t>DEP Generic "Massachusetts-based" CH4 Electricity Emission Factor (lbs CH4 / MWh)</t>
  </si>
  <si>
    <t>DEP Generic "Massachusetts-based" N2O Electricity Emission Factor (lbs N2O / MWh)</t>
  </si>
  <si>
    <t>Average Investor-owned Utility</t>
  </si>
  <si>
    <t>The above electricity emission factor is only used to calculate electricity emissions associated with regional public transportation. The emission factor is based on the IOU average emission factor.</t>
  </si>
  <si>
    <t>Table 6. List Investor-owned Utilities and % Non-emitting Sales</t>
  </si>
  <si>
    <t>Investor-owned Utility</t>
  </si>
  <si>
    <r>
      <t xml:space="preserve">Retail electricity providers and IOUs can voluntarily report the percent of sales reported as "non-emitting MWh" to DEP. For Eversource and NGRID, this data comes from "MassDEP GHG Reporting Program Summary Report For Retail Sellers of Electricity Emissions Year 2017" Appendix 2, Table 5  "Individual 2017 Retail Seller Emission Factors". </t>
    </r>
    <r>
      <rPr>
        <sz val="9"/>
        <rFont val="Arial"/>
        <family val="2"/>
      </rPr>
      <t xml:space="preserve">The "Eversource &amp; NGRID" data in the above table represents a weighted average between the two utilities based on the percent of electricity provided by each utility in a given community. This information is only applicable to communities in which electricity is provided by both Eversource &amp; NGRID. </t>
    </r>
  </si>
  <si>
    <t>Table 7. Community Choice Aggregation Electricity Emission Factors</t>
  </si>
  <si>
    <t>Include this Rate in Calculations?</t>
  </si>
  <si>
    <t>Base Assumption % Of Sales Reported to MA DEP as "Non-emitting MWh"</t>
  </si>
  <si>
    <t>Combined % of Sales from "Non-emitting MWh"</t>
  </si>
  <si>
    <t>% of Total Residential CCA Electric Load Enrolled in Rate</t>
  </si>
  <si>
    <t>% of Total Non-Residential CCA Electric Load Enrolled in Rate</t>
  </si>
  <si>
    <t xml:space="preserve"> Emissions Rate (MT CO2/kWh)</t>
  </si>
  <si>
    <t xml:space="preserve"> Emissions Rate (MT N2O/kWh)</t>
  </si>
  <si>
    <t>CCA Rate Option 1</t>
  </si>
  <si>
    <t>CCA Rate Option 2</t>
  </si>
  <si>
    <t>CCA Rate Option 3</t>
  </si>
  <si>
    <t>CCA Rate Option 4</t>
  </si>
  <si>
    <t>Residential Weighted</t>
  </si>
  <si>
    <t>Non-Residential Weighted</t>
  </si>
  <si>
    <t>In order to determine the utility-specific and CCA-specific emission factors, Table 1 from the MassDEP GHG Reporting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See Table 3 above for more details.</t>
  </si>
  <si>
    <t xml:space="preserve">Retail electricity providers can voluntarily report the percent of sales reported as "non-emitting MWh" to DEP. Since this information is not available for all retailers, the above analysis assumes that the base percentage of "non-emitting MWh" for retailers is equal to the RPS Class I (including carve-outs) minimum requirement of 12.0% for 2017. This 12.0% assumption is based off of retailers required minimum compliance with the RPS. In addition to this 12.0% minimum compliance, some CCAs offer rates that include a set percentage of Class I Voluntary Renewable Energy Credits (RECs). Users should input the % of Class I Voluntary RECs associated with the electricity rates offered in their community on the "Inputs" tab. </t>
  </si>
  <si>
    <t>MA RPS Information</t>
  </si>
  <si>
    <t>Table 8. Municipal Utility Electricity Emission Factor</t>
  </si>
  <si>
    <t>DEP Generic "Massachusetts-based" CH4 Electricity Emission Factor (lbs CO2/MWh)</t>
  </si>
  <si>
    <t>Selected Municipal Utility</t>
  </si>
  <si>
    <r>
      <t xml:space="preserve">In order to determine the utility-specific and CCA-specific emission factors, Table 1 from the MassDEP GHG Reportig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See </t>
    </r>
    <r>
      <rPr>
        <u/>
        <sz val="9"/>
        <rFont val="Arial"/>
        <family val="2"/>
      </rPr>
      <t xml:space="preserve">Table 3 </t>
    </r>
    <r>
      <rPr>
        <sz val="9"/>
        <rFont val="Arial"/>
        <family val="2"/>
      </rPr>
      <t xml:space="preserve">above for more details. </t>
    </r>
  </si>
  <si>
    <r>
      <t xml:space="preserve">Municipal utilities can voluntarily report the percent of sales reported as "non-emitting MWh" to DEP. Since this information is not always available, the above analysis assumes that the base percentage of "non-emitting MWh" for retailers is equal to the RPS Class I (including carve-outs) minimum requirement of 12.0% for 2017. This 12.0% assumption is based off the required minimum compliance with the RPS. See </t>
    </r>
    <r>
      <rPr>
        <u/>
        <sz val="9"/>
        <rFont val="Arial"/>
        <family val="2"/>
      </rPr>
      <t>Table 9</t>
    </r>
    <r>
      <rPr>
        <sz val="9"/>
        <rFont val="Arial"/>
        <family val="2"/>
      </rPr>
      <t xml:space="preserve"> below for more details. </t>
    </r>
  </si>
  <si>
    <t>Table 9. List of Municipal Utilities % Non-emitting Sales</t>
  </si>
  <si>
    <t>Municipal Utility</t>
  </si>
  <si>
    <t>Retail electricity providers and IOUs can voluntarily report the percent of sales reported as "non-emitting MWh" to DEP. This data for reporting municipal utilities is from "MassDEP GHG Reporting Program Summary Report For Retail Sellers of Electricity Emissions Year 2017" Appendix 2, Table 5  "Individual 2017 Retail Seller Emission Factors".</t>
  </si>
  <si>
    <t>Table 10. Weighted Average Electricity Emission Factors by Building Subsector</t>
  </si>
  <si>
    <t>Electricity Consumption (kWh)</t>
  </si>
  <si>
    <t>Electricity CH4 Emissions (MT CH4)</t>
  </si>
  <si>
    <t>Electricity CO2 Emissions (MT CO2)</t>
  </si>
  <si>
    <t>Electricity N2O Emissions (MT N2O)</t>
  </si>
  <si>
    <t xml:space="preserve">The above electricity emission factor is only used to calculate electricity emissions associated with electric vehicle charging and electricity transmission and distribution losses. The emission factor is based on the weighted average electricity emission factor by building subsector including all electricity providers (investor-owned utilities, municipal utilities and community choice aggregators). </t>
  </si>
  <si>
    <t>Table 11: IPCC AR5 100-Year Global Warming Potentials without Climate-carbon Feedbacks</t>
  </si>
  <si>
    <t>IPCC AR5</t>
  </si>
  <si>
    <t>Table 12: Transportation Fuel Emission Factors</t>
  </si>
  <si>
    <t>Unit</t>
  </si>
  <si>
    <t>MT CH4/Unit</t>
  </si>
  <si>
    <t>MT CO2/Unit</t>
  </si>
  <si>
    <t>MT N2O/Unit</t>
  </si>
  <si>
    <t>Gallon</t>
  </si>
  <si>
    <t>MMBTU</t>
  </si>
  <si>
    <t>SCF</t>
  </si>
  <si>
    <t>MT CO2/SCF</t>
  </si>
  <si>
    <t>Table 13: Conversion Factors</t>
  </si>
  <si>
    <t>Conversion From:</t>
  </si>
  <si>
    <t>Conversion To:</t>
  </si>
  <si>
    <t xml:space="preserve">Multiply By: </t>
  </si>
  <si>
    <t>Gallon Distillate Fuel Oil No. 2</t>
  </si>
  <si>
    <t>Gram (g)</t>
  </si>
  <si>
    <t>Metric Ton (MT)</t>
  </si>
  <si>
    <t>Kilogram (kg)</t>
  </si>
  <si>
    <t>kWh</t>
  </si>
  <si>
    <t>Megawatt-hour (MWh)</t>
  </si>
  <si>
    <t>Kilowatt-hour (kWh)</t>
  </si>
  <si>
    <t>Million Metric Tons (MMT)</t>
  </si>
  <si>
    <t>Pound (lb)</t>
  </si>
  <si>
    <t>Short Ton</t>
  </si>
  <si>
    <t>Metric Ton</t>
  </si>
  <si>
    <t>Gigagram (Gg)</t>
  </si>
  <si>
    <t>Standard Cubic Foot (SCF) Natural Gas</t>
  </si>
  <si>
    <t>Million British Thermal Units (MMBTU)</t>
  </si>
  <si>
    <t>Therm</t>
  </si>
  <si>
    <t>Kilograms (kg)</t>
  </si>
  <si>
    <t>Stationary Energy: Community-wide Energy &amp; Emissions Summary</t>
  </si>
  <si>
    <t>All Stationary Energy Subsectors</t>
  </si>
  <si>
    <t xml:space="preserve">This worksheet provides a summary of energy consumption and emissions in the Stationary Energy Sector. This includes electricity, natural gas, fuel oil and off-road emissions. The emissions from electricity and natural gas were calculated based on guidance in the GPC, Appendix C: Built Environment Activities and Sources. Emissions from stationary combustion of natural gas were calculated based on method BE1.1, and emissions from electricity were calculated based on method BE.2.2. Emission factors are explained on the "Emission Factors" worksheet. </t>
  </si>
  <si>
    <t>Table 1: Summary of Energy Emissions from Residential Buildings, Commercial &amp; Institutional Buildings and Manufacturing Industries &amp; Construction Subsectors</t>
  </si>
  <si>
    <t>Energy Category</t>
  </si>
  <si>
    <t>Natural Gas (Therms)</t>
  </si>
  <si>
    <t>Natural Gas CH4 Emissions
 (MT CH4)</t>
  </si>
  <si>
    <t>Natural Gas CO2
(MT CO2)</t>
  </si>
  <si>
    <t>Electricity Consumption CH4 Emissions
 (MT CH4)</t>
  </si>
  <si>
    <t>Electricity Consumption CO2 Emissions (MT CO2)</t>
  </si>
  <si>
    <t>Electricity Consumption N2O Emissions (MT N2O)</t>
  </si>
  <si>
    <t>Electricity T&amp;D Losses (kWh)</t>
  </si>
  <si>
    <t>Electricity T&amp;D Losses CH4 Emissions (MT CH4)</t>
  </si>
  <si>
    <t>Electricity T&amp;D Losses CO2 Emissions (MT C02)</t>
  </si>
  <si>
    <t>Electricity T&amp;D Losses N2O Emissions (MT N2O)</t>
  </si>
  <si>
    <t>Fuel Oil (gal)</t>
  </si>
  <si>
    <t>Fuel Oil CH4 Emissions 
(MT CH4)</t>
  </si>
  <si>
    <t>Fuel Oil  CO2 Emissions 
(MT CO2)</t>
  </si>
  <si>
    <t>Fuel Oil N2O Emissions 
(MT N2O)</t>
  </si>
  <si>
    <t>Off-road CH4 Emissions-Various Fuels
(MT CH4)</t>
  </si>
  <si>
    <t>Off-road CO2 Emissions-Various Fuels 
(MT CO2)</t>
  </si>
  <si>
    <t>Propane (gal)</t>
  </si>
  <si>
    <t>Propane CH4 Emissions 
(MT CH4)</t>
  </si>
  <si>
    <t>Propane CO2 Emissions 
(MT CO2)</t>
  </si>
  <si>
    <t>Propane N2O Emissions 
(MT N2O)</t>
  </si>
  <si>
    <t>Total CH4 Emissions 
(MT CH4)</t>
  </si>
  <si>
    <t>Total CO2 Emissions 
(MT CO2)</t>
  </si>
  <si>
    <t>Total N2O Emissions 
(MT N2O)</t>
  </si>
  <si>
    <t>IOU Residential</t>
  </si>
  <si>
    <t>CCA Residential</t>
  </si>
  <si>
    <t>Muni Residential</t>
  </si>
  <si>
    <t>All Res. T&amp;D Losses</t>
  </si>
  <si>
    <t>EV Adjustment</t>
  </si>
  <si>
    <t>Res. Buildings Total</t>
  </si>
  <si>
    <t>IOU Non-Residential</t>
  </si>
  <si>
    <t>CCA Non-Residential</t>
  </si>
  <si>
    <t>Muni Non-Residential</t>
  </si>
  <si>
    <t>All C&amp;I T&amp;D Losses</t>
  </si>
  <si>
    <t>Off-road</t>
  </si>
  <si>
    <t>C&amp;I Buildings Total</t>
  </si>
  <si>
    <t>Construction Total</t>
  </si>
  <si>
    <t>Table 2: Summary of Emissions from Energy Industries Subsector</t>
  </si>
  <si>
    <t>Energy Industries</t>
  </si>
  <si>
    <t xml:space="preserve">Emissions from energy generation supplied to the grid (which make up all emissions from the Energy Industries Sector in this inventory) are required for territorial total but not for BASIC/BASIC+ reporting under GPC guidelines. </t>
  </si>
  <si>
    <t>Stationary Energy: Community-wide Building Energy &amp; Emissions</t>
  </si>
  <si>
    <t>Subsectors:</t>
  </si>
  <si>
    <t>Res. Buildings, C&amp;I Buildings, + Manuf. Industries &amp; Const.</t>
  </si>
  <si>
    <t xml:space="preserve">Total community-level electricity and natural gas consumption is provided through Mass Save Data. For communities that have municipal utilities or community choice aggregations, electricity consumption data from these providers is also included. Utility-specific and rate-specific electricity emission factors were applied to the electricity consumption. A universal The Climate Registry (TCR) natural gas emission factor was used to calculate natural gas emissions. Fuel oil consumption was estimated using U.S. Energy Information data on average fuel oil consumption by building type, Massachusetts Executive office of Labor and Workforce Development (EOLWD) data on employment by sector, and American Community Survey data on residential building types. The total natural gas, fuel oil and electricity consumption for the community is summed in a separate worksheet titled "Stationary Energy - Summary."
                                                          </t>
  </si>
  <si>
    <t>Table 1. Community Electricity &amp; Natural Gas Consumption &amp; Emissions by Subsector</t>
  </si>
  <si>
    <t>Building Type</t>
  </si>
  <si>
    <t>Natural Gas Consumption (Therms)</t>
  </si>
  <si>
    <t>Electricity  CO2 Emissions (MT CO2)</t>
  </si>
  <si>
    <t>Natural Gas Emissions (MT CO2)</t>
  </si>
  <si>
    <t>Residential Total</t>
  </si>
  <si>
    <t>Comm./Inst./Manu. Total</t>
  </si>
  <si>
    <t>All Building Subsectors</t>
  </si>
  <si>
    <r>
      <t xml:space="preserve">Accounting for electric vehicle charging emissions: Electric vehicles owned by residents are accounted for in the Transportation Sector of this inventory. However, the electricity consumption associated with these vehicles is also bundled into the overall electricity consumption data provided by utilities. To account for this, electricity consumption associated with VMT from passenger and commercial vehicles was subtracted from a combination of the "Residential Buildings" and "Commercial &amp; Institutional Buildings &amp; Manufacturing Industries" subsectors above. See </t>
    </r>
    <r>
      <rPr>
        <u/>
        <sz val="9"/>
        <color theme="1"/>
        <rFont val="Arial"/>
        <family val="2"/>
      </rPr>
      <t>Table 10</t>
    </r>
    <r>
      <rPr>
        <sz val="9"/>
        <color theme="1"/>
        <rFont val="Arial"/>
        <family val="2"/>
      </rPr>
      <t xml:space="preserve"> below for a more detailed description of methodology used. </t>
    </r>
  </si>
  <si>
    <t xml:space="preserve">While "Commercial &amp; Institutional Buildings" and "Manufacturing Industries" are considered two distinct subsectors by the GPC, they were combined for this inventory. Electricity and natural gas consumption data provided by MassSave was grouped as "Commercial &amp; Industrial," thus making it impossible to separate consumption into the suggested GPC categories. </t>
  </si>
  <si>
    <t>Table 1a: Municipal Electricity &amp; Natural Gas Consumption and Emissions</t>
  </si>
  <si>
    <t>Electricity CO2e Emissions (MT CO2e)</t>
  </si>
  <si>
    <t>Emissions from municipal buildings associated with electricity and natural gas are calculated for informational purposes only and are not included in the aggregations in Table 1. This is to avoid double counting with the MassSaveData which includes municipal accounts in its commercial and industrial aggregated consumption data.</t>
  </si>
  <si>
    <t>Table 2. Fuel Oil Consumption &amp; Emissions by Subsector</t>
  </si>
  <si>
    <t>Annual Fuel Oil Use (gal)</t>
  </si>
  <si>
    <t>Annual Fuel Oil Use (MMBtu)</t>
  </si>
  <si>
    <t>Fuel Oil CH4 Emissions (MT CH4)</t>
  </si>
  <si>
    <t>Fuel Oil CO2 Emissions (MT CO2)</t>
  </si>
  <si>
    <t>Fuel Oil N2O Emissions (MT N2O)</t>
  </si>
  <si>
    <t>Fuel Oil CO2e Emissions (MT CO2e)</t>
  </si>
  <si>
    <t>Commercial &amp; Institutional Buildings</t>
  </si>
  <si>
    <t>Manufacturing Industries &amp; Construction</t>
  </si>
  <si>
    <t>All Building Subsectors:</t>
  </si>
  <si>
    <t>Table 3. Residential Fuel Oil Consumption &amp; Emissions</t>
  </si>
  <si>
    <t>U.S. Average Site Energy Consumption of Fuel Oil (Gallons/Year)</t>
  </si>
  <si>
    <t>U.S. Percent of Total Residential Building Stock (%)</t>
  </si>
  <si>
    <t>Millions Housing Units in MA</t>
  </si>
  <si>
    <t>Percent of Total Housing Units in Massachusetts</t>
  </si>
  <si>
    <t>MA Average Site Energy Consumption of Fuel Oil (Gallons / Year / Site)</t>
  </si>
  <si>
    <t>Percent of Homes in Community Using Fuel Oil as Heating Fuel (%)</t>
  </si>
  <si>
    <t>Annual Fuel Oil Consumption (Gallons/Year)</t>
  </si>
  <si>
    <t>Single-Family- Detached</t>
  </si>
  <si>
    <t>Single-Family- Attached</t>
  </si>
  <si>
    <t>Multi-Family, 2-4 Units</t>
  </si>
  <si>
    <t>Multi-Family, 5+ Units</t>
  </si>
  <si>
    <t>Mobile Homes</t>
  </si>
  <si>
    <t>Residential Total:</t>
  </si>
  <si>
    <t>U.S. Average Residential Site Energy Consumption of Fuel Oil  adjusted based on MA Housing Stock (Gallons / Year / Site)</t>
  </si>
  <si>
    <t>Massachusetts Average Residential Site Energy Consumption of Fuel Oil (Gallons / Year / Site)</t>
  </si>
  <si>
    <t>Adjustment Ratio</t>
  </si>
  <si>
    <t xml:space="preserve">Data on US average fuel oil consumption by residential building type and the percent of total housing units in the US by residential building type is from EIA Table CE2.1 Annual Household Site Fuel Consumption in the U.S. - totals and averages, 2015. Fuel oil consumption data was not available for single-family attached residential units. These units were assumed to consume 92.05% of single-family detached housing units based on prior data published by EIA. </t>
  </si>
  <si>
    <t>EIA Table CE2.1</t>
  </si>
  <si>
    <t xml:space="preserve">Data on Massachusetts number of housing units by building type is from EIA Table HC2.8  Structural and Geographic Characteristics of Homes in Northeast Region, Divisions, and States, 2009. More current Massachusetts-specific data was not available through EIA. </t>
  </si>
  <si>
    <t>EIA Table HC2.8</t>
  </si>
  <si>
    <t xml:space="preserve">Data on Massachusetts average fuel oil consumption averaged across all residential building types is from EIA Table CE2.2  Household Site Fuel Consumption in the Northeast Region, Totals and Averages, 2009. More current Massachusetts-specific data was not available through EIA. 
</t>
  </si>
  <si>
    <t>EIA Table CE2.2</t>
  </si>
  <si>
    <t xml:space="preserve">Data on the number of homes by residential building type in a community is from the 2017 American Community Survey "Selected Housing Characteristics" table. Data is under subject "Units In Structure". 
</t>
  </si>
  <si>
    <t>American Fact Finder</t>
  </si>
  <si>
    <t xml:space="preserve">Data on the percent of homes in a community using fuel oil as a heating fuel is from the 2017 American Community Survey "Physical Housing Characteristics for Occupied Housing Units" table. Data is under subject "House Heating Fuel". 
</t>
  </si>
  <si>
    <t>Table 4. Commercial Fuel Oil Consumption &amp; Emissions</t>
  </si>
  <si>
    <t>Primary Building Activity</t>
  </si>
  <si>
    <t xml:space="preserve">Average Monthly Employment </t>
  </si>
  <si>
    <t xml:space="preserve">Number of Employer Establishments Within the Primary Building Activity </t>
  </si>
  <si>
    <t>Average Monthly Employment Per Employer Establishment (Employees/ Employer Establishment)</t>
  </si>
  <si>
    <t>Fuel Oil Consumption Per Employer Establishment (Gallons/ Employer Establishment / Year)</t>
  </si>
  <si>
    <t>Fuel Oil Consumption Per Employee (Gallons/ Employee / Year)</t>
  </si>
  <si>
    <t>Natural Gas Consumption Per Building (Gallons/ Building / Year)</t>
  </si>
  <si>
    <t>Percent Difference in Natural Gas Consumption Compared To Office Buildings (%)</t>
  </si>
  <si>
    <t>Percent of Buildings in Community Using Fuel Oil as Heating Fuel (%)</t>
  </si>
  <si>
    <t>Education</t>
  </si>
  <si>
    <t xml:space="preserve">Food Sales </t>
  </si>
  <si>
    <t xml:space="preserve">Food Service </t>
  </si>
  <si>
    <t xml:space="preserve">Health Care Inpatient </t>
  </si>
  <si>
    <t>Health Care Outpatient</t>
  </si>
  <si>
    <t xml:space="preserve">Lodging </t>
  </si>
  <si>
    <t xml:space="preserve">Mercantile Retail (other than mall) </t>
  </si>
  <si>
    <t>Mercantile Enclosed and Strip Malls</t>
  </si>
  <si>
    <t xml:space="preserve">Office </t>
  </si>
  <si>
    <t xml:space="preserve">Public Assembly </t>
  </si>
  <si>
    <t xml:space="preserve">Public Order And Safety </t>
  </si>
  <si>
    <t xml:space="preserve">Religious Worship </t>
  </si>
  <si>
    <t xml:space="preserve">Service </t>
  </si>
  <si>
    <t xml:space="preserve">Warehouse And Storage </t>
  </si>
  <si>
    <t xml:space="preserve">Other </t>
  </si>
  <si>
    <t>Commercial Total:</t>
  </si>
  <si>
    <t xml:space="preserve">Average monthly employment data and number of employer establishments (i.e. buildings) by "Primary Building Activity"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Average monthly employment per employer establishment (i.e. building) for each primary building activity was calculated using this data. </t>
  </si>
  <si>
    <t xml:space="preserve">Fuel oil consumption per employer establishment (i.e. building) is from the U.S. Energy Information Administration (EIA) 2012 CBECS Survey Data Table C34: US Commercial Building Fuel Oil Consumption and Expenditures. For some primary building activities (including Food Sales, Food Service, Health Care Outpatient, Mercantile Enclose and Strip Malls) this data was not available. For this building types, data from EIA Table C24: US Commercial Building Natural Gas Consumption and Expenditures was used to estimate fuel oil use in these buildings relative to the office building type. For example, the average Food Sales building uses 37% more natural gas than the average Office building and the above analysis also assumes that the average Food Sales building uses 37% more fuel oil than the average Office building. </t>
  </si>
  <si>
    <t>EIA Table C34</t>
  </si>
  <si>
    <t xml:space="preserve">The Percent of buildings in community using fuel oil as heating fuel is from the U.S. Energy Information Administration (EIA) 2012 CBECS Survey Data Table B22. Energy Sources, Number of Buildings, 2012. Data for New England showing that of the 287,000 commercial buildings using any energy source, 115,000 (or 40.07%) of them use heating oil. </t>
  </si>
  <si>
    <t>EIA Table B22</t>
  </si>
  <si>
    <t>Table 5. Industrial Fuel Oil Consumption &amp; Emissions</t>
  </si>
  <si>
    <t>Principal Building Activity</t>
  </si>
  <si>
    <t>Number of Employer Establishments Within the Primary Building Activity</t>
  </si>
  <si>
    <t>Energy Consumption Per Employee - Northeast (MMBTU/ employee/ year)</t>
  </si>
  <si>
    <t>Total Energy Consumption  - United States (Trillion BTU / year)</t>
  </si>
  <si>
    <t>Distillate Fuel Oil and Diesel Fuel Energy Consumption (Trillion Btu / year)</t>
  </si>
  <si>
    <t>Percent of Total Energy Consumption from Fuel Oil and Diesel Fuel (%)</t>
  </si>
  <si>
    <t>Distillate Fuel Oil Energy Consumption (Gallons / Year)</t>
  </si>
  <si>
    <t>Beverage and Tobacco Products</t>
  </si>
  <si>
    <t>Textile Mills</t>
  </si>
  <si>
    <t>Textile Product Mills</t>
  </si>
  <si>
    <t>Apparel</t>
  </si>
  <si>
    <t>Leather and Allied Products</t>
  </si>
  <si>
    <t>Wood Products</t>
  </si>
  <si>
    <t>Printing and Related Support</t>
  </si>
  <si>
    <t>Petroleum and Coal Products</t>
  </si>
  <si>
    <t>Chemicals</t>
  </si>
  <si>
    <t>Plastics and Rubber Products</t>
  </si>
  <si>
    <t>Nonmetallic Mineral Products</t>
  </si>
  <si>
    <t>Primary Metals</t>
  </si>
  <si>
    <t>Fabricated Metal Products</t>
  </si>
  <si>
    <t>Machinery</t>
  </si>
  <si>
    <t>Computer and Electronic Products</t>
  </si>
  <si>
    <t>Electrical Equip., Appliances, and Components</t>
  </si>
  <si>
    <t>Transportation Equipment</t>
  </si>
  <si>
    <t>Furniture and Related Products</t>
  </si>
  <si>
    <t>Miscellaneous</t>
  </si>
  <si>
    <t>Industrial Total:</t>
  </si>
  <si>
    <t xml:space="preserve">Fuel oil consumption per employee by primary building activity is from U.S. Energy Information Administration (EIA) 2014 Manufacturing Energy Consumption Survey (MCES) Table 6.1: Consumption Ratios of Fuel. Data for the northeast region was use in most casts. For some primary building activities (including Textile Mills, Textile Product Mills, and Transportation Equipment) northeast data was not available and national data was used. 
 </t>
  </si>
  <si>
    <t>EIA Table 6.1</t>
  </si>
  <si>
    <t xml:space="preserve">Total U.S. energy consumption by primary building activity is from U.S. Energy Information Administration (EIA) 2014 Manufacturing Energy Consumption Survey (MCES) Table 1.1: First Use of Energy for all Purposes (Fuel and Nonfuel). </t>
  </si>
  <si>
    <t>EIA Table 1.1</t>
  </si>
  <si>
    <t xml:space="preserve">Total U.S. distillate fuel oil and diesel fuel energy consumption by primary building activity is from U.S. Energy Information Administration (EIA) 2014 Manufacturing Energy Consumption Survey (MCES) Table 5.4: End Uses of Fuel Consumption. Data on distillate fuel oil and diesel fuel was combined. This analysis assumes distillate fuel oil makes up 100% of this combined total. </t>
  </si>
  <si>
    <t>EIA Table 5.4</t>
  </si>
  <si>
    <t>Table 6. Commercial &amp; Industrial Fuel Oil: Employment &amp; Establishments by NAICS Code and Business Activity VLookup</t>
  </si>
  <si>
    <t>North American Industry Classification System (NAICS) Code</t>
  </si>
  <si>
    <t>EIA Principal Business Activity</t>
  </si>
  <si>
    <t xml:space="preserve">Number of Employer Establishments </t>
  </si>
  <si>
    <t>Average Monthly Employment</t>
  </si>
  <si>
    <t>Crop production</t>
  </si>
  <si>
    <t>Other</t>
  </si>
  <si>
    <t>Animal production and aquaculture</t>
  </si>
  <si>
    <t>Forestry and logging</t>
  </si>
  <si>
    <t>Fishing, hunting and trapping</t>
  </si>
  <si>
    <t>Agriculture and forestry support activities</t>
  </si>
  <si>
    <t>Mining, except oil and gas</t>
  </si>
  <si>
    <t>Support activities for mining</t>
  </si>
  <si>
    <t>Utilities</t>
  </si>
  <si>
    <t>Construction of buildings</t>
  </si>
  <si>
    <t>Heavy and civil engineering construction</t>
  </si>
  <si>
    <t>Specialty trade contractors</t>
  </si>
  <si>
    <t>Warehouse/ Storage</t>
  </si>
  <si>
    <t>Electronic markets and agents and brokers</t>
  </si>
  <si>
    <t>Retail (non-mall)</t>
  </si>
  <si>
    <t>Food Sales</t>
  </si>
  <si>
    <t>Retail (mall)</t>
  </si>
  <si>
    <t>Service</t>
  </si>
  <si>
    <t>Office</t>
  </si>
  <si>
    <t>Public Assembly</t>
  </si>
  <si>
    <t>Pipeline transportation</t>
  </si>
  <si>
    <t>Outpatient Health Care</t>
  </si>
  <si>
    <t>Inpatient Health Care</t>
  </si>
  <si>
    <t>Lodging</t>
  </si>
  <si>
    <t>Food Service</t>
  </si>
  <si>
    <t>Religious Worship</t>
  </si>
  <si>
    <t>Private Households</t>
  </si>
  <si>
    <t>Public Order/ Safety</t>
  </si>
  <si>
    <t xml:space="preserve">Above data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t>
  </si>
  <si>
    <t>Total Disposition Excluding Direct Use (MWh)</t>
  </si>
  <si>
    <t>Grid Loss Factor (%)</t>
  </si>
  <si>
    <t xml:space="preserve">A Massachusetts-specific electricity transmission and distribution grid loss factor was calculated per U.S. Energy Information Administration instructions: "To calculate T&amp;D losses as a percentage, divide estimated losses by the result of total disposition minus direct use. Direct use electricity is the electricity generated mainly at non-utility facilities and that is not put onto the electricity transmission and distribution grid, and therefore direct use electricity does not contribute to T&amp;D losses." This data is provided by EIA in Massachusetts Table 10: Supply and Disposition of Electricity, 1990 through 2017. </t>
  </si>
  <si>
    <t>EIA Massachusetts Electricity Profile 2017</t>
  </si>
  <si>
    <t>Table 8. Electricity Transmission &amp; Distribution Losses</t>
  </si>
  <si>
    <t>GPC Subsector</t>
  </si>
  <si>
    <t>Total Electricity Consumption (kWh)</t>
  </si>
  <si>
    <t>Total Elec Grid Loss (kWh)</t>
  </si>
  <si>
    <t>Electricity T&amp;D CH4 Emissions (MT CH4)</t>
  </si>
  <si>
    <t>Electricity T&amp;D CO2 Emissions (MT CO2)</t>
  </si>
  <si>
    <t>Electricity T&amp;D N2O Emissions (MT N2O)</t>
  </si>
  <si>
    <t>Comm./Inst./Manu. Buildings</t>
  </si>
  <si>
    <t>Table 9. Fugitive Emissions from Natural Gas Distribution System Losses</t>
  </si>
  <si>
    <t>Est. Annual Loss Rates from Natural Gas from Transmission, Distribution and End Use (%)</t>
  </si>
  <si>
    <t>Total Nat. Gas Distribution Losses (Therms)</t>
  </si>
  <si>
    <t>Natural Gas Distribution Losses CH4 Emissions 
(MT CH4)</t>
  </si>
  <si>
    <t>Natural Gas Distribution Losses CO2 Emissions 
(MT CO2)</t>
  </si>
  <si>
    <t xml:space="preserve">Estimated natural gas loss rates from "Methane emissions from natural gas infrastructure and use in the urban region of Boston, Massachusetts" study by McKain et al., 2014. 2.7% is the average fractional loss rate to the atmosphere from all downstream components for the natural gas system, including transmission, distribution, and end use. 
</t>
  </si>
  <si>
    <t>PNAS Article</t>
  </si>
  <si>
    <t>Table 10. Allocating Electric Vehicle Electricity Consumption to Building Subsectors</t>
  </si>
  <si>
    <t>Vehicle Type</t>
  </si>
  <si>
    <t>Electricity Consumption per Year (kWh)</t>
  </si>
  <si>
    <t>Percent of Electricity Consumption Allocated to "Residential (Res. Data)" Subsector</t>
  </si>
  <si>
    <t>Percent of Electricity Consumption Allocated to "Commercial" Subsector</t>
  </si>
  <si>
    <t>Electricity Consumption Allocated to Residential Buildings Subsector per Year (kWh)</t>
  </si>
  <si>
    <t>Electricity Consumption Allocated to Comm./Inst./Manu. Buildings Subsector per Year (kWh)</t>
  </si>
  <si>
    <t>All Vehicles</t>
  </si>
  <si>
    <t xml:space="preserve">Percent of passenger vehicle electricity consumption attributable to the Residential Subsector based on a survey conducted by PlugInsights that revealed 81% of electric vehicle charging occurs at home. It was assumed that the remainder of passenger vehicle charging and all of commercial vehicle charging occurs at buildings in the Commercial &amp; Institutional Buildings &amp; Manufacturing Industries Subsector. </t>
  </si>
  <si>
    <t>PlugInsights Source</t>
  </si>
  <si>
    <t>Stationary Energy: Community-wide Off-road Energy &amp; Emissions</t>
  </si>
  <si>
    <t>C&amp;I Buildings + Manuf. Industries &amp; Const.</t>
  </si>
  <si>
    <t>The method for estimating emissions from off-road emissions sources uses the Motor Vehicle Emission Simulator (MOVES) version 2014a. This is a publicly available EPA emission modeling system that estimates emissions for mobile non-road sources at the national and county level for criteria air pollutants, greenhouse gases, and air toxics. Proportional emissions data was extracted from the county-level data through the most applicable ratios available.</t>
  </si>
  <si>
    <t>Table 1: Summary of Off-road Emissions in County and City/Town by Equipment Type Using Allocation Methodology</t>
  </si>
  <si>
    <t>County Off-road Transportation Emissions</t>
  </si>
  <si>
    <t>Allocation of County-Level Emissions to City/Town</t>
  </si>
  <si>
    <t>City/Town Off-road Emissions</t>
  </si>
  <si>
    <t>CO2 Emissions (kg)</t>
  </si>
  <si>
    <t>CH4 Emissions (kg)</t>
  </si>
  <si>
    <t>CO2 Emissions (MT)</t>
  </si>
  <si>
    <t>CH4 Emissions (MT)</t>
  </si>
  <si>
    <t>County-Level Emissions Allocated to City/Town By:</t>
  </si>
  <si>
    <t xml:space="preserve"> County Allocation Category Count</t>
  </si>
  <si>
    <t>City/Town Allocation Category Count</t>
  </si>
  <si>
    <t>Percent of County Allocation Category in City/Town</t>
  </si>
  <si>
    <t>Off-road CH4 Emissions 
(MT CH4)</t>
  </si>
  <si>
    <t>Off-road CO2 Emissions 
(MT CO2)</t>
  </si>
  <si>
    <t>Industrial Equipment</t>
  </si>
  <si>
    <t>Manufacturing Jobs</t>
  </si>
  <si>
    <t>Manufacturing Industries</t>
  </si>
  <si>
    <t>Lawn and Garden Equipment</t>
  </si>
  <si>
    <t>Square Feet of Landscaped Area</t>
  </si>
  <si>
    <t>Comm. &amp; Inst. Buildings</t>
  </si>
  <si>
    <t>Light Commercial Equipment</t>
  </si>
  <si>
    <t>All Sectors Jobs Excl. Manufacturing</t>
  </si>
  <si>
    <t>Construction Equipment</t>
  </si>
  <si>
    <t>Square Feet of Construction</t>
  </si>
  <si>
    <t>Off-road Emissions Attributable to Manufacturing Industries Subsector:</t>
  </si>
  <si>
    <t>Off-road Emissions Attributable to Commercial &amp; Institutional Buildings Subsector:</t>
  </si>
  <si>
    <t>Off-road Emissions Attributable to Construction Subsector:</t>
  </si>
  <si>
    <t>All Off-Road Emission Sources</t>
  </si>
  <si>
    <t xml:space="preserve">County-level data on CO2 and CH4 emissions from industrial equipment, lawn and garden equipment and light commercial equipment is from the EPA Motor Vehicle Emission Simulator (MOVES Model). </t>
  </si>
  <si>
    <t>EPA Source</t>
  </si>
  <si>
    <t>Stationary Energy: Energy Industries</t>
  </si>
  <si>
    <t>Subsector:</t>
  </si>
  <si>
    <t xml:space="preserve">Data on emissions generation by the energy industry for each community was provided by the EPA's Greenhouse Gas Reporting Program (GHGRP). All facilities included in the database , excluding landfills that do not generate electricity, are included. Emissions from Energy Industries (power plants) are part of the Stationary Energy Sector and fall into one of two categories. In both instances, the emissions in the below tables are provided for informational purposes only. 
Category 1)  If the electricity generated from these facilities is consumed direcltly within the city (e.g. co-generation facility at large business), the emissions from this power plant should be captured under BASIC/BASIC+ GPC reporting guidelines. The natural gas consumption and associated emissions requried to generate electricity at these power plants is caputred in the Mass Save energy data on the "Stationary Energy - Buildings" tab and included in the total reported emissions. Therefore, adding the below Energy Industries emissions to the community total would consitute double counting of emissions. 
Category 2) If the electricity generated from these facilities is sent to the regional electricity grid (e.g. large coal power plant), the emissions from this power plant should not be caputred under BASIC/BASIC+ GPC reporting guidelines. </t>
  </si>
  <si>
    <t>Table 1. Energy Industries Emissions Summary</t>
  </si>
  <si>
    <t>Town/City</t>
  </si>
  <si>
    <t>Energy Industry Non-biogenic CO2 Emissions (MT CO2)</t>
  </si>
  <si>
    <t>Table 2. Energy Industries Emissions by Facility in Massachusetts</t>
  </si>
  <si>
    <t>Facility Id</t>
  </si>
  <si>
    <t>Facility Name</t>
  </si>
  <si>
    <t>City</t>
  </si>
  <si>
    <t>Address</t>
  </si>
  <si>
    <t>Non-biogenic CO2 Emissions (MT CO2/year)</t>
  </si>
  <si>
    <t>SPECIALTY MINERALS</t>
  </si>
  <si>
    <t>260 COLUMBIA STREET</t>
  </si>
  <si>
    <t>Berkshire Power</t>
  </si>
  <si>
    <t>36 MOYLAN LANE</t>
  </si>
  <si>
    <t>COVANTA SPRINGFIELD LLC</t>
  </si>
  <si>
    <t>188 M ST</t>
  </si>
  <si>
    <t>TGP Station 261 Agawam</t>
  </si>
  <si>
    <t>1615 Suffield St</t>
  </si>
  <si>
    <t>UMASS PHYSICAL PLANT BUILDING</t>
  </si>
  <si>
    <t>360 CAMPUS CENTER WAY</t>
  </si>
  <si>
    <t>Pfizer</t>
  </si>
  <si>
    <t>1 BURTT RD.</t>
  </si>
  <si>
    <t>ANP Bellingham Energy Company, LLC</t>
  </si>
  <si>
    <t>155 MAPLE ST</t>
  </si>
  <si>
    <t>92 DEPOT ST</t>
  </si>
  <si>
    <t>ANP Blackstone Energy Company, LLC</t>
  </si>
  <si>
    <t>204 ELM ST</t>
  </si>
  <si>
    <t>MEDICAL AREA TOTAL ENERGY PLANT</t>
  </si>
  <si>
    <t>474 BROOKLINE AVE</t>
  </si>
  <si>
    <t>Kneeland Station</t>
  </si>
  <si>
    <t>165 KNEELAND ST</t>
  </si>
  <si>
    <t>GILLETTE CO</t>
  </si>
  <si>
    <t>1 GILLETTE PARK</t>
  </si>
  <si>
    <t>Boston University</t>
  </si>
  <si>
    <t>120 Ashford Street</t>
  </si>
  <si>
    <t>NORTHEASTERN UNIVERSITY</t>
  </si>
  <si>
    <t>360 HUNTINGTON AVENUE</t>
  </si>
  <si>
    <t>Mystic</t>
  </si>
  <si>
    <t>173 ALFORD ST</t>
  </si>
  <si>
    <t>Potter</t>
  </si>
  <si>
    <t>150 POTTER ROAD</t>
  </si>
  <si>
    <t>Kendall Square</t>
  </si>
  <si>
    <t>265 FIRST ST</t>
  </si>
  <si>
    <t>MIT Central Utility Plant</t>
  </si>
  <si>
    <t>59 VASSAR ST</t>
  </si>
  <si>
    <t>The President and Fellows of Harvard University (Cambridge Allston Blackstone)</t>
  </si>
  <si>
    <t>46 Blackstone Street</t>
  </si>
  <si>
    <t>BIOGEN INC</t>
  </si>
  <si>
    <t>225 Binney Street</t>
  </si>
  <si>
    <t>Millennium Power Partners</t>
  </si>
  <si>
    <t>10 SHERWOOD LANE</t>
  </si>
  <si>
    <t>TGP Station 264 Charlton</t>
  </si>
  <si>
    <t>196 Carpenter Hill Rd</t>
  </si>
  <si>
    <t>Dartmouth Power</t>
  </si>
  <si>
    <t>1 ENERGY RD.</t>
  </si>
  <si>
    <t>1450 SOMERSET AVE</t>
  </si>
  <si>
    <t>MASSPORT LOGAN AIRPORT</t>
  </si>
  <si>
    <t>East Boston</t>
  </si>
  <si>
    <t>ONE HARBORSIDE DRIVE</t>
  </si>
  <si>
    <t>ERVING PAPER MILLS INC</t>
  </si>
  <si>
    <t>97 EAST MAIN STREET</t>
  </si>
  <si>
    <t>DISTRIGAS OF MASSACHUSETTS LLC</t>
  </si>
  <si>
    <t>18 ROVER ST</t>
  </si>
  <si>
    <t>NEWARK AMERICA</t>
  </si>
  <si>
    <t>100 NEWARK WAY</t>
  </si>
  <si>
    <t>U S AIR FORCE HANSCOM AFB</t>
  </si>
  <si>
    <t>Hanscom AFB</t>
  </si>
  <si>
    <t>66 ABG/CE, 120 Grenier Street</t>
  </si>
  <si>
    <t>COVANTA HAVERHILL INC</t>
  </si>
  <si>
    <t>100 RECOVERY WAY</t>
  </si>
  <si>
    <t>Intel Massachusetts, Inc.</t>
  </si>
  <si>
    <t>75 Reed Road</t>
  </si>
  <si>
    <t>MASSPOWER</t>
  </si>
  <si>
    <t>Indian Orchard</t>
  </si>
  <si>
    <t>750 WORCESTER ST</t>
  </si>
  <si>
    <t>OLDCASTLE STONE PRODUCTS</t>
  </si>
  <si>
    <t>110 MARBLE ST</t>
  </si>
  <si>
    <t>Tanner Street Generation</t>
  </si>
  <si>
    <t>2 TANNER ST</t>
  </si>
  <si>
    <t>Stony Brook</t>
  </si>
  <si>
    <t>327 MOODY ST</t>
  </si>
  <si>
    <t>General Electric Aviation</t>
  </si>
  <si>
    <t>1000 WESTERN AVE</t>
  </si>
  <si>
    <t>Medway Station</t>
  </si>
  <si>
    <t>9 SUMMER ST</t>
  </si>
  <si>
    <t>TGP Station 266A Mendon</t>
  </si>
  <si>
    <t>54 Thayer Rd</t>
  </si>
  <si>
    <t>Milford Power, LLC</t>
  </si>
  <si>
    <t>108 NATIONAL ST</t>
  </si>
  <si>
    <t>Ardagh Glass Inc. (Milford)</t>
  </si>
  <si>
    <t>1 NATIONAL STREET</t>
  </si>
  <si>
    <t>WHEELABRATOR MILLBURY INC</t>
  </si>
  <si>
    <t>331 SOUTHWEST CUTOFF</t>
  </si>
  <si>
    <t>WHEELABRATOR NORTH ANDOVER INC.</t>
  </si>
  <si>
    <t>285 HOLT ROAD</t>
  </si>
  <si>
    <t>Rousselot Peabody, Inc.</t>
  </si>
  <si>
    <t>Peabdoy</t>
  </si>
  <si>
    <t>227 WASHINGTON ST.</t>
  </si>
  <si>
    <t>Pittsfield Generating</t>
  </si>
  <si>
    <t>235 MERRILL ROAD</t>
  </si>
  <si>
    <t>COVANTA PITTSFIELD LLC</t>
  </si>
  <si>
    <t>500 HUBBARD AVENUE</t>
  </si>
  <si>
    <t>SEMASS PARTNERSHIP RESOURCE RECOVERY FACILITY</t>
  </si>
  <si>
    <t>141 CRANBERRY HIGHWAY ROUTE 28</t>
  </si>
  <si>
    <t>Canal Station</t>
  </si>
  <si>
    <t>9 FREEZER ROAD</t>
  </si>
  <si>
    <t>Wheelabrator Saugus Inc.</t>
  </si>
  <si>
    <t>100 SALEM TURNPIKE</t>
  </si>
  <si>
    <t>Brayton Point</t>
  </si>
  <si>
    <t>BRAYTON POINT ROAD</t>
  </si>
  <si>
    <t>SOLUTIA INC - INDIAN ORCHARD PLANT</t>
  </si>
  <si>
    <t>730 WORCESTER STREET</t>
  </si>
  <si>
    <t>Cleary Flood</t>
  </si>
  <si>
    <t>1314 SOMERSET AVE</t>
  </si>
  <si>
    <t>WELLESLEY COLLEGE</t>
  </si>
  <si>
    <t>106 CENTRAL ST</t>
  </si>
  <si>
    <t>15 AGAWAM AVE</t>
  </si>
  <si>
    <t>Fore River Energy Center</t>
  </si>
  <si>
    <t>9 BRIDGE ST</t>
  </si>
  <si>
    <t>Analog Devices, Inc./ Wilmington Manufacturing</t>
  </si>
  <si>
    <t>804 Woburn Street, MS-424</t>
  </si>
  <si>
    <t>Skyworks Solutions, Inc.</t>
  </si>
  <si>
    <t>20 Sylvan Road</t>
  </si>
  <si>
    <t>UMASS MEDICAL SCHOOL</t>
  </si>
  <si>
    <t>55 LAKE AVE NORTH</t>
  </si>
  <si>
    <t>SAINT-GOBAIN ABRASIVES and SAINT-GOBAIN CERAMICS &amp; PLASTICS, INC.</t>
  </si>
  <si>
    <t>1 NEW BOND STREET</t>
  </si>
  <si>
    <t xml:space="preserve">The above data is from the EPA's Greenhouse Gas Reporting Program (GHGRP) "2017 Data Summary Spreadsheets". Data was pulled from the "Direct Emitters" tab. All facilities in Massachusetts, excluding landfills that do not generate electricity, are included in the above table. </t>
  </si>
  <si>
    <t>EPA GHGRP Source</t>
  </si>
  <si>
    <t>Propane Emisssions</t>
  </si>
  <si>
    <t>Vehicle Fuel Type</t>
  </si>
  <si>
    <t>Fuel Consumption per Year (gal)</t>
  </si>
  <si>
    <t>CH4 Emissions (MT CH4)</t>
  </si>
  <si>
    <t>CO2 Emissions (MT CO2)</t>
  </si>
  <si>
    <t>N2O Emissions (MT N2O)</t>
  </si>
  <si>
    <t>Total CO2e Emissions (MT CO2e)</t>
  </si>
  <si>
    <t>Fuel Consumption per Year (MMBTU)</t>
  </si>
  <si>
    <t xml:space="preserve">    Residential</t>
  </si>
  <si>
    <t xml:space="preserve">   Comercial/Industrial (inculding Municipal)</t>
  </si>
  <si>
    <t xml:space="preserve">   Total</t>
  </si>
  <si>
    <t>Propane Emisssions Factors for Metric Tonnes</t>
  </si>
  <si>
    <t>CH4 Emissions (MT CH4/Gallon)</t>
  </si>
  <si>
    <t>CO2 Emissions (MT CO2/Gallon)</t>
  </si>
  <si>
    <t>N2O Emissions (MT N2O/Gallon)</t>
  </si>
  <si>
    <t>Transportation: Community-wide Energy &amp; Emissions Summary</t>
  </si>
  <si>
    <t>All Transportation Subsectors</t>
  </si>
  <si>
    <t xml:space="preserve">This worksheet provides a summary of energy consumption and emissions in the Transportation Sector. On-road transportation emissions are based on VMT estimates for vehicles registered in a community according to the Vehicle Census of Massachusetts data. This approach is compliant with the GPC's "resident activity method" for estimating on-road VMT. The VMT fuel mix is used to determine the portion of VMT that is from gasoline, diesel and electric vehicles. Average fuel efficiencies of vehicles are then applied to estimate the gasoline, diesel, and electricity fuel consumption. Fuel-specific emission factors are then applied to each type of fuel consumption to estimate emissions. On-road public transportation (i.e. bus, trackless trolley) fuel consumption and emissions attributable to an individual community are calculated using the frequency-weighted route distance in the community, the total system-wide frequency-weighted route distance and the total system-wide fuel consumption. See the "Transportation - On Road" tab for more details. Rail transportation emissions were also accounted for using a similar methodology for on-road public transportation. See the "Transportation-Rail" tab for more details. Emission factors are explained on the "Emission Factors" tab. </t>
  </si>
  <si>
    <t>Table 1: Summary of On-road and Rail Transit Emissions by Fuel Type</t>
  </si>
  <si>
    <t>Fuel Consumption (gal)</t>
  </si>
  <si>
    <t>Fuel Consumption (MMBTU)</t>
  </si>
  <si>
    <t>Electricity (T&amp;D Losses)</t>
  </si>
  <si>
    <t>All On-road Transportation:</t>
  </si>
  <si>
    <t>All Rail Transportation:</t>
  </si>
  <si>
    <t>All Transportation:</t>
  </si>
  <si>
    <t>Transportation: Community-wide On-road Energy &amp; Emissions</t>
  </si>
  <si>
    <t>Private vehicle on-road transportation emissions were estimated using the GPC's resident activity method. This methodology uses municipality-specific data on number of registered vehicles, annual distance travelled, fuel type and fuel efficiency from the Massachusetts Vehicle Census (MAVC). On-road public transportation, including buses and trackless trolleys, was also accounted for utilizing data on distance travelled, route frequency, and energy consumption provided by the MBTA. The MBTA provided data back to 2010, including annual fuel use by mode and fuel type, and annual vehicle miles traveled by mode. The MBTA conducts its analysis based on fiscal year (July 1-June30), so calendar year estimates for 2017 are calculated as 50% of the value for FY17 and 50% of the value of FY18.  On-road public transportation for buses operated by other Regional Transit Authorities (RTAs) may be accounted for in Table 7.</t>
  </si>
  <si>
    <t>Table 1: Summary of On-road Energy Use &amp; Emissions by Fuel Type</t>
  </si>
  <si>
    <t>Total N2O Emissions 
(MT N2O</t>
  </si>
  <si>
    <t>All On-Road Transit:</t>
  </si>
  <si>
    <t>The above table assumes that all fuel consumed by "flex-fuel" vehicles is gasoline, as opposed to E-85, due to the lack of E-85 fueling stations in the region. Table includes municipal vehicle fuel use.</t>
  </si>
  <si>
    <t>Table 2: Summary of Private Vehicle Miles Travelled, Fuel Consumption, Efficiency and Emissions by Fuel Type</t>
  </si>
  <si>
    <t>Total Annual Vehicle Miles Travelled (VMT)</t>
  </si>
  <si>
    <t>Average Fuel Efficiency (MPG)</t>
  </si>
  <si>
    <t>Average Fuel Efficiency (kWh/mile)</t>
  </si>
  <si>
    <t>CH4 Emissions 
(MT CH4)</t>
  </si>
  <si>
    <t>CO2 Emissions 
(MT CO2)</t>
  </si>
  <si>
    <t>N2O Emissions 
(MT N2O)</t>
  </si>
  <si>
    <t>CO2e Emissions
(MT CO2e)</t>
  </si>
  <si>
    <t>CO2e Emissions / Gallon
(MT CO2e / Gallon)</t>
  </si>
  <si>
    <t>CO2e Emissions / kWh
(MT CO2e / kWh)</t>
  </si>
  <si>
    <t>Electricity (Including T&amp;D)</t>
  </si>
  <si>
    <t>Table 3: Summary of Private On-road Passenger &amp; Commercial Vehicles VMT , Fuel Consumption &amp; Emissions by Fuel Type</t>
  </si>
  <si>
    <t>Vehicle Count</t>
  </si>
  <si>
    <t>Passenger and Commercial Vehicles</t>
  </si>
  <si>
    <t xml:space="preserve">Data on vehicle count, average daily distance travelled per vehicles, and average fuel efficiency was provided by the Metropolitan Area Planning Council (MAPC) through the Massachusetts Vehicle Census for passenger and commercial vehicles garaged in city/town. Data is from Q4 of 2014. The above table assumes that all fuel consumed by "flex-fuel" vehicles is gasoline, as opposed to E-85, due to the lack of E-85 fueling stations in city/town and the surrounding region. </t>
  </si>
  <si>
    <t>Table 4: Private On-road Passenger Vehicles VMT, Fuel Consumption &amp; Emissions by Fuel Type</t>
  </si>
  <si>
    <t>Vehicles Registered Town/City: All</t>
  </si>
  <si>
    <t>Vehicles Registered in Town/City: With Valid Mileage Estimate and Fuel Economy</t>
  </si>
  <si>
    <t>Percent of All Vehicles Registered in Town/City With Valid Mileage Estimate and Fuel Economy</t>
  </si>
  <si>
    <t>Vehicles Registered in Town/City by Fuel Type: Adjusted for Vehicles with Missing Mileage Estimate and Fuel Economy</t>
  </si>
  <si>
    <t xml:space="preserve">Average Daily Vehicle Miles Travelled (DVMT): 
Vehicles With Known Fuel Type </t>
  </si>
  <si>
    <t>Total Daily Vehicle Miles Travelled (DVMT)</t>
  </si>
  <si>
    <t>Average Fuel Economy (MPG): Vehicles with Know Fuel Type</t>
  </si>
  <si>
    <t>Average Fuel Efficiency (kWh/Mile)</t>
  </si>
  <si>
    <t>CO2e Emissions (MT CO2e)</t>
  </si>
  <si>
    <t>Passenger Vehicles w/ Assigned Fuel Type</t>
  </si>
  <si>
    <t>nodata</t>
  </si>
  <si>
    <t>Table 5: Private On-road Commercial Vehicles VMT, Fuel Consumption &amp; Emissions by Fuel Type</t>
  </si>
  <si>
    <t>Vehicles Registered in Town/City: All</t>
  </si>
  <si>
    <t>Commercial Vehicles w/ Assigned Fuel Type</t>
  </si>
  <si>
    <t>Table 5a: Municipal On-Road Commercial Vehicles Fuel Consumption and Emissions by Fuel Type</t>
  </si>
  <si>
    <t>Data Source</t>
  </si>
  <si>
    <t>FuelEconomy.Gov</t>
  </si>
  <si>
    <t>Average of All Vehicles:</t>
  </si>
  <si>
    <t xml:space="preserve">The Massachusetts Vehicle Census does not provide emissions rates or fuel efficiencies for electric vehicles. In order to estimate fuel efficiency of electric vehicles, data on fuel efficiency from FuelEconomy.gov for the seven best selling electric vehicles of 2017 was used. </t>
  </si>
  <si>
    <t>Table 7: Public Transit On-road Route Distance, Fuel Consumption &amp; Emissions by Mode</t>
  </si>
  <si>
    <t>Allocating MBTA Fuel Use to City/Town</t>
  </si>
  <si>
    <t>Diesel Energy Use &amp; Emissions</t>
  </si>
  <si>
    <t>CNG Energy Use &amp; Emissions</t>
  </si>
  <si>
    <t>Electricity Energy Use &amp; Emissions</t>
  </si>
  <si>
    <t>Public Transit Type</t>
  </si>
  <si>
    <r>
      <t>City/Town Frequency-weighted Route Distance (miles/year)</t>
    </r>
    <r>
      <rPr>
        <b/>
        <sz val="12"/>
        <color theme="0"/>
        <rFont val="Arial"/>
        <family val="2"/>
      </rPr>
      <t>*</t>
    </r>
  </si>
  <si>
    <t>Portion of Total  MBTA Energy Use Attributable to Town/City</t>
  </si>
  <si>
    <t>Line Annual Diesel Consumption (gal/year)</t>
  </si>
  <si>
    <t>Diesel CH4 Emissions 
(MT CH4)</t>
  </si>
  <si>
    <t>Diesel CO2 Emissions 
(MT CO2)</t>
  </si>
  <si>
    <t>Diesel  N2O Emissions 
(MT N2O)</t>
  </si>
  <si>
    <t>CNG CO2 Emissions (MT CO2)</t>
  </si>
  <si>
    <t>Line Annual Electricity Consumption (MWh/year)</t>
  </si>
  <si>
    <t>System Annual Electricity Consumption (kWh/year)</t>
  </si>
  <si>
    <t>Silver Line</t>
  </si>
  <si>
    <r>
      <rPr>
        <b/>
        <sz val="12"/>
        <rFont val="Arial"/>
        <family val="2"/>
      </rPr>
      <t>* =</t>
    </r>
    <r>
      <rPr>
        <sz val="10"/>
        <rFont val="Arial"/>
        <family val="2"/>
      </rPr>
      <t xml:space="preserve"> </t>
    </r>
    <r>
      <rPr>
        <sz val="9"/>
        <rFont val="Arial"/>
        <family val="2"/>
      </rPr>
      <t xml:space="preserve">MBTA and City/Town Frequency-weighted Route Distance is estimated by MAPC based on GIS mapping information and route schedules. Above analysis assumes 50% of silver line buses are battery electric and 50% are diesel hybrid.  </t>
    </r>
  </si>
  <si>
    <t>Table 8: RTA Public Transit and Municipally-operated Public Transit On-road Route Distance, Fuel Consumption &amp; Emissions by Mode</t>
  </si>
  <si>
    <t>Gasoline Energy Use &amp; Emissions</t>
  </si>
  <si>
    <t>Gasoline CH4 Emissions 
(MT CH4)</t>
  </si>
  <si>
    <t>Gasoline CO2 Emissions 
(MT CO2)</t>
  </si>
  <si>
    <t>Gasoline N2O Emissions 
(MT N2O)</t>
  </si>
  <si>
    <t>City/Town Electricity Consumption (kWh/year)</t>
  </si>
  <si>
    <t>RTA 1 Bus Routes</t>
  </si>
  <si>
    <t>RTA 2 Bus Routes</t>
  </si>
  <si>
    <t>RTA 3 Bus Routes</t>
  </si>
  <si>
    <t>Municipally-Operated Bus Routes</t>
  </si>
  <si>
    <t>All RTA Bus:</t>
  </si>
  <si>
    <t xml:space="preserve">The above table accounts for on-road bus emissions from Regional Transit Authorities (RTAs) operating within the city boundary. Data must be collected by cities in order to estimate RTA emissions. Communities will need to discuss with RTAs the best methodology for estimating fuel consumption associated with bus lines going through an individual community. RTAs may be able to provide a direct estimate of fuel consumption occurring within a city boundary or they may be able to provide information on route distance travelled in the city, total route distance travelled by the RTA and total fuel consumption associated with the RTA. This information could potentially be used to estimate total RTA fuel consumption attributable to a single community.  </t>
  </si>
  <si>
    <t>Table 9: Public &amp; Private Transit On-road Electricity Transmission &amp; Distribution Losses</t>
  </si>
  <si>
    <t>Transit Mode</t>
  </si>
  <si>
    <t xml:space="preserve"> Electricity Consumption (kWh)</t>
  </si>
  <si>
    <r>
      <t>Grid Loss Factor (%)</t>
    </r>
    <r>
      <rPr>
        <b/>
        <sz val="12"/>
        <color theme="0"/>
        <rFont val="Arial"/>
        <family val="2"/>
      </rPr>
      <t>*</t>
    </r>
  </si>
  <si>
    <t>Private Passenger Electric Vehicles</t>
  </si>
  <si>
    <t>Private Commercial Electric Vehicles</t>
  </si>
  <si>
    <t>All On-road Transit</t>
  </si>
  <si>
    <r>
      <rPr>
        <b/>
        <sz val="12"/>
        <rFont val="Arial"/>
        <family val="2"/>
      </rPr>
      <t>* =</t>
    </r>
    <r>
      <rPr>
        <b/>
        <sz val="10"/>
        <rFont val="Arial"/>
        <family val="2"/>
      </rPr>
      <t xml:space="preserve"> </t>
    </r>
    <r>
      <rPr>
        <sz val="9"/>
        <rFont val="Arial"/>
        <family val="2"/>
      </rPr>
      <t xml:space="preserve">The grid loss factor used to estimate emissions from Eclectic T&amp;D losses is applied to all electricity consumption, including MBTA consumption estimates. Please note that the EIA grid loss factor may not be representative of actual losses from the MBTA distribution system.          </t>
    </r>
    <r>
      <rPr>
        <sz val="10"/>
        <rFont val="Arial"/>
        <family val="2"/>
      </rPr>
      <t xml:space="preserve">                         </t>
    </r>
  </si>
  <si>
    <t>EIA Massachusetts Electricity Profile 2014</t>
  </si>
  <si>
    <t>Transportation: Rail Energy &amp; Emissions</t>
  </si>
  <si>
    <t xml:space="preserve">Emissions from rail public transportation services include regional rail (commuter rail) and urban rail (heavy and light rail). All rail data on frequency-weighted route miles and fuel consumption was provided by the MBTA. The MBTA provided data back to 2010, including annual fuel use by mode and fuel type, and annual vehicle miles traveled by mode. The MBTA conducts its analysis based on fiscal year (July 1-June30), so calendar year estimates for 2017 are calculated as 50% of the value for FY17 and 50% of the value of FY18.  </t>
  </si>
  <si>
    <t>Table 1: Rail Transit Energy Consumption &amp; Emissions by Fuel Type</t>
  </si>
  <si>
    <t>Fuel Consumption (Gallons)</t>
  </si>
  <si>
    <t>All Rail Transit:</t>
  </si>
  <si>
    <t>Table 2: Rail Route Distance, Energy Consumption &amp; Emissions by Mode</t>
  </si>
  <si>
    <t>MBTA Frequency-weighted Route Distance (miles/year)*</t>
  </si>
  <si>
    <t>City/Town Frequency-weighted Route Distance (miles/year)*</t>
  </si>
  <si>
    <t>Portion of Total  MBTA Energy Use Attributable to City/Town</t>
  </si>
  <si>
    <t>Line Annual Diesel Consumption (gallons/year)</t>
  </si>
  <si>
    <t>City/Town Annual Diesel Consumption (gallons/year)</t>
  </si>
  <si>
    <t>City/Town Annual Diesel Emissions (MT CH4)</t>
  </si>
  <si>
    <t>City/Town Annual Diesel Emissions (MT CO2</t>
  </si>
  <si>
    <t>City/Town Annual Diesel Emissions (MT N2O)</t>
  </si>
  <si>
    <t>Line Electricity Consumption (MWh/year)</t>
  </si>
  <si>
    <t>System Electricity Consumption (kWh/year)</t>
  </si>
  <si>
    <t>City/Town Annual Electricity Emissions (MT CH4)</t>
  </si>
  <si>
    <t>City/Town Annual Electricity Emissions (MT CO2)</t>
  </si>
  <si>
    <t>City/Town Annual Electricity Emissions (MT N2O)</t>
  </si>
  <si>
    <t xml:space="preserve">All Rail Transit: </t>
  </si>
  <si>
    <t xml:space="preserve">* = MBTA and City/Town Frequency-weighted Route Distance is estimated by MAPC based on GIS mapping information and route schedules. </t>
  </si>
  <si>
    <t>Table 3. Rail Transit Electricity Transmission &amp; Distribution Losses</t>
  </si>
  <si>
    <t>Public Transit Mode</t>
  </si>
  <si>
    <r>
      <t>Grid Loss Factor (elec)</t>
    </r>
    <r>
      <rPr>
        <b/>
        <sz val="12"/>
        <color theme="0"/>
        <rFont val="Arial"/>
        <family val="2"/>
      </rPr>
      <t>*</t>
    </r>
  </si>
  <si>
    <t>Emissions (MT CH4)</t>
  </si>
  <si>
    <t>Emissions (MT CO2)</t>
  </si>
  <si>
    <t>Emissions (MT N2O)</t>
  </si>
  <si>
    <r>
      <rPr>
        <b/>
        <sz val="12"/>
        <rFont val="Arial"/>
        <family val="2"/>
      </rPr>
      <t>* =</t>
    </r>
    <r>
      <rPr>
        <b/>
        <sz val="10"/>
        <rFont val="Arial"/>
        <family val="2"/>
      </rPr>
      <t xml:space="preserve"> </t>
    </r>
    <r>
      <rPr>
        <sz val="9"/>
        <rFont val="Arial"/>
        <family val="2"/>
      </rPr>
      <t xml:space="preserve">The grid loss factor used to estimate emissions from Eclectic T&amp;D losses is applied to all electricity consumption, including MBTA consumption estimates. Please note that the EIA grid loss factor may not be representative of actual losses from the MBTA distribution system.        </t>
    </r>
    <r>
      <rPr>
        <sz val="10"/>
        <rFont val="Arial"/>
        <family val="2"/>
      </rPr>
      <t xml:space="preserve">                           </t>
    </r>
  </si>
  <si>
    <t>Summary: Community-wide Waste Emissions</t>
  </si>
  <si>
    <t>All Waste Subsectors</t>
  </si>
  <si>
    <t>This worksheet provides a summary of weight disposed of and emissions from the Waste Sector. The Waste Sector accounts for disposal of waste, biological treatment of waste, incineration of waste and wastewater. Collected waste is either sent to landfill or incinerated. Collected organic waste is either sent to a compositing facility or an anaerobic digestion facility. Wastewater is either sent to the Massachusetts Water Resources Authority (MRWA's) Deer Island Wastewater Treatment Plant or treated at a local, municipal wastewater treatment plant.</t>
  </si>
  <si>
    <t>Table 1: Summary of Waste Activity Data &amp; Emissions by Subsector</t>
  </si>
  <si>
    <t>Est. Total Waste to Landfill (short tons)</t>
  </si>
  <si>
    <t>Est. Mass of Waste Incinerated (tons)</t>
  </si>
  <si>
    <t>Est. Mass of Organics Sent to Compositing Facility (tons)</t>
  </si>
  <si>
    <t>Est. Mass of Organics Sent to Anaerobic Digester (tons)</t>
  </si>
  <si>
    <r>
      <t>Wastewater Treatment and Discharge</t>
    </r>
    <r>
      <rPr>
        <b/>
        <sz val="12"/>
        <rFont val="Arial"/>
        <family val="2"/>
      </rPr>
      <t>*</t>
    </r>
  </si>
  <si>
    <t>All Waste:</t>
  </si>
  <si>
    <t>Waste: Community-wide Solid Waste Disposal</t>
  </si>
  <si>
    <t xml:space="preserve">Methane emissions associated with landfilled waste were calculated using GPC equations 8.1, 8.3 and 8.4. Equation 8.3 estimates methane emissions resulting from solid waste sent to landfill. This equation assigns emissions to a community based on the amount of waste disposed in a given year. State default values are available for the amount of waste that is incinerated versus sent to landfill and the composition of waste. These default values can be replaced with community-specific values on the "Inputs" worksheet if community-specific data is available. </t>
  </si>
  <si>
    <t>Table 1: Methane Commitment Estimate for Solid Waste Sent to Landfill (GPC Equation 8.3)</t>
  </si>
  <si>
    <t>Mass Solid Waste Sent to Landfill (MT)</t>
  </si>
  <si>
    <t>Methane Generation Potential</t>
  </si>
  <si>
    <t>Fraction of Methane Recovered at Landfill</t>
  </si>
  <si>
    <t>Oxidation Factor</t>
  </si>
  <si>
    <t>GPC Equation 8.4 Variable Corresponding Letter</t>
  </si>
  <si>
    <t>MSWx</t>
  </si>
  <si>
    <t>Lo</t>
  </si>
  <si>
    <t>frec</t>
  </si>
  <si>
    <t>OX</t>
  </si>
  <si>
    <t xml:space="preserve">In accordance with Equation 8.3:
1) The Fraction of Methane Recovered in Landfill was assumed to be 0 because it cannot be determined at this time which landfills each city/town sends waste to. 
2) An Oxidation Factor (OX) of 0.1 was selected because the landfills that most cities/towns send waste to in Massachusetts are managed. </t>
  </si>
  <si>
    <t>Table 2: Weight of Waste and Organic Waste Collected by Collection Type</t>
  </si>
  <si>
    <t>Mass of Waste Collected - Excluding Separated Organic Waste (short tons)</t>
  </si>
  <si>
    <t>Mass of Separated Organic Waste Collected (short tons)</t>
  </si>
  <si>
    <t>Mass of Waste Collected - Excluding Separated Organic Waste (MT)</t>
  </si>
  <si>
    <t>Mass of Separated Organic Waste Collected (MT)</t>
  </si>
  <si>
    <t>Drop-Off</t>
  </si>
  <si>
    <t>Private Hauler Collected</t>
  </si>
  <si>
    <t>Waste Category</t>
  </si>
  <si>
    <t>Percent of Total City/Town Waste Disposed In-state</t>
  </si>
  <si>
    <t>All Waste Disposed of In-state</t>
  </si>
  <si>
    <t>All Waste Disposed of 
In-state</t>
  </si>
  <si>
    <t>Landfilled Waste</t>
  </si>
  <si>
    <t>Municipal Solid Waste (MSW)</t>
  </si>
  <si>
    <t>Construction &amp; Demolition Waste (C&amp;D)</t>
  </si>
  <si>
    <t>Other Waste</t>
  </si>
  <si>
    <t>Total Landfilled Waste</t>
  </si>
  <si>
    <t>Combusted Waste</t>
  </si>
  <si>
    <t>Non-Municipal Solid Waste (MSW)</t>
  </si>
  <si>
    <t>Total Combusted Waste</t>
  </si>
  <si>
    <t>This table assumes default State-level percent of disposed waste sent to landfill and combusted unless local data is entered on the "Inputs" tab of this workbook. Data on weight of Massachusetts waste disposed of in-state and weight of total in-state waste sent to landfill vs. combusted by waste type is from MA DEP 2017 Solid Waste Update, Table 2 "Solid Waste Tonnage and Percent Change Summary: 2016-2017", page 3.</t>
  </si>
  <si>
    <t>MA DEP 2017 Solid Waste Update</t>
  </si>
  <si>
    <t>Table 4: Weight of Waste Sent to Landfill by Collection Type and Waste Type</t>
  </si>
  <si>
    <t>Mass of Total Waste Landfilled (short tons)</t>
  </si>
  <si>
    <t>Mass of Total Waste Landfilled  (MT)</t>
  </si>
  <si>
    <t>All Categories</t>
  </si>
  <si>
    <t>The table above estimates the amount of waste sent to landfill based on 1) The mass of waste collected (excluding separated organic waste) and 2) The calculated percent of disposed waste sent to landfills.</t>
  </si>
  <si>
    <t>Table 5: Methane Generation Potential (GPC Equation 8.4) and Degradable Organic Carbon (Equation 8.1)</t>
  </si>
  <si>
    <t>Methane Correction Factor</t>
  </si>
  <si>
    <t>Degradable Organic Carbon (tonnes C/tonnes waste)</t>
  </si>
  <si>
    <t xml:space="preserve">Fraction of Degradable Organic Carbon Degraded </t>
  </si>
  <si>
    <t>Fraction of Methane in Landfill Gas</t>
  </si>
  <si>
    <t>Stoichiometric Ratio Between Methane and Carbon</t>
  </si>
  <si>
    <t>MCF</t>
  </si>
  <si>
    <t>DOC</t>
  </si>
  <si>
    <t>DOCf</t>
  </si>
  <si>
    <t>F</t>
  </si>
  <si>
    <t>16/12</t>
  </si>
  <si>
    <t xml:space="preserve">In accordance with Equation 8.4: 
1) A value of 1.00 was input for Methane Correction Factor (MCF) since landfills waste is sent to are actively managed.
2) A default value of 0.6 was input for Fraction of Degradable Organic Carbon Degraded (DOCf).
3) A default value 0.5 was input for Fraction of Methane in Landfill Gas (F). 
4) The default fraction of 16/12 was input for Stoichiometric Ratio Between Methane and Carbon. </t>
  </si>
  <si>
    <t>Table 6: Waste Characterization Allocation by GPC Equation 8.1 Categories</t>
  </si>
  <si>
    <t>Equation 8.1 Waste Category</t>
  </si>
  <si>
    <t>Equation 8.1 Corresponding Variable</t>
  </si>
  <si>
    <t>City/Town Data: Percent of Total Disposed Waste in Category</t>
  </si>
  <si>
    <t>Sate Data: Percent of Total Disposed Waste in Category</t>
  </si>
  <si>
    <t>Selected Data: Percent of Total Disposed Waste in Category</t>
  </si>
  <si>
    <t>Equation 8.1 Default Carbon Content Value (tonnes C/tonnes waste)</t>
  </si>
  <si>
    <t>A</t>
  </si>
  <si>
    <t>B</t>
  </si>
  <si>
    <t>C</t>
  </si>
  <si>
    <t>D</t>
  </si>
  <si>
    <t>E</t>
  </si>
  <si>
    <r>
      <t xml:space="preserve">This table assumes default State-level composition of waste unless local data is entered on the "Inputs" tab of this workbook. See </t>
    </r>
    <r>
      <rPr>
        <u/>
        <sz val="9"/>
        <rFont val="Arial"/>
        <family val="2"/>
      </rPr>
      <t>Table 7</t>
    </r>
    <r>
      <rPr>
        <sz val="9"/>
        <rFont val="Arial"/>
        <family val="2"/>
      </rPr>
      <t xml:space="preserve"> below for a detailed explanation of how each waste type was allocated to the appropriate GPC waste category. </t>
    </r>
  </si>
  <si>
    <t>Table 7: Overall Waste Composition By Detailed Material Category Mapped to GPC Waste Categories</t>
  </si>
  <si>
    <t>Waste Category/Sub-category</t>
  </si>
  <si>
    <t>Weighted Average</t>
  </si>
  <si>
    <t xml:space="preserve">Uncoated Corrugated Cardboard/Kraft Paper </t>
  </si>
  <si>
    <t xml:space="preserve">Waxed Cardboard </t>
  </si>
  <si>
    <t xml:space="preserve">High Grade Office Paper </t>
  </si>
  <si>
    <t xml:space="preserve">Magazines/Catalogs </t>
  </si>
  <si>
    <t xml:space="preserve">Newsprint </t>
  </si>
  <si>
    <t xml:space="preserve">Other Recyclable Paper </t>
  </si>
  <si>
    <t xml:space="preserve">Compostable Paper </t>
  </si>
  <si>
    <t xml:space="preserve">Remainder/Composite Paper </t>
  </si>
  <si>
    <t>Plastic</t>
  </si>
  <si>
    <t xml:space="preserve">PET Beverage Containers (non-MA deposit containers) </t>
  </si>
  <si>
    <t>PET Containers other than Beverage Containers</t>
  </si>
  <si>
    <t xml:space="preserve">Plastic MA Deposit Beverage Containers </t>
  </si>
  <si>
    <t>HDPE Bottles, colored and natural</t>
  </si>
  <si>
    <t xml:space="preserve">Plastic Tubs and lids (HDPE, PP, etc.) </t>
  </si>
  <si>
    <t xml:space="preserve">Plastic Containers #3-#7 (which originally contained non-hazardous material) </t>
  </si>
  <si>
    <t xml:space="preserve">Expanded Polystyrene Food Grade </t>
  </si>
  <si>
    <t>Expanded Polystyrene Non-food Grade</t>
  </si>
  <si>
    <t xml:space="preserve">Bulk Rigid Plastic Items </t>
  </si>
  <si>
    <t xml:space="preserve">Film (non-bag clean commercial and industrial packaging film) </t>
  </si>
  <si>
    <t xml:space="preserve">Grocery and other Merchandise Bags </t>
  </si>
  <si>
    <t xml:space="preserve">Other Film means plastic film  </t>
  </si>
  <si>
    <t xml:space="preserve">Remainder/Composite Plastic </t>
  </si>
  <si>
    <t>Metal</t>
  </si>
  <si>
    <t xml:space="preserve">Aluminum Beverage Containers (non-MA deposit containers) </t>
  </si>
  <si>
    <t xml:space="preserve">Aluminum MA Deposit Beverage Containers </t>
  </si>
  <si>
    <t xml:space="preserve">Tin/Steel Containers </t>
  </si>
  <si>
    <t>Other Aluminum</t>
  </si>
  <si>
    <t xml:space="preserve">Other Ferrous and non-ferrous </t>
  </si>
  <si>
    <t>White Goods</t>
  </si>
  <si>
    <t xml:space="preserve">Remainder/Composite Metal </t>
  </si>
  <si>
    <t>Glass</t>
  </si>
  <si>
    <t xml:space="preserve">Glass Beverage Containers (non-MA deposit containers) </t>
  </si>
  <si>
    <t xml:space="preserve">Other Glass Packaging Containers (non-MA deposit containers)  </t>
  </si>
  <si>
    <t xml:space="preserve">Glass MA Deposit Beverage Containers </t>
  </si>
  <si>
    <t>Remainder/Composite Glass</t>
  </si>
  <si>
    <t>Organic Materials</t>
  </si>
  <si>
    <t xml:space="preserve">Food Waste </t>
  </si>
  <si>
    <t xml:space="preserve">Branches and Stumps </t>
  </si>
  <si>
    <t xml:space="preserve">Prunings, Trimmings, Leaves and Grass </t>
  </si>
  <si>
    <t xml:space="preserve">Manures </t>
  </si>
  <si>
    <t xml:space="preserve">Remainder/Composite Organic </t>
  </si>
  <si>
    <t>Construction and Demolition (in the MSW stream)</t>
  </si>
  <si>
    <t xml:space="preserve">Asphalt Pavement, Brick, and Concrete </t>
  </si>
  <si>
    <t>Aggregates, Stone, Rock</t>
  </si>
  <si>
    <t xml:space="preserve">Wood – Treated </t>
  </si>
  <si>
    <t xml:space="preserve">Wood – Untreated </t>
  </si>
  <si>
    <t xml:space="preserve">Asphalt Roofing </t>
  </si>
  <si>
    <t xml:space="preserve">Drywall/Gypsum Board </t>
  </si>
  <si>
    <t xml:space="preserve">Carpet and Carpet Padding </t>
  </si>
  <si>
    <t xml:space="preserve">Remainder/Composite Construction and Demolition </t>
  </si>
  <si>
    <t>Household Hazardous Waste</t>
  </si>
  <si>
    <t xml:space="preserve">Ballasts, CFLs, and Other Fluorescents </t>
  </si>
  <si>
    <t xml:space="preserve">Batteries – Lead Acid </t>
  </si>
  <si>
    <t xml:space="preserve">Batteries – Other </t>
  </si>
  <si>
    <t xml:space="preserve">Paint </t>
  </si>
  <si>
    <t xml:space="preserve">Bio-Hazardous </t>
  </si>
  <si>
    <t xml:space="preserve">Vehicle and Equipment Fluids </t>
  </si>
  <si>
    <t xml:space="preserve">Empty Metal, Glass, and Plastic Containers </t>
  </si>
  <si>
    <t xml:space="preserve">Other Hazardous or Household Hazardous Waste </t>
  </si>
  <si>
    <t>Electronics</t>
  </si>
  <si>
    <t xml:space="preserve">Computer-related Electronics </t>
  </si>
  <si>
    <t>Other “brown goods”</t>
  </si>
  <si>
    <t xml:space="preserve">Televisions and Computer Monitors </t>
  </si>
  <si>
    <t>Other Materials</t>
  </si>
  <si>
    <t xml:space="preserve">Tires and other rubber </t>
  </si>
  <si>
    <t xml:space="preserve">Textiles </t>
  </si>
  <si>
    <t xml:space="preserve">Bulky Materials </t>
  </si>
  <si>
    <t>Mattresses</t>
  </si>
  <si>
    <t xml:space="preserve">Restaurant Fats, Oils and Grease </t>
  </si>
  <si>
    <t xml:space="preserve">Other Miscellaneous </t>
  </si>
  <si>
    <t xml:space="preserve">The above data is from the Massachusetts's Department of Environmental Protection (DEP) "Summary of Waste Combustor Class II Recycling Program Waste Characterization Studies (Includes 2010, 2013 &amp; 2016 Data)". Data from the "2016 Detailed Fall &amp; Winter" tab of the workbook was used. 2016 data was the most recent data available. This data provides a weighted average composition by material category based on the amount of waste that each incineration facility burned in calendar year 2016. </t>
  </si>
  <si>
    <t>MA DEP Waste Source</t>
  </si>
  <si>
    <t>Waste: Community-wide Biological Treatment of Solid Waste</t>
  </si>
  <si>
    <t>Biological Treatment of Solid Waste</t>
  </si>
  <si>
    <t xml:space="preserve">Methane and nitrous oxide emissions associated with biological treatment of solid waste were calculated using GPC equation 8.5. Equation 8.5 estimates direct emissions resulting from two treatment types - compositing and anaerobic digestion.  State default values are available for the amount of organic waste that is composted versus anaerobically digested. These default values can be replaced with community-specific values on the "Inputs" worksheet if community-specific data is available. </t>
  </si>
  <si>
    <t>Table 1. Biologically Treated Waste by Treatment Type</t>
  </si>
  <si>
    <t>Percent of Organic Waste Sent to Compositing Facility</t>
  </si>
  <si>
    <t>Percent of Organic Waste Sent to Anaerobic Digestion Facility</t>
  </si>
  <si>
    <t xml:space="preserve">This table assumes default State-level percent of organic waste sent to compositing facility vs. anaerobic digestion facility unless local data is entered on the "Inputs" tab of this workbook. </t>
  </si>
  <si>
    <t>Table 2. Direct Emissions From Biologically Treated Solid Waste (GPC Equation 8.5)</t>
  </si>
  <si>
    <t>Biological Treatment Type</t>
  </si>
  <si>
    <t>Mass of Organic Waste Treated (kg/year)</t>
  </si>
  <si>
    <t>CH4 Emissions Factor (g CH4 / kg waste)</t>
  </si>
  <si>
    <t>N2O Emissions Factor (g N2O / kg waste)</t>
  </si>
  <si>
    <t>CH4 Emissions Excluding Methane Capture
(MT CH4)</t>
  </si>
  <si>
    <t>Percent of CH4 Recovered (%)</t>
  </si>
  <si>
    <t>CH4 Emissions Including Methane Capture
(MT CH4)</t>
  </si>
  <si>
    <t>N2O Emissions
(MT N2O)</t>
  </si>
  <si>
    <t>Compositing Facility</t>
  </si>
  <si>
    <t>Total Biologically Treated Solid Waste:</t>
  </si>
  <si>
    <t xml:space="preserve">In accordance with GPC Equation 8.5:
1) The default biological treatment emission factors from GPC Table 8.3 were used. "Wet waste" emission factors were used for both compositing and anaerobic digestion at biogas facilities. 
2) The estimated percent of CH4 recovered at compositing facilities and anerobic digestion facilities. This analysis assumes 0% methane recovery for compositing facilities and 100% methane recovery for anaerobic digestion facilities. </t>
  </si>
  <si>
    <t>MA DEP Source</t>
  </si>
  <si>
    <t>Waste: Community-wide Incineration and Open Burning</t>
  </si>
  <si>
    <t xml:space="preserve">Carbon dioxide, methane, and nitrous oxide emissions associated with incineration of solid waste were calculated using GPC equations 8.6, 8.7, and 8.8. Equation 8.6 estimates non-biogenic carbon dioxide emissions from the incineration of waste, Equation 8.7 estimates methane emissions from the incineration of waste, and Equation 8.8 estimates nitrous oxide emissions from the incineration of waste. State default values are available for the amount of waste that is incinerated versus sent to landfill. These default values can be replaced with community-specific values on the "Inputs" worksheet if community-specific data is available.  In general, the mass of incinerated waste in total and for each fraction of matter type i (paper, textiles, food, etc.) are used to determine the emissions. The quantities for CO2, CH4 and NO2 are summed, and then multiplied by the mass to calculate the total emissions from incinerated waste. 
In Massachusetts, the incinerated waste is used to generate electricity. Emissions generated as a result of incineration occurring outside of a city's boundary are considered Scope 3 emissions.  According to the GPC, waste used to generate energy is considered a stationary energy source. Stationary energy sources outside of the city's boundary are not included in the inventory. If a waste incineration power plant is located inside the city's boundary, it is accounted for the "Stationary Energy - E. Indus." worksheet. </t>
  </si>
  <si>
    <t>Table 1: Summary of Emissions From Waste Incineration</t>
  </si>
  <si>
    <t>Table 2: Waste Incineration by Collection Type</t>
  </si>
  <si>
    <t>Mass of Waste Collected (short tons)</t>
  </si>
  <si>
    <t>Percent of Collected Waste Incinerated</t>
  </si>
  <si>
    <t>Mass of Waste Incinerated (short tons)</t>
  </si>
  <si>
    <t>Table 3: Non-biogenic CO2 Emissions From Waste Incineration (GPC Equation 8.6)</t>
  </si>
  <si>
    <t>Category of Type of Waste Incinerated</t>
  </si>
  <si>
    <t>Fraction of Waste Consisting of Type i Matter</t>
  </si>
  <si>
    <t>Dry Matter Content in Type i Matter</t>
  </si>
  <si>
    <t>Fraction of Carbon in the Dry Matter of Type i Matter</t>
  </si>
  <si>
    <t>Fraction of Fossil Carbon in the Total Carbon Component of Type i Matter</t>
  </si>
  <si>
    <t>Wfi x dmi x Cfi x FCFi x Ofi</t>
  </si>
  <si>
    <t>GPC Equation 8.6 Variable Corresponding Letter</t>
  </si>
  <si>
    <t>i</t>
  </si>
  <si>
    <t xml:space="preserve">m </t>
  </si>
  <si>
    <t>WFi</t>
  </si>
  <si>
    <t>dm(i)</t>
  </si>
  <si>
    <t>CF(i)</t>
  </si>
  <si>
    <t>FCF(i)</t>
  </si>
  <si>
    <t>OF(i)</t>
  </si>
  <si>
    <t>All Incinerated Waste</t>
  </si>
  <si>
    <t>Food Waste</t>
  </si>
  <si>
    <t xml:space="preserve">All CO2  Incinerated Waste Emissions: </t>
  </si>
  <si>
    <t>In accordance with GPC Equation 8.6:
1) Defaults values for Dry Matter Content (dm) and Fraction of Carbon in the Dry Matter (CF) were pulled from 2006 IPCC Guidelines, Vol. 5, Ch. 2, Table 2.4.
2) Default values for Fraction of Fossil Carbon in the Total Carbon Component (FCF) were pulled from 2006 IPCC Guidelines, Vol. 5, Ch. 2, Table 2.5.</t>
  </si>
  <si>
    <t>2006 IPCC Guidelines, Vol. 5, Ch. 2</t>
  </si>
  <si>
    <t>3) Default Values for Oxidation Factor (OF)  were pulled from GPC Table 8.4.</t>
  </si>
  <si>
    <t>See GPC Table 8.4</t>
  </si>
  <si>
    <t>Table 4: CH4 Emissions From Waste Incineration (GPC Equation 8.7)</t>
  </si>
  <si>
    <t>Amount of Solid Waste of Type i  Incinerated (short tons)</t>
  </si>
  <si>
    <t>Aggregate CH4 Emission Factor (g CH4/ton of waste type i)</t>
  </si>
  <si>
    <t>GPC Equation 8.7 Variable Corresponding Letter</t>
  </si>
  <si>
    <t>IW(i)</t>
  </si>
  <si>
    <t>EF(i)</t>
  </si>
  <si>
    <t xml:space="preserve">All CH4 Incinerated Waste Emissions: </t>
  </si>
  <si>
    <t>In accordance with GPC equation 8.7 Aggregate CH4 Emission Factor for "Continuous Incineration: Stoker" from GPC Table 8.5 was used.</t>
  </si>
  <si>
    <t>See GPC Table 8.5</t>
  </si>
  <si>
    <t>Massachusetts Waste Combustion Overview</t>
  </si>
  <si>
    <t>Table 5: N2O Emissions From Waste Incineration (GPC Equation 8.8)</t>
  </si>
  <si>
    <t>Aggregate N2O Emission Factor (g N2O/ton of waste type i)</t>
  </si>
  <si>
    <t>N2O Emissions (MT)</t>
  </si>
  <si>
    <t>GPC Equation 8.8 Variable Corresponding Letter</t>
  </si>
  <si>
    <t xml:space="preserve">All N2O Incinerated Waste Emissions: </t>
  </si>
  <si>
    <t xml:space="preserve">In accordance with GPC Equation 8.8 Aggregate N2O Emission Factor (EF) for "continuous and semi-continuous incinerators" from GPC Table 8.6 was used. </t>
  </si>
  <si>
    <t>See GPC Table 8.6</t>
  </si>
  <si>
    <t>Waste: Community-wide Wastewater Treated &amp; Emissions</t>
  </si>
  <si>
    <t xml:space="preserve">For communities served by either an MWRA wastewater treatment plant (Clinton, Deer Island, Greater Lawrence, Pittsfield, Rockland) indirect nitrous oxide emissions from wastewater effluent were calculated using GPC Equation 8.11. For these MWRA facilities, no methane is released from the treatment process. Methane is captured and diverted to co-generation systems where it is used to heat buildings and generate electricity via steam turbine generators.  Emissions generated as a result of methane capture and co-generation occurring outside of a city's boundary are considered Scope 3 emissions.  According to the GPC, wastewater used to generate energy is considered a stationary energy source. Stationary energy sources outside of the city's boundary are not included in the inventory. If a wastewater treatment power plant is located inside the city's boundary, it is accounted for the "Stationary Energy - E. Indus." worksheet. 
For communities not served by an MWRA wastewater treatment plant, indirect nitrous oxide emissions from wastewater effluent and CH4 generation emissions from wastewater treatment were calculated using the methodology outlined in the Massachusetts Department of Environmental Protection (DEP) "Statewide Greenhouse gas Emissions Level: 1990 Baseline and 2020 Business As Usual Projection Update" report. This methodology is in compliance with methodologies recommended by the GPC. Communities are not served by either Deer Island Wastewater Treatment Plant or Lawrence Wastewater Treatment Plant do have some methane emissions associated with wastewater treatment because methane capture and co-generation systems are not in place. 
Some communities are only partially served by an MWRA WWTP. For these communities, the percentage of the total community population served by the MWRA WWTP is used to calculate total wastewater emissions using the MWRA and "non-MWRA" methodologies outlined above. </t>
  </si>
  <si>
    <t>Table 1: Summary of Emissions From Wastewater Treatment and Discharge</t>
  </si>
  <si>
    <t>Wastewater Treatment Emissions from MWRA Wastewater</t>
  </si>
  <si>
    <t>Wastewater Treatment Emissions from non-MWRA Wastewater</t>
  </si>
  <si>
    <t>Total Wastewater Treatment Emissions</t>
  </si>
  <si>
    <t>Table 2: Population Served vs. Not Served by MWRA Wastewater Treatment</t>
  </si>
  <si>
    <t>Total Community Population:</t>
  </si>
  <si>
    <t>Percent of Community Population Served by MWRA WWTP:</t>
  </si>
  <si>
    <t>Community Population Served by MWRA WWTP:</t>
  </si>
  <si>
    <t>Community Population Not Served by MWRA WWTP:</t>
  </si>
  <si>
    <t>GPC Equation 8.11 Variable Corresponding Letter</t>
  </si>
  <si>
    <t>Community Population Served by MWRA WWTP</t>
  </si>
  <si>
    <t>P</t>
  </si>
  <si>
    <t>Annual Per Capita Protein Consumption (kg/person/year)</t>
  </si>
  <si>
    <t>Protein</t>
  </si>
  <si>
    <t>Factor to Adjust for Non-consumed Protein</t>
  </si>
  <si>
    <t>Fnon-con</t>
  </si>
  <si>
    <t>Fraction of Nitrogen in Protein</t>
  </si>
  <si>
    <t>Fnpr</t>
  </si>
  <si>
    <t>Factor for Industrial and Commercial Co-discharged Protein into the Sewer System</t>
  </si>
  <si>
    <t>Find-com</t>
  </si>
  <si>
    <t>Nitrogen Removed from Sludge (kg N/year)</t>
  </si>
  <si>
    <t>Nsludge</t>
  </si>
  <si>
    <t>Emission Factor for N2O Emissions from Discharged Wastewater (kg N2O-N per kg N2O)</t>
  </si>
  <si>
    <t>EFeffluent</t>
  </si>
  <si>
    <t>Conversion of kg N2O-N into kg N2O</t>
  </si>
  <si>
    <t>44/28</t>
  </si>
  <si>
    <t>N2O Emissions (MT N2O):</t>
  </si>
  <si>
    <t>In accordance with GPC Equation 8.11:
1) Annual Per Capita Protein Consumption (Protein) for year 2017 from the EPA Inventory of U.S. Greenhouse Gas Emissions and Sinks: 1990 -2017, Table 7-16 was used</t>
  </si>
  <si>
    <t>EPA Inventory of U.S. Greenhouse Gas Emissions and Sinks: 1990-2017</t>
  </si>
  <si>
    <t xml:space="preserve">2) A factor to Adjust for Non-consumed Protein (Fnon-con) of 1.4 for countries with garbage disposals was used. 
3) A default value of 0.16 for Fraction of Nitrogen in Protein (Fnpr) was used. 
4) A default value of 1.25 for Factor for Industrial and Commercial Co-discharged Protein (Find-com) was used. 
5) A default value of 0 for Nitrogen Removed from Sludge (Nsludge) was used. 
6) A default value of 0.005 for Emission Factor for N2O Emissions from Discharged Wastewater (EFeffluent) was used. </t>
  </si>
  <si>
    <t>See GPC Equation 8.11</t>
  </si>
  <si>
    <t>Table 4: Indirect N2O Emissions From Wastewater Effluent and CH4 Generation from Wastewater Treatment for Communities Not Served by MWRA WWTP</t>
  </si>
  <si>
    <t>Massachusetts DEP assumed methane GWP</t>
  </si>
  <si>
    <t>Massachusetts total methane emissions from municipal wastewater treatment (MT CH4 / year)</t>
  </si>
  <si>
    <t>Massachusetts DEP assumed nitrous oxide GWP</t>
  </si>
  <si>
    <t>Massachusetts total nitrous oxide emissions from municipal wastewater treatment (MT N2O / year)</t>
  </si>
  <si>
    <t>Massachusetts per capita methane emissions from municipal wastewater treatment (MT CH4 / year / capita)</t>
  </si>
  <si>
    <t>Massachusetts per capita nitrous oxide emissions from municipal wastewater treatment (MT N2O / year)</t>
  </si>
  <si>
    <t>Community population not served by MWRA</t>
  </si>
  <si>
    <t>CH4 Emissions (MT CH4):</t>
  </si>
  <si>
    <t xml:space="preserve">The above analysis follows the approach used by the Massachusetts Department of Environmental Protection (DEP) to estimate wastewater treatment emissions for communities in Massachusetts that are not served by an MWRA WWTP in the "Statewide Greenhouse gas Emissions Level: 1990 Baseline and 2020 Business As Usual Projection Update" report. </t>
  </si>
  <si>
    <t>MA DEP GHG Report</t>
  </si>
  <si>
    <t>A "Wastewater Module" Excel workbook was provided by Sue Ann Richardson of DEP (sue.ann.richardson@state.ma.us) on 9/17/19. Data from the "Summary" tab of this workbook was used to obtain data on State total methane and nitrous oxide emissions from municipal wastewater treatment for 2017. DEP reported emissions in terms of MT CO2e and assumed a methane GWP of 25 and a nitrous oxide GWP of 298. DEP assumed a Massachusetts state population not served by MWRA of 4,279,130.</t>
  </si>
  <si>
    <t>MA DEP "Wastewater Module"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</si>
</sst>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4" formatCode="_(&quot;$&quot;* #,##0.00_);_(&quot;$&quot;* \(#,##0.00\);_(&quot;$&quot;* &quot;-&quot;??_);_(@_)"/>
    <numFmt numFmtId="43" formatCode="_(* #,##0.00_);_(* \(#,##0.00\);_(* &quot;-&quot;??_);_(@_)"/>
    <numFmt numFmtId="164" formatCode="_(* #,##0_);_(* \(#,##0\);_(* &quot;-&quot;??_);_(@_)"/>
    <numFmt numFmtId="165" formatCode="0.00;[Red]0.00"/>
    <numFmt numFmtId="166" formatCode="0.0%"/>
    <numFmt numFmtId="167" formatCode="0.000"/>
    <numFmt numFmtId="168" formatCode="0.0"/>
    <numFmt numFmtId="169" formatCode="0.00000"/>
    <numFmt numFmtId="170" formatCode="#,##0.0"/>
    <numFmt numFmtId="171" formatCode="#,##0.000"/>
    <numFmt numFmtId="172" formatCode="0.000000"/>
    <numFmt numFmtId="173" formatCode="#,##0.0_);\(#,##0.0\)"/>
    <numFmt numFmtId="174" formatCode="#,##0;[Red]#,##0"/>
    <numFmt numFmtId="175" formatCode="#,##0.000000"/>
    <numFmt numFmtId="176" formatCode="0.0000000"/>
    <numFmt numFmtId="177" formatCode="0.000000000"/>
    <numFmt numFmtId="178" formatCode="0.0000000000"/>
    <numFmt numFmtId="179" formatCode="0.00000000"/>
    <numFmt numFmtId="180" formatCode="#,##0.0000"/>
    <numFmt numFmtId="181" formatCode="#,##0.00000"/>
    <numFmt numFmtId="182" formatCode="#,##0.00000000"/>
    <numFmt numFmtId="183" formatCode="#,##0.0000000"/>
    <numFmt numFmtId="184" formatCode="0.0000%"/>
    <numFmt numFmtId="185" formatCode="0.0000"/>
    <numFmt numFmtId="186" formatCode="#,##0.000000000"/>
    <numFmt numFmtId="187" formatCode="#,##0.0000000000"/>
    <numFmt numFmtId="188" formatCode="0;[Red]0"/>
    <numFmt numFmtId="189" formatCode="0.0000;[Red]0.0000"/>
    <numFmt numFmtId="190" formatCode="0.00000;[Red]0.00000"/>
    <numFmt numFmtId="191" formatCode="0.000000;[Red]0.000000"/>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b/>
      <sz val="10"/>
      <name val="Arial"/>
      <family val="2"/>
    </font>
    <font>
      <b/>
      <sz val="18"/>
      <name val="Arial"/>
      <family val="2"/>
    </font>
    <font>
      <b/>
      <i/>
      <sz val="11"/>
      <name val="Arial"/>
      <family val="2"/>
    </font>
    <font>
      <b/>
      <sz val="11"/>
      <name val="Arial"/>
      <family val="2"/>
    </font>
    <font>
      <sz val="11"/>
      <name val="Arial"/>
      <family val="2"/>
    </font>
    <font>
      <u/>
      <sz val="10"/>
      <color indexed="12"/>
      <name val="Arial"/>
      <family val="2"/>
    </font>
    <font>
      <sz val="9"/>
      <name val="Arial"/>
      <family val="2"/>
    </font>
    <font>
      <sz val="10"/>
      <color theme="1"/>
      <name val="Calibri"/>
      <family val="2"/>
    </font>
    <font>
      <u/>
      <sz val="10"/>
      <color theme="10"/>
      <name val="Calibri"/>
      <family val="2"/>
    </font>
    <font>
      <sz val="10"/>
      <color theme="0"/>
      <name val="Calibri"/>
      <family val="2"/>
    </font>
    <font>
      <b/>
      <sz val="11"/>
      <color theme="1"/>
      <name val="Calibri"/>
      <family val="2"/>
      <scheme val="minor"/>
    </font>
    <font>
      <sz val="11"/>
      <color indexed="8"/>
      <name val="Calibri"/>
      <family val="2"/>
    </font>
    <font>
      <b/>
      <sz val="9"/>
      <color indexed="9"/>
      <name val="Arial"/>
      <family val="2"/>
    </font>
    <font>
      <b/>
      <sz val="9"/>
      <name val="Arial"/>
      <family val="2"/>
    </font>
    <font>
      <sz val="10"/>
      <color theme="1"/>
      <name val="Calibri"/>
      <family val="2"/>
      <scheme val="minor"/>
    </font>
    <font>
      <sz val="10"/>
      <color theme="1"/>
      <name val="Arial"/>
      <family val="2"/>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1"/>
      <color rgb="FF000000"/>
      <name val="Calibri"/>
      <family val="2"/>
      <scheme val="minor"/>
    </font>
    <font>
      <sz val="18"/>
      <color theme="1" tint="0.499984740745262"/>
      <name val="Arial"/>
      <family val="2"/>
    </font>
    <font>
      <sz val="11"/>
      <name val="Calibri"/>
      <family val="2"/>
      <scheme val="minor"/>
    </font>
    <font>
      <b/>
      <sz val="10"/>
      <color rgb="FF000000"/>
      <name val="Arial"/>
      <family val="2"/>
    </font>
    <font>
      <sz val="10"/>
      <color rgb="FF000000"/>
      <name val="Arial"/>
      <family val="2"/>
    </font>
    <font>
      <sz val="10"/>
      <color theme="0"/>
      <name val="Arial"/>
      <family val="2"/>
    </font>
    <font>
      <u/>
      <sz val="11"/>
      <color theme="1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0"/>
      <name val="Arial"/>
      <family val="2"/>
    </font>
    <font>
      <b/>
      <sz val="11"/>
      <color theme="0"/>
      <name val="Arial"/>
      <family val="2"/>
    </font>
    <font>
      <sz val="11"/>
      <color theme="0"/>
      <name val="Arial"/>
      <family val="2"/>
    </font>
    <font>
      <i/>
      <sz val="10"/>
      <name val="Arial"/>
      <family val="2"/>
    </font>
    <font>
      <b/>
      <sz val="12"/>
      <color theme="0"/>
      <name val="Arial"/>
      <family val="2"/>
    </font>
    <font>
      <b/>
      <sz val="18"/>
      <color theme="1"/>
      <name val="Arial"/>
      <family val="2"/>
    </font>
    <font>
      <u/>
      <sz val="9"/>
      <color indexed="12"/>
      <name val="Arial"/>
      <family val="2"/>
    </font>
    <font>
      <sz val="9"/>
      <color theme="1"/>
      <name val="Calibri"/>
      <family val="2"/>
      <scheme val="minor"/>
    </font>
    <font>
      <b/>
      <sz val="11"/>
      <color rgb="FFFF0000"/>
      <name val="Arial"/>
      <family val="2"/>
    </font>
    <font>
      <b/>
      <sz val="11"/>
      <color rgb="FFFF0000"/>
      <name val="Calibri"/>
      <family val="2"/>
      <scheme val="minor"/>
    </font>
    <font>
      <b/>
      <sz val="9"/>
      <color theme="1"/>
      <name val="Calibri"/>
      <family val="2"/>
      <scheme val="minor"/>
    </font>
    <font>
      <b/>
      <sz val="12"/>
      <color theme="4"/>
      <name val="Calibri"/>
      <family val="2"/>
      <scheme val="minor"/>
    </font>
    <font>
      <sz val="9"/>
      <color theme="1"/>
      <name val="Arial"/>
      <family val="2"/>
    </font>
    <font>
      <b/>
      <sz val="10"/>
      <color rgb="FF222222"/>
      <name val="Arial"/>
      <family val="2"/>
    </font>
    <font>
      <sz val="10"/>
      <color rgb="FF222222"/>
      <name val="Arial"/>
      <family val="2"/>
    </font>
    <font>
      <u/>
      <sz val="9"/>
      <color theme="1"/>
      <name val="Arial"/>
      <family val="2"/>
    </font>
    <font>
      <u/>
      <sz val="9"/>
      <name val="Arial"/>
      <family val="2"/>
    </font>
    <font>
      <u/>
      <sz val="10"/>
      <name val="Arial"/>
      <family val="2"/>
    </font>
    <font>
      <b/>
      <u/>
      <sz val="10"/>
      <name val="Arial"/>
      <family val="2"/>
    </font>
    <font>
      <sz val="10"/>
      <name val="Arial Nova"/>
      <family val="2"/>
    </font>
    <font>
      <b/>
      <sz val="10"/>
      <name val="Arial Nova"/>
      <family val="2"/>
    </font>
    <font>
      <b/>
      <sz val="11"/>
      <color theme="0"/>
      <name val="Arial Nova"/>
      <family val="2"/>
    </font>
    <font>
      <b/>
      <sz val="10"/>
      <color theme="0"/>
      <name val="Arial Nova"/>
      <family val="2"/>
    </font>
    <font>
      <sz val="8"/>
      <name val="Arial"/>
      <family val="2"/>
    </font>
    <font>
      <b/>
      <sz val="16"/>
      <name val="Arial"/>
      <family val="2"/>
    </font>
    <font>
      <b/>
      <u/>
      <sz val="11"/>
      <color indexed="12"/>
      <name val="Arial"/>
      <family val="2"/>
    </font>
    <font>
      <i/>
      <sz val="10"/>
      <color theme="0"/>
      <name val="Arial"/>
      <family val="2"/>
    </font>
    <font>
      <sz val="10"/>
      <name val="Arial"/>
      <charset val="1"/>
    </font>
    <font>
      <b/>
      <sz val="10"/>
      <name val="Arial"/>
    </font>
    <font>
      <b/>
      <sz val="18"/>
      <color rgb="FF333333"/>
      <name val="Arial"/>
      <family val="2"/>
    </font>
    <font>
      <b/>
      <sz val="11"/>
      <color rgb="FFFFFFFF"/>
      <name val="Arial"/>
      <family val="2"/>
    </font>
    <font>
      <b/>
      <sz val="10"/>
      <color rgb="FFFFFFFF"/>
      <name val="Arial"/>
      <family val="2"/>
    </font>
    <font>
      <sz val="10"/>
      <color rgb="FF333333"/>
      <name val="Arial"/>
      <family val="2"/>
    </font>
    <font>
      <sz val="10"/>
      <color rgb="FF000000"/>
      <name val="Arial"/>
    </font>
  </fonts>
  <fills count="85">
    <fill>
      <patternFill patternType="none"/>
    </fill>
    <fill>
      <patternFill patternType="gray125"/>
    </fill>
    <fill>
      <patternFill patternType="solid">
        <fgColor theme="0" tint="-0.249977111117893"/>
        <bgColor indexed="64"/>
      </patternFill>
    </fill>
    <fill>
      <patternFill patternType="solid">
        <fgColor theme="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theme="5" tint="0.79998168889431442"/>
        <bgColor rgb="FF000000"/>
      </patternFill>
    </fill>
    <fill>
      <patternFill patternType="solid">
        <fgColor theme="0" tint="-0.14999847407452621"/>
        <bgColor rgb="FF000000"/>
      </patternFill>
    </fill>
    <fill>
      <patternFill patternType="solid">
        <fgColor theme="9" tint="0.59999389629810485"/>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theme="1"/>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4" tint="0.79998168889431442"/>
        <bgColor rgb="FF000000"/>
      </patternFill>
    </fill>
    <fill>
      <patternFill patternType="solid">
        <fgColor theme="1" tint="0.59999389629810485"/>
        <bgColor indexed="64"/>
      </patternFill>
    </fill>
    <fill>
      <patternFill patternType="solid">
        <fgColor rgb="FFFFC000"/>
        <bgColor indexed="64"/>
      </patternFill>
    </fill>
    <fill>
      <patternFill patternType="solid">
        <fgColor theme="1" tint="0.399975585192419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rgb="FF000000"/>
      </patternFill>
    </fill>
    <fill>
      <patternFill patternType="solid">
        <fgColor theme="8" tint="0.79998168889431442"/>
        <bgColor indexed="64"/>
      </patternFill>
    </fill>
    <fill>
      <patternFill patternType="solid">
        <fgColor rgb="FF00B050"/>
        <bgColor rgb="FF000000"/>
      </patternFill>
    </fill>
    <fill>
      <patternFill patternType="solid">
        <fgColor rgb="FF00B050"/>
        <bgColor indexed="64"/>
      </patternFill>
    </fill>
    <fill>
      <patternFill patternType="solid">
        <fgColor theme="0" tint="-0.34998626667073579"/>
        <bgColor rgb="FF000000"/>
      </patternFill>
    </fill>
    <fill>
      <patternFill patternType="solid">
        <fgColor rgb="FF0070C0"/>
        <bgColor indexed="64"/>
      </patternFill>
    </fill>
    <fill>
      <patternFill patternType="solid">
        <fgColor rgb="FFD5EFD1"/>
        <bgColor indexed="64"/>
      </patternFill>
    </fill>
    <fill>
      <patternFill patternType="solid">
        <fgColor rgb="FFF2F2F2"/>
        <bgColor rgb="FF000000"/>
      </patternFill>
    </fill>
    <fill>
      <patternFill patternType="solid">
        <fgColor rgb="FF2275FF"/>
        <bgColor rgb="FF000000"/>
      </patternFill>
    </fill>
    <fill>
      <patternFill patternType="solid">
        <fgColor rgb="FFD5EFD1"/>
        <bgColor rgb="FF000000"/>
      </patternFill>
    </fill>
    <fill>
      <patternFill patternType="solid">
        <fgColor rgb="FFD7EEF9"/>
        <bgColor rgb="FF000000"/>
      </patternFill>
    </fill>
    <fill>
      <patternFill patternType="solid">
        <fgColor rgb="FFFFEB99"/>
        <bgColor rgb="FF000000"/>
      </patternFill>
    </fill>
    <fill>
      <patternFill patternType="solid">
        <fgColor rgb="FFFF0000"/>
        <bgColor indexed="64"/>
      </patternFill>
    </fill>
    <fill>
      <patternFill patternType="solid">
        <fgColor rgb="FFFFFFFF"/>
        <bgColor indexed="64"/>
      </patternFill>
    </fill>
  </fills>
  <borders count="20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auto="1"/>
      </left>
      <right style="medium">
        <color auto="1"/>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bottom style="medium">
        <color auto="1"/>
      </bottom>
      <diagonal/>
    </border>
    <border>
      <left style="medium">
        <color auto="1"/>
      </left>
      <right/>
      <top style="thin">
        <color auto="1"/>
      </top>
      <bottom style="thin">
        <color auto="1"/>
      </bottom>
      <diagonal/>
    </border>
    <border>
      <left style="thin">
        <color indexed="64"/>
      </left>
      <right style="thin">
        <color indexed="64"/>
      </right>
      <top style="medium">
        <color indexed="64"/>
      </top>
      <bottom style="hair">
        <color indexed="64"/>
      </bottom>
      <diagonal/>
    </border>
    <border>
      <left style="thin">
        <color indexed="64"/>
      </left>
      <right style="medium">
        <color auto="1"/>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style="medium">
        <color auto="1"/>
      </right>
      <top style="hair">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diagonal/>
    </border>
    <border>
      <left/>
      <right style="thin">
        <color indexed="64"/>
      </right>
      <top style="medium">
        <color indexed="64"/>
      </top>
      <bottom style="thin">
        <color indexed="64"/>
      </bottom>
      <diagonal/>
    </border>
    <border>
      <left style="medium">
        <color auto="1"/>
      </left>
      <right/>
      <top style="thin">
        <color auto="1"/>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style="hair">
        <color auto="1"/>
      </top>
      <bottom style="thin">
        <color auto="1"/>
      </bottom>
      <diagonal/>
    </border>
    <border>
      <left style="medium">
        <color indexed="64"/>
      </left>
      <right style="thin">
        <color indexed="64"/>
      </right>
      <top style="medium">
        <color indexed="64"/>
      </top>
      <bottom style="hair">
        <color indexed="64"/>
      </bottom>
      <diagonal/>
    </border>
    <border>
      <left style="medium">
        <color indexed="64"/>
      </left>
      <right style="thin">
        <color auto="1"/>
      </right>
      <top style="hair">
        <color indexed="64"/>
      </top>
      <bottom style="hair">
        <color indexed="64"/>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thin">
        <color indexed="64"/>
      </left>
      <right/>
      <top style="hair">
        <color indexed="64"/>
      </top>
      <bottom style="thin">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medium">
        <color indexed="64"/>
      </right>
      <top style="medium">
        <color indexed="64"/>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auto="1"/>
      </right>
      <top style="hair">
        <color indexed="64"/>
      </top>
      <bottom/>
      <diagonal/>
    </border>
    <border>
      <left style="thin">
        <color auto="1"/>
      </left>
      <right/>
      <top style="thin">
        <color auto="1"/>
      </top>
      <bottom/>
      <diagonal/>
    </border>
    <border>
      <left/>
      <right style="medium">
        <color auto="1"/>
      </right>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style="thin">
        <color indexed="64"/>
      </left>
      <right/>
      <top/>
      <bottom style="medium">
        <color indexed="64"/>
      </bottom>
      <diagonal/>
    </border>
    <border>
      <left/>
      <right style="thin">
        <color indexed="64"/>
      </right>
      <top style="medium">
        <color indexed="64"/>
      </top>
      <bottom/>
      <diagonal/>
    </border>
    <border>
      <left style="medium">
        <color auto="1"/>
      </left>
      <right style="thin">
        <color auto="1"/>
      </right>
      <top/>
      <bottom style="hair">
        <color auto="1"/>
      </bottom>
      <diagonal/>
    </border>
    <border>
      <left style="thin">
        <color indexed="64"/>
      </left>
      <right/>
      <top style="hair">
        <color indexed="64"/>
      </top>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thick">
        <color theme="0"/>
      </left>
      <right style="thick">
        <color theme="0"/>
      </right>
      <top/>
      <bottom style="thin">
        <color theme="0" tint="-0.24994659260841701"/>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indexed="64"/>
      </left>
      <right/>
      <top style="medium">
        <color auto="1"/>
      </top>
      <bottom style="hair">
        <color indexed="64"/>
      </bottom>
      <diagonal/>
    </border>
    <border>
      <left style="medium">
        <color auto="1"/>
      </left>
      <right/>
      <top style="medium">
        <color indexed="64"/>
      </top>
      <bottom style="hair">
        <color auto="1"/>
      </bottom>
      <diagonal/>
    </border>
    <border>
      <left style="medium">
        <color auto="1"/>
      </left>
      <right/>
      <top style="hair">
        <color auto="1"/>
      </top>
      <bottom style="thin">
        <color auto="1"/>
      </bottom>
      <diagonal/>
    </border>
    <border>
      <left style="thin">
        <color auto="1"/>
      </left>
      <right/>
      <top/>
      <bottom style="hair">
        <color auto="1"/>
      </bottom>
      <diagonal/>
    </border>
    <border>
      <left style="thin">
        <color auto="1"/>
      </left>
      <right/>
      <top/>
      <bottom/>
      <diagonal/>
    </border>
    <border>
      <left/>
      <right style="thin">
        <color indexed="64"/>
      </right>
      <top/>
      <bottom style="thin">
        <color indexed="64"/>
      </bottom>
      <diagonal/>
    </border>
    <border>
      <left style="thin">
        <color auto="1"/>
      </left>
      <right/>
      <top style="thin">
        <color auto="1"/>
      </top>
      <bottom style="hair">
        <color auto="1"/>
      </bottom>
      <diagonal/>
    </border>
    <border>
      <left/>
      <right style="thin">
        <color indexed="64"/>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style="thin">
        <color auto="1"/>
      </right>
      <top style="thin">
        <color auto="1"/>
      </top>
      <bottom style="hair">
        <color auto="1"/>
      </bottom>
      <diagonal/>
    </border>
    <border>
      <left/>
      <right style="thin">
        <color indexed="64"/>
      </right>
      <top style="hair">
        <color indexed="64"/>
      </top>
      <bottom style="medium">
        <color indexed="64"/>
      </bottom>
      <diagonal/>
    </border>
    <border>
      <left/>
      <right style="thin">
        <color indexed="64"/>
      </right>
      <top style="hair">
        <color indexed="64"/>
      </top>
      <bottom/>
      <diagonal/>
    </border>
    <border>
      <left/>
      <right/>
      <top style="thin">
        <color auto="1"/>
      </top>
      <bottom style="thin">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auto="1"/>
      </bottom>
      <diagonal/>
    </border>
    <border>
      <left/>
      <right style="medium">
        <color auto="1"/>
      </right>
      <top style="hair">
        <color auto="1"/>
      </top>
      <bottom/>
      <diagonal/>
    </border>
    <border>
      <left/>
      <right style="medium">
        <color auto="1"/>
      </right>
      <top/>
      <bottom style="hair">
        <color auto="1"/>
      </bottom>
      <diagonal/>
    </border>
    <border>
      <left/>
      <right style="medium">
        <color auto="1"/>
      </right>
      <top style="thin">
        <color auto="1"/>
      </top>
      <bottom style="thin">
        <color auto="1"/>
      </bottom>
      <diagonal/>
    </border>
    <border>
      <left/>
      <right style="thin">
        <color indexed="64"/>
      </right>
      <top style="hair">
        <color auto="1"/>
      </top>
      <bottom style="thin">
        <color auto="1"/>
      </bottom>
      <diagonal/>
    </border>
    <border>
      <left/>
      <right style="thin">
        <color indexed="64"/>
      </right>
      <top/>
      <bottom/>
      <diagonal/>
    </border>
    <border>
      <left/>
      <right style="thin">
        <color indexed="64"/>
      </right>
      <top style="medium">
        <color indexed="64"/>
      </top>
      <bottom style="hair">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auto="1"/>
      </right>
      <top style="medium">
        <color indexed="64"/>
      </top>
      <bottom style="hair">
        <color indexed="64"/>
      </bottom>
      <diagonal/>
    </border>
    <border>
      <left/>
      <right style="medium">
        <color indexed="64"/>
      </right>
      <top/>
      <bottom style="thin">
        <color indexed="64"/>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medium">
        <color auto="1"/>
      </right>
      <top style="thin">
        <color indexed="64"/>
      </top>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medium">
        <color indexed="64"/>
      </right>
      <top style="hair">
        <color indexed="64"/>
      </top>
      <bottom/>
      <diagonal/>
    </border>
    <border>
      <left/>
      <right/>
      <top/>
      <bottom style="thin">
        <color auto="1"/>
      </bottom>
      <diagonal/>
    </border>
    <border>
      <left style="medium">
        <color indexed="64"/>
      </left>
      <right style="medium">
        <color indexed="64"/>
      </right>
      <top/>
      <bottom style="thin">
        <color indexed="64"/>
      </bottom>
      <diagonal/>
    </border>
    <border>
      <left style="medium">
        <color indexed="64"/>
      </left>
      <right style="medium">
        <color auto="1"/>
      </right>
      <top style="thin">
        <color indexed="64"/>
      </top>
      <bottom style="medium">
        <color indexed="64"/>
      </bottom>
      <diagonal/>
    </border>
    <border>
      <left style="medium">
        <color auto="1"/>
      </left>
      <right style="medium">
        <color indexed="64"/>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indexed="64"/>
      </top>
      <bottom style="medium">
        <color auto="1"/>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thin">
        <color indexed="64"/>
      </right>
      <top/>
      <bottom style="thin">
        <color indexed="64"/>
      </bottom>
      <diagonal/>
    </border>
    <border>
      <left/>
      <right style="medium">
        <color rgb="FF000000"/>
      </right>
      <top/>
      <bottom style="thin">
        <color indexed="64"/>
      </bottom>
      <diagonal/>
    </border>
    <border>
      <left style="medium">
        <color rgb="FF000000"/>
      </left>
      <right style="thin">
        <color auto="1"/>
      </right>
      <top style="thin">
        <color auto="1"/>
      </top>
      <bottom/>
      <diagonal/>
    </border>
    <border>
      <left style="medium">
        <color rgb="FF000000"/>
      </left>
      <right style="thin">
        <color auto="1"/>
      </right>
      <top style="thin">
        <color auto="1"/>
      </top>
      <bottom style="thin">
        <color auto="1"/>
      </bottom>
      <diagonal/>
    </border>
    <border>
      <left style="medium">
        <color rgb="FF000000"/>
      </left>
      <right style="thin">
        <color auto="1"/>
      </right>
      <top/>
      <bottom style="medium">
        <color rgb="FF000000"/>
      </bottom>
      <diagonal/>
    </border>
    <border>
      <left/>
      <right style="thin">
        <color indexed="64"/>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indexed="64"/>
      </left>
      <right style="thin">
        <color rgb="FF000000"/>
      </right>
      <top style="medium">
        <color indexed="64"/>
      </top>
      <bottom style="thin">
        <color rgb="FF000000"/>
      </bottom>
      <diagonal/>
    </border>
    <border>
      <left style="thin">
        <color auto="1"/>
      </left>
      <right style="thin">
        <color rgb="FF000000"/>
      </right>
      <top style="thin">
        <color rgb="FF000000"/>
      </top>
      <bottom style="thin">
        <color rgb="FF000000"/>
      </bottom>
      <diagonal/>
    </border>
    <border>
      <left style="thin">
        <color indexed="64"/>
      </left>
      <right style="thin">
        <color rgb="FF000000"/>
      </right>
      <top style="thin">
        <color rgb="FF000000"/>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auto="1"/>
      </left>
      <right style="medium">
        <color auto="1"/>
      </right>
      <top style="thin">
        <color auto="1"/>
      </top>
      <bottom style="dashed">
        <color rgb="FF000000"/>
      </bottom>
      <diagonal/>
    </border>
    <border>
      <left style="thin">
        <color auto="1"/>
      </left>
      <right style="medium">
        <color auto="1"/>
      </right>
      <top style="thin">
        <color auto="1"/>
      </top>
      <bottom style="medium">
        <color rgb="FF000000"/>
      </bottom>
      <diagonal/>
    </border>
  </borders>
  <cellStyleXfs count="196">
    <xf numFmtId="0" fontId="0" fillId="0" borderId="0"/>
    <xf numFmtId="43" fontId="11" fillId="0" borderId="0" applyFont="0" applyFill="0" applyBorder="0" applyAlignment="0" applyProtection="0"/>
    <xf numFmtId="0" fontId="18"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0" fontId="20" fillId="0" borderId="0"/>
    <xf numFmtId="0" fontId="21" fillId="0" borderId="0" applyNumberFormat="0" applyFill="0" applyBorder="0" applyAlignment="0" applyProtection="0">
      <alignment vertical="top"/>
      <protection locked="0"/>
    </xf>
    <xf numFmtId="0" fontId="22" fillId="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0" fillId="0" borderId="0" applyFont="0" applyFill="0" applyBorder="0" applyAlignment="0" applyProtection="0"/>
    <xf numFmtId="0" fontId="20" fillId="0" borderId="0"/>
    <xf numFmtId="43" fontId="24" fillId="0" borderId="0" applyFont="0" applyFill="0" applyBorder="0" applyAlignment="0" applyProtection="0"/>
    <xf numFmtId="9" fontId="10" fillId="0" borderId="0" applyFont="0" applyFill="0" applyBorder="0" applyAlignment="0" applyProtection="0"/>
    <xf numFmtId="0" fontId="10" fillId="0" borderId="0"/>
    <xf numFmtId="0" fontId="30" fillId="0" borderId="0" applyNumberFormat="0" applyFill="0" applyBorder="0" applyAlignment="0" applyProtection="0"/>
    <xf numFmtId="0" fontId="31" fillId="0" borderId="25" applyNumberFormat="0" applyFill="0" applyAlignment="0" applyProtection="0"/>
    <xf numFmtId="0" fontId="32" fillId="0" borderId="26" applyNumberFormat="0" applyFill="0" applyAlignment="0" applyProtection="0"/>
    <xf numFmtId="0" fontId="33" fillId="0" borderId="27"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8" borderId="28" applyNumberFormat="0" applyAlignment="0" applyProtection="0"/>
    <xf numFmtId="0" fontId="38" fillId="9" borderId="29" applyNumberFormat="0" applyAlignment="0" applyProtection="0"/>
    <xf numFmtId="0" fontId="39" fillId="9" borderId="28" applyNumberFormat="0" applyAlignment="0" applyProtection="0"/>
    <xf numFmtId="0" fontId="40" fillId="0" borderId="30" applyNumberFormat="0" applyFill="0" applyAlignment="0" applyProtection="0"/>
    <xf numFmtId="0" fontId="41" fillId="10" borderId="3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3" fillId="0" borderId="33" applyNumberFormat="0" applyFill="0" applyAlignment="0" applyProtection="0"/>
    <xf numFmtId="0" fontId="44" fillId="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4" fillId="34" borderId="0" applyNumberFormat="0" applyBorder="0" applyAlignment="0" applyProtection="0"/>
    <xf numFmtId="0" fontId="9" fillId="0" borderId="0"/>
    <xf numFmtId="0" fontId="9" fillId="11" borderId="32" applyNumberFormat="0" applyFont="0" applyAlignment="0" applyProtection="0"/>
    <xf numFmtId="0" fontId="8" fillId="0" borderId="0"/>
    <xf numFmtId="0" fontId="8" fillId="11" borderId="32"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1" borderId="32"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46" fillId="0" borderId="0"/>
    <xf numFmtId="0" fontId="6" fillId="0" borderId="0"/>
    <xf numFmtId="0" fontId="5" fillId="0" borderId="0"/>
    <xf numFmtId="0" fontId="4" fillId="0" borderId="0"/>
    <xf numFmtId="43" fontId="4" fillId="0" borderId="0" applyFont="0" applyFill="0" applyBorder="0" applyAlignment="0" applyProtection="0"/>
    <xf numFmtId="0" fontId="3" fillId="0" borderId="0"/>
    <xf numFmtId="0" fontId="3" fillId="11" borderId="32"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0" fillId="0" borderId="0"/>
    <xf numFmtId="0" fontId="2" fillId="0" borderId="0"/>
    <xf numFmtId="0" fontId="52" fillId="0" borderId="0" applyNumberFormat="0" applyFill="0" applyBorder="0" applyAlignment="0" applyProtection="0"/>
    <xf numFmtId="0" fontId="2" fillId="0" borderId="0"/>
    <xf numFmtId="0" fontId="44" fillId="14" borderId="0" applyNumberFormat="0" applyBorder="0" applyAlignment="0" applyProtection="0"/>
    <xf numFmtId="0" fontId="53" fillId="43" borderId="0" applyNumberFormat="0" applyBorder="0" applyAlignment="0" applyProtection="0"/>
    <xf numFmtId="0" fontId="44" fillId="18" borderId="0" applyNumberFormat="0" applyBorder="0" applyAlignment="0" applyProtection="0"/>
    <xf numFmtId="0" fontId="53" fillId="44" borderId="0" applyNumberFormat="0" applyBorder="0" applyAlignment="0" applyProtection="0"/>
    <xf numFmtId="0" fontId="44" fillId="22" borderId="0" applyNumberFormat="0" applyBorder="0" applyAlignment="0" applyProtection="0"/>
    <xf numFmtId="0" fontId="53" fillId="45" borderId="0" applyNumberFormat="0" applyBorder="0" applyAlignment="0" applyProtection="0"/>
    <xf numFmtId="0" fontId="44" fillId="26" borderId="0" applyNumberFormat="0" applyBorder="0" applyAlignment="0" applyProtection="0"/>
    <xf numFmtId="0" fontId="53" fillId="46" borderId="0" applyNumberFormat="0" applyBorder="0" applyAlignment="0" applyProtection="0"/>
    <xf numFmtId="0" fontId="44" fillId="30" borderId="0" applyNumberFormat="0" applyBorder="0" applyAlignment="0" applyProtection="0"/>
    <xf numFmtId="0" fontId="53" fillId="47" borderId="0" applyNumberFormat="0" applyBorder="0" applyAlignment="0" applyProtection="0"/>
    <xf numFmtId="0" fontId="44" fillId="34" borderId="0" applyNumberFormat="0" applyBorder="0" applyAlignment="0" applyProtection="0"/>
    <xf numFmtId="0" fontId="53" fillId="48" borderId="0" applyNumberFormat="0" applyBorder="0" applyAlignment="0" applyProtection="0"/>
    <xf numFmtId="0" fontId="44" fillId="3" borderId="0" applyNumberFormat="0" applyBorder="0" applyAlignment="0" applyProtection="0"/>
    <xf numFmtId="0" fontId="53" fillId="49" borderId="0" applyNumberFormat="0" applyBorder="0" applyAlignment="0" applyProtection="0"/>
    <xf numFmtId="0" fontId="44" fillId="15" borderId="0" applyNumberFormat="0" applyBorder="0" applyAlignment="0" applyProtection="0"/>
    <xf numFmtId="0" fontId="53" fillId="50" borderId="0" applyNumberFormat="0" applyBorder="0" applyAlignment="0" applyProtection="0"/>
    <xf numFmtId="0" fontId="44" fillId="19" borderId="0" applyNumberFormat="0" applyBorder="0" applyAlignment="0" applyProtection="0"/>
    <xf numFmtId="0" fontId="53" fillId="51" borderId="0" applyNumberFormat="0" applyBorder="0" applyAlignment="0" applyProtection="0"/>
    <xf numFmtId="0" fontId="44" fillId="23" borderId="0" applyNumberFormat="0" applyBorder="0" applyAlignment="0" applyProtection="0"/>
    <xf numFmtId="0" fontId="53" fillId="46" borderId="0" applyNumberFormat="0" applyBorder="0" applyAlignment="0" applyProtection="0"/>
    <xf numFmtId="0" fontId="44" fillId="27" borderId="0" applyNumberFormat="0" applyBorder="0" applyAlignment="0" applyProtection="0"/>
    <xf numFmtId="0" fontId="53" fillId="47" borderId="0" applyNumberFormat="0" applyBorder="0" applyAlignment="0" applyProtection="0"/>
    <xf numFmtId="0" fontId="44" fillId="31" borderId="0" applyNumberFormat="0" applyBorder="0" applyAlignment="0" applyProtection="0"/>
    <xf numFmtId="0" fontId="53" fillId="52" borderId="0" applyNumberFormat="0" applyBorder="0" applyAlignment="0" applyProtection="0"/>
    <xf numFmtId="0" fontId="35" fillId="6" borderId="0" applyNumberFormat="0" applyBorder="0" applyAlignment="0" applyProtection="0"/>
    <xf numFmtId="0" fontId="54" fillId="53" borderId="0" applyNumberFormat="0" applyBorder="0" applyAlignment="0" applyProtection="0"/>
    <xf numFmtId="0" fontId="39" fillId="9" borderId="28" applyNumberFormat="0" applyAlignment="0" applyProtection="0"/>
    <xf numFmtId="0" fontId="55" fillId="54" borderId="40" applyNumberFormat="0" applyAlignment="0" applyProtection="0"/>
    <xf numFmtId="0" fontId="55" fillId="54" borderId="40" applyNumberFormat="0" applyAlignment="0" applyProtection="0"/>
    <xf numFmtId="0" fontId="41" fillId="10" borderId="31" applyNumberFormat="0" applyAlignment="0" applyProtection="0"/>
    <xf numFmtId="0" fontId="56" fillId="55" borderId="41"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3" fillId="0" borderId="0" applyNumberFormat="0" applyFill="0" applyBorder="0" applyAlignment="0" applyProtection="0"/>
    <xf numFmtId="0" fontId="57" fillId="0" borderId="0" applyNumberFormat="0" applyFill="0" applyBorder="0" applyAlignment="0" applyProtection="0"/>
    <xf numFmtId="0" fontId="34" fillId="5" borderId="0" applyNumberFormat="0" applyBorder="0" applyAlignment="0" applyProtection="0"/>
    <xf numFmtId="0" fontId="58" fillId="56" borderId="0" applyNumberFormat="0" applyBorder="0" applyAlignment="0" applyProtection="0"/>
    <xf numFmtId="0" fontId="31" fillId="0" borderId="25" applyNumberFormat="0" applyFill="0" applyAlignment="0" applyProtection="0"/>
    <xf numFmtId="0" fontId="59" fillId="0" borderId="42" applyNumberFormat="0" applyFill="0" applyAlignment="0" applyProtection="0"/>
    <xf numFmtId="0" fontId="32" fillId="0" borderId="26" applyNumberFormat="0" applyFill="0" applyAlignment="0" applyProtection="0"/>
    <xf numFmtId="0" fontId="60" fillId="0" borderId="43" applyNumberFormat="0" applyFill="0" applyAlignment="0" applyProtection="0"/>
    <xf numFmtId="0" fontId="33" fillId="0" borderId="27" applyNumberFormat="0" applyFill="0" applyAlignment="0" applyProtection="0"/>
    <xf numFmtId="0" fontId="61" fillId="0" borderId="44" applyNumberFormat="0" applyFill="0" applyAlignment="0" applyProtection="0"/>
    <xf numFmtId="0" fontId="33" fillId="0" borderId="0" applyNumberFormat="0" applyFill="0" applyBorder="0" applyAlignment="0" applyProtection="0"/>
    <xf numFmtId="0" fontId="61" fillId="0" borderId="0" applyNumberFormat="0" applyFill="0" applyBorder="0" applyAlignment="0" applyProtection="0"/>
    <xf numFmtId="0" fontId="2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7" fillId="8" borderId="28" applyNumberFormat="0" applyAlignment="0" applyProtection="0"/>
    <xf numFmtId="0" fontId="62" fillId="57" borderId="40" applyNumberFormat="0" applyAlignment="0" applyProtection="0"/>
    <xf numFmtId="0" fontId="62" fillId="57" borderId="40" applyNumberFormat="0" applyAlignment="0" applyProtection="0"/>
    <xf numFmtId="0" fontId="40" fillId="0" borderId="30" applyNumberFormat="0" applyFill="0" applyAlignment="0" applyProtection="0"/>
    <xf numFmtId="0" fontId="63" fillId="0" borderId="45" applyNumberFormat="0" applyFill="0" applyAlignment="0" applyProtection="0"/>
    <xf numFmtId="0" fontId="36" fillId="7" borderId="0" applyNumberFormat="0" applyBorder="0" applyAlignment="0" applyProtection="0"/>
    <xf numFmtId="0" fontId="64" fillId="58" borderId="0" applyNumberFormat="0" applyBorder="0" applyAlignment="0" applyProtection="0"/>
    <xf numFmtId="0" fontId="10" fillId="0" borderId="0"/>
    <xf numFmtId="0" fontId="10" fillId="0" borderId="0"/>
    <xf numFmtId="0" fontId="10" fillId="0" borderId="0"/>
    <xf numFmtId="0" fontId="20" fillId="0" borderId="0"/>
    <xf numFmtId="0" fontId="38" fillId="9" borderId="29" applyNumberFormat="0" applyAlignment="0" applyProtection="0"/>
    <xf numFmtId="0" fontId="65" fillId="54" borderId="46" applyNumberFormat="0" applyAlignment="0" applyProtection="0"/>
    <xf numFmtId="0" fontId="65" fillId="54" borderId="46" applyNumberFormat="0" applyAlignment="0" applyProtection="0"/>
    <xf numFmtId="0" fontId="30" fillId="0" borderId="0" applyNumberFormat="0" applyFill="0" applyBorder="0" applyAlignment="0" applyProtection="0"/>
    <xf numFmtId="0" fontId="66" fillId="0" borderId="0" applyNumberFormat="0" applyFill="0" applyBorder="0" applyAlignment="0" applyProtection="0"/>
    <xf numFmtId="0" fontId="23" fillId="0" borderId="33"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42" fillId="0" borderId="0" applyNumberFormat="0" applyFill="0" applyBorder="0" applyAlignment="0" applyProtection="0"/>
    <xf numFmtId="0" fontId="68" fillId="0" borderId="0" applyNumberFormat="0" applyFill="0" applyBorder="0" applyAlignment="0" applyProtection="0"/>
    <xf numFmtId="0" fontId="76"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9" fillId="0" borderId="25" applyNumberFormat="0" applyProtection="0">
      <alignment wrapText="1"/>
    </xf>
    <xf numFmtId="0" fontId="76" fillId="0" borderId="98" applyNumberFormat="0" applyFont="0" applyProtection="0">
      <alignment wrapText="1"/>
    </xf>
    <xf numFmtId="0" fontId="79" fillId="0" borderId="99" applyNumberFormat="0" applyProtection="0">
      <alignment wrapText="1"/>
    </xf>
    <xf numFmtId="0" fontId="76" fillId="0" borderId="0" applyNumberFormat="0" applyProtection="0">
      <alignment vertical="top" wrapText="1"/>
    </xf>
    <xf numFmtId="0" fontId="76" fillId="0" borderId="100" applyNumberFormat="0" applyProtection="0">
      <alignment vertical="top" wrapText="1"/>
    </xf>
    <xf numFmtId="0" fontId="79" fillId="0" borderId="101" applyNumberFormat="0" applyProtection="0">
      <alignment horizontal="left" wrapText="1"/>
    </xf>
    <xf numFmtId="0" fontId="76" fillId="0" borderId="102" applyNumberFormat="0" applyFont="0" applyFill="0" applyProtection="0">
      <alignment wrapText="1"/>
    </xf>
    <xf numFmtId="0" fontId="79" fillId="0" borderId="103" applyNumberFormat="0" applyFill="0" applyProtection="0">
      <alignment wrapText="1"/>
    </xf>
    <xf numFmtId="0" fontId="80" fillId="0" borderId="0" applyNumberFormat="0" applyProtection="0">
      <alignment horizontal="left"/>
    </xf>
  </cellStyleXfs>
  <cellXfs count="2395">
    <xf numFmtId="0" fontId="0" fillId="0" borderId="0" xfId="0"/>
    <xf numFmtId="0" fontId="12" fillId="0" borderId="0" xfId="0" applyFont="1"/>
    <xf numFmtId="0" fontId="0" fillId="0" borderId="0" xfId="0" applyFill="1"/>
    <xf numFmtId="0" fontId="11" fillId="0" borderId="0" xfId="0" applyFont="1" applyAlignment="1"/>
    <xf numFmtId="0" fontId="11" fillId="0" borderId="0" xfId="0" applyFont="1" applyFill="1" applyAlignment="1"/>
    <xf numFmtId="0" fontId="27" fillId="0" borderId="0" xfId="10" applyFont="1"/>
    <xf numFmtId="0" fontId="0" fillId="4" borderId="0" xfId="0" applyFill="1"/>
    <xf numFmtId="0" fontId="0" fillId="4" borderId="0" xfId="0" applyFill="1" applyAlignment="1">
      <alignment wrapText="1"/>
    </xf>
    <xf numFmtId="3" fontId="0" fillId="4" borderId="0" xfId="0" applyNumberFormat="1" applyFill="1"/>
    <xf numFmtId="0" fontId="0" fillId="4" borderId="0" xfId="0" applyFont="1" applyFill="1" applyBorder="1" applyAlignment="1">
      <alignment wrapText="1"/>
    </xf>
    <xf numFmtId="3" fontId="0" fillId="4" borderId="0" xfId="0" applyNumberFormat="1" applyFill="1" applyBorder="1"/>
    <xf numFmtId="43" fontId="0" fillId="4" borderId="0" xfId="0" applyNumberFormat="1" applyFill="1" applyBorder="1"/>
    <xf numFmtId="164" fontId="0" fillId="4" borderId="0" xfId="0" applyNumberFormat="1" applyFill="1" applyBorder="1"/>
    <xf numFmtId="0" fontId="12" fillId="4" borderId="0" xfId="0" applyFont="1" applyFill="1"/>
    <xf numFmtId="0" fontId="10" fillId="4" borderId="0" xfId="0" applyNumberFormat="1" applyFont="1" applyFill="1" applyAlignment="1">
      <alignment wrapText="1"/>
    </xf>
    <xf numFmtId="0" fontId="16" fillId="4" borderId="0" xfId="0" applyFont="1" applyFill="1"/>
    <xf numFmtId="0" fontId="27" fillId="4" borderId="0" xfId="10" applyFont="1" applyFill="1"/>
    <xf numFmtId="0" fontId="15" fillId="4" borderId="0" xfId="0" applyFont="1" applyFill="1" applyAlignment="1">
      <alignment horizontal="left"/>
    </xf>
    <xf numFmtId="0" fontId="25" fillId="4" borderId="0" xfId="0" applyFont="1" applyFill="1" applyBorder="1" applyAlignment="1">
      <alignment horizontal="center" vertical="center"/>
    </xf>
    <xf numFmtId="0" fontId="19" fillId="4" borderId="0" xfId="0" applyFont="1" applyFill="1" applyAlignment="1">
      <alignment horizontal="center" vertical="justify"/>
    </xf>
    <xf numFmtId="0" fontId="19" fillId="4" borderId="0" xfId="0" applyFont="1" applyFill="1" applyBorder="1" applyAlignment="1">
      <alignment horizontal="center" vertical="justify"/>
    </xf>
    <xf numFmtId="3" fontId="19" fillId="4" borderId="0" xfId="0" applyNumberFormat="1" applyFont="1" applyFill="1" applyAlignment="1"/>
    <xf numFmtId="0" fontId="19" fillId="4" borderId="0" xfId="0" applyFont="1" applyFill="1" applyAlignment="1"/>
    <xf numFmtId="0" fontId="0" fillId="0" borderId="0" xfId="0"/>
    <xf numFmtId="0" fontId="0" fillId="4" borderId="0" xfId="0" applyFill="1"/>
    <xf numFmtId="0" fontId="0" fillId="4" borderId="0" xfId="0" applyFill="1" applyBorder="1"/>
    <xf numFmtId="0" fontId="17" fillId="4" borderId="0" xfId="0" applyFont="1" applyFill="1" applyAlignment="1">
      <alignment wrapText="1"/>
    </xf>
    <xf numFmtId="0" fontId="10" fillId="35" borderId="0" xfId="19" applyFont="1" applyFill="1" applyBorder="1" applyAlignment="1">
      <alignment horizontal="center" wrapText="1"/>
    </xf>
    <xf numFmtId="0" fontId="10" fillId="35" borderId="0" xfId="19" applyFont="1" applyFill="1" applyBorder="1" applyAlignment="1">
      <alignment wrapText="1"/>
    </xf>
    <xf numFmtId="0" fontId="10" fillId="35" borderId="0" xfId="19" applyFont="1" applyFill="1" applyBorder="1"/>
    <xf numFmtId="37" fontId="10" fillId="35" borderId="0" xfId="19" applyNumberFormat="1" applyFont="1" applyFill="1" applyBorder="1" applyAlignment="1">
      <alignment horizontal="center" wrapText="1"/>
    </xf>
    <xf numFmtId="0" fontId="10" fillId="35" borderId="0" xfId="19" applyFont="1" applyFill="1" applyBorder="1" applyAlignment="1">
      <alignment horizontal="center" vertical="center" wrapText="1"/>
    </xf>
    <xf numFmtId="0" fontId="47" fillId="4" borderId="0" xfId="0" applyFont="1" applyFill="1"/>
    <xf numFmtId="0" fontId="11" fillId="4" borderId="0" xfId="0" applyFont="1" applyFill="1" applyAlignment="1"/>
    <xf numFmtId="0" fontId="11" fillId="4" borderId="0" xfId="0" applyFont="1" applyFill="1" applyAlignment="1"/>
    <xf numFmtId="0" fontId="10" fillId="4" borderId="0" xfId="0" applyNumberFormat="1" applyFont="1" applyFill="1" applyAlignment="1">
      <alignment vertical="top" wrapText="1"/>
    </xf>
    <xf numFmtId="0" fontId="10" fillId="4" borderId="0" xfId="0" applyNumberFormat="1" applyFont="1" applyFill="1" applyAlignment="1">
      <alignment horizontal="left" vertical="top"/>
    </xf>
    <xf numFmtId="0" fontId="48" fillId="4" borderId="0" xfId="0" applyFont="1" applyFill="1"/>
    <xf numFmtId="0" fontId="48" fillId="35" borderId="0" xfId="19" applyFont="1" applyFill="1" applyBorder="1"/>
    <xf numFmtId="0" fontId="48" fillId="35" borderId="0" xfId="19" applyFont="1" applyFill="1" applyBorder="1" applyAlignment="1">
      <alignment horizontal="center" wrapText="1"/>
    </xf>
    <xf numFmtId="0" fontId="10" fillId="4" borderId="0" xfId="0" applyFont="1" applyFill="1" applyAlignment="1"/>
    <xf numFmtId="0" fontId="11" fillId="4" borderId="0" xfId="0" applyFont="1" applyFill="1" applyAlignment="1"/>
    <xf numFmtId="0" fontId="26" fillId="0" borderId="0" xfId="0" applyFont="1" applyFill="1" applyBorder="1" applyAlignment="1">
      <alignment horizontal="center" wrapText="1"/>
    </xf>
    <xf numFmtId="0" fontId="10" fillId="4" borderId="0" xfId="0" applyNumberFormat="1" applyFont="1" applyFill="1" applyBorder="1" applyAlignment="1">
      <alignment vertical="top" wrapText="1"/>
    </xf>
    <xf numFmtId="4" fontId="45" fillId="0" borderId="6" xfId="0" applyNumberFormat="1" applyFont="1" applyBorder="1"/>
    <xf numFmtId="0" fontId="10" fillId="4" borderId="0" xfId="0" applyFont="1" applyFill="1"/>
    <xf numFmtId="0" fontId="11" fillId="4" borderId="0" xfId="0" applyFont="1" applyFill="1" applyAlignment="1"/>
    <xf numFmtId="0" fontId="13" fillId="4" borderId="0" xfId="0" applyFont="1" applyFill="1" applyAlignment="1">
      <alignment horizontal="left"/>
    </xf>
    <xf numFmtId="0" fontId="51" fillId="4" borderId="0" xfId="0" applyFont="1" applyFill="1" applyAlignment="1">
      <alignment wrapText="1"/>
    </xf>
    <xf numFmtId="0" fontId="51" fillId="4" borderId="0" xfId="0" applyFont="1" applyFill="1"/>
    <xf numFmtId="0" fontId="51" fillId="4" borderId="0" xfId="0" applyFont="1" applyFill="1" applyBorder="1" applyAlignment="1">
      <alignment horizontal="center" vertical="center"/>
    </xf>
    <xf numFmtId="11" fontId="51" fillId="4" borderId="0" xfId="0" applyNumberFormat="1" applyFont="1" applyFill="1" applyBorder="1" applyAlignment="1">
      <alignment horizontal="center" vertical="center"/>
    </xf>
    <xf numFmtId="0" fontId="10" fillId="0" borderId="0" xfId="0" applyFont="1" applyFill="1" applyAlignment="1">
      <alignment vertical="top" wrapText="1"/>
    </xf>
    <xf numFmtId="0" fontId="0" fillId="4" borderId="0" xfId="0" applyFill="1" applyBorder="1" applyAlignment="1">
      <alignment wrapText="1"/>
    </xf>
    <xf numFmtId="0" fontId="0" fillId="4" borderId="0" xfId="0" applyFill="1" applyBorder="1" applyAlignment="1"/>
    <xf numFmtId="164" fontId="0" fillId="4" borderId="0" xfId="1" applyNumberFormat="1" applyFont="1" applyFill="1" applyBorder="1"/>
    <xf numFmtId="0" fontId="28" fillId="4" borderId="0" xfId="10" applyFont="1" applyFill="1"/>
    <xf numFmtId="0" fontId="18" fillId="4" borderId="0" xfId="2" applyFont="1" applyFill="1" applyAlignment="1" applyProtection="1"/>
    <xf numFmtId="4" fontId="45" fillId="59" borderId="7" xfId="0" applyNumberFormat="1" applyFont="1" applyFill="1" applyBorder="1" applyAlignment="1">
      <alignment horizontal="center" vertical="center"/>
    </xf>
    <xf numFmtId="0" fontId="14" fillId="4" borderId="0" xfId="0" applyFont="1" applyFill="1" applyBorder="1" applyAlignment="1">
      <alignment wrapText="1"/>
    </xf>
    <xf numFmtId="0" fontId="14" fillId="4" borderId="0" xfId="0" applyFont="1" applyFill="1" applyBorder="1" applyAlignment="1">
      <alignment horizontal="left" wrapText="1"/>
    </xf>
    <xf numFmtId="0" fontId="69" fillId="61" borderId="9" xfId="0" applyFont="1" applyFill="1" applyBorder="1" applyAlignment="1">
      <alignment horizontal="center" vertical="center"/>
    </xf>
    <xf numFmtId="0" fontId="10" fillId="4" borderId="0" xfId="0" applyNumberFormat="1" applyFont="1" applyFill="1" applyBorder="1" applyAlignment="1">
      <alignment horizontal="left" vertical="top"/>
    </xf>
    <xf numFmtId="0" fontId="10" fillId="4" borderId="0" xfId="0" applyFont="1" applyFill="1" applyAlignment="1">
      <alignment horizontal="left" vertical="top"/>
    </xf>
    <xf numFmtId="3" fontId="13" fillId="4" borderId="49" xfId="0" applyNumberFormat="1" applyFont="1" applyFill="1" applyBorder="1" applyAlignment="1">
      <alignment horizontal="center"/>
    </xf>
    <xf numFmtId="0" fontId="69" fillId="61" borderId="9" xfId="110" applyFont="1" applyFill="1" applyBorder="1" applyAlignment="1">
      <alignment horizontal="center" vertical="center"/>
    </xf>
    <xf numFmtId="0" fontId="69" fillId="61" borderId="16" xfId="110" applyFont="1" applyFill="1" applyBorder="1" applyAlignment="1">
      <alignment horizontal="center" vertical="center"/>
    </xf>
    <xf numFmtId="0" fontId="69" fillId="61" borderId="10" xfId="110" applyFont="1" applyFill="1" applyBorder="1" applyAlignment="1">
      <alignment horizontal="center" vertical="center"/>
    </xf>
    <xf numFmtId="3" fontId="49" fillId="0" borderId="49" xfId="0" applyNumberFormat="1" applyFont="1" applyFill="1" applyBorder="1" applyAlignment="1">
      <alignment horizontal="center" vertical="center" wrapText="1"/>
    </xf>
    <xf numFmtId="0" fontId="50" fillId="0" borderId="58" xfId="0" applyFont="1" applyFill="1" applyBorder="1" applyAlignment="1">
      <alignment horizontal="center" vertical="center"/>
    </xf>
    <xf numFmtId="0" fontId="50" fillId="0" borderId="60" xfId="0" applyFont="1" applyFill="1" applyBorder="1" applyAlignment="1">
      <alignment horizontal="center" vertical="center"/>
    </xf>
    <xf numFmtId="0" fontId="69" fillId="61" borderId="23" xfId="0" applyFont="1" applyFill="1" applyBorder="1" applyAlignment="1">
      <alignment horizontal="center" vertical="center" wrapText="1"/>
    </xf>
    <xf numFmtId="0" fontId="69" fillId="61" borderId="22" xfId="0" applyFont="1" applyFill="1" applyBorder="1" applyAlignment="1">
      <alignment horizontal="center" vertical="center" wrapText="1"/>
    </xf>
    <xf numFmtId="0" fontId="69" fillId="61" borderId="7" xfId="0" applyNumberFormat="1" applyFont="1" applyFill="1" applyBorder="1" applyAlignment="1">
      <alignment horizontal="center" vertical="center" wrapText="1"/>
    </xf>
    <xf numFmtId="0" fontId="69" fillId="61" borderId="8" xfId="0" applyNumberFormat="1" applyFont="1" applyFill="1" applyBorder="1" applyAlignment="1">
      <alignment horizontal="center" vertical="center" wrapText="1"/>
    </xf>
    <xf numFmtId="0" fontId="69" fillId="61" borderId="7" xfId="0" applyFont="1" applyFill="1" applyBorder="1" applyAlignment="1">
      <alignment horizontal="center" vertical="center" wrapText="1"/>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69" fillId="61" borderId="6" xfId="110" applyFont="1" applyFill="1" applyBorder="1" applyAlignment="1">
      <alignment horizontal="center" vertical="center"/>
    </xf>
    <xf numFmtId="0" fontId="69" fillId="61" borderId="7" xfId="110" applyFont="1" applyFill="1" applyBorder="1" applyAlignment="1">
      <alignment horizontal="center" vertical="center"/>
    </xf>
    <xf numFmtId="0" fontId="69" fillId="61" borderId="8" xfId="110" applyFont="1" applyFill="1" applyBorder="1" applyAlignment="1">
      <alignment horizontal="center" vertical="center"/>
    </xf>
    <xf numFmtId="0" fontId="69" fillId="61" borderId="6" xfId="0" applyNumberFormat="1" applyFont="1" applyFill="1" applyBorder="1" applyAlignment="1">
      <alignment horizontal="center" vertical="center" wrapText="1"/>
    </xf>
    <xf numFmtId="3" fontId="13" fillId="4" borderId="17" xfId="0" applyNumberFormat="1" applyFont="1" applyFill="1" applyBorder="1" applyAlignment="1">
      <alignment horizontal="center" vertical="center"/>
    </xf>
    <xf numFmtId="0" fontId="14" fillId="4" borderId="0" xfId="0" applyFont="1" applyFill="1" applyAlignment="1">
      <alignment vertical="top"/>
    </xf>
    <xf numFmtId="0" fontId="14" fillId="4" borderId="0" xfId="0" applyFont="1" applyFill="1" applyAlignment="1"/>
    <xf numFmtId="0" fontId="11" fillId="4" borderId="0" xfId="0" applyFont="1" applyFill="1" applyAlignment="1"/>
    <xf numFmtId="0" fontId="14" fillId="4" borderId="0" xfId="0" applyFont="1" applyFill="1" applyBorder="1" applyAlignment="1">
      <alignment horizontal="left" vertical="top"/>
    </xf>
    <xf numFmtId="0" fontId="11" fillId="4" borderId="0" xfId="0" applyFont="1" applyFill="1" applyAlignment="1"/>
    <xf numFmtId="0" fontId="0" fillId="4" borderId="0" xfId="0" applyFill="1" applyAlignment="1">
      <alignment wrapText="1"/>
    </xf>
    <xf numFmtId="3" fontId="69" fillId="61" borderId="24" xfId="0" applyNumberFormat="1" applyFont="1" applyFill="1" applyBorder="1" applyAlignment="1">
      <alignment horizontal="center" vertical="center"/>
    </xf>
    <xf numFmtId="3" fontId="69" fillId="61" borderId="16" xfId="0" applyNumberFormat="1" applyFont="1" applyFill="1" applyBorder="1" applyAlignment="1">
      <alignment horizontal="center" vertical="center" wrapText="1"/>
    </xf>
    <xf numFmtId="164" fontId="69" fillId="61" borderId="16" xfId="0" applyNumberFormat="1" applyFont="1" applyFill="1" applyBorder="1" applyAlignment="1">
      <alignment horizontal="center" vertical="center" wrapText="1"/>
    </xf>
    <xf numFmtId="3" fontId="69" fillId="61" borderId="10" xfId="0" applyNumberFormat="1" applyFont="1" applyFill="1" applyBorder="1" applyAlignment="1">
      <alignment horizontal="center" vertical="center" wrapText="1"/>
    </xf>
    <xf numFmtId="3" fontId="10" fillId="4" borderId="58" xfId="0" applyNumberFormat="1" applyFont="1" applyFill="1" applyBorder="1" applyAlignment="1">
      <alignment horizontal="center" vertical="center"/>
    </xf>
    <xf numFmtId="3" fontId="10" fillId="4" borderId="60" xfId="0" applyNumberFormat="1" applyFont="1" applyFill="1" applyBorder="1" applyAlignment="1">
      <alignment horizontal="center" vertical="center"/>
    </xf>
    <xf numFmtId="3" fontId="10" fillId="4" borderId="62" xfId="0" applyNumberFormat="1" applyFont="1" applyFill="1" applyBorder="1" applyAlignment="1">
      <alignment horizontal="center" vertical="center"/>
    </xf>
    <xf numFmtId="4" fontId="69" fillId="61" borderId="4" xfId="0" applyNumberFormat="1" applyFont="1" applyFill="1" applyBorder="1" applyAlignment="1">
      <alignment horizontal="center" vertical="center" wrapText="1"/>
    </xf>
    <xf numFmtId="3" fontId="69" fillId="61" borderId="17" xfId="0" applyNumberFormat="1" applyFont="1" applyFill="1" applyBorder="1" applyAlignment="1">
      <alignment horizontal="center" vertical="center" wrapText="1"/>
    </xf>
    <xf numFmtId="4" fontId="69" fillId="61" borderId="17" xfId="0" applyNumberFormat="1" applyFont="1" applyFill="1" applyBorder="1" applyAlignment="1">
      <alignment horizontal="center" vertical="center" wrapText="1"/>
    </xf>
    <xf numFmtId="4" fontId="69" fillId="61" borderId="36" xfId="0" applyNumberFormat="1" applyFont="1" applyFill="1" applyBorder="1" applyAlignment="1">
      <alignment horizontal="center" vertical="center" wrapText="1"/>
    </xf>
    <xf numFmtId="0" fontId="69" fillId="61" borderId="4" xfId="0" applyFont="1" applyFill="1" applyBorder="1" applyAlignment="1">
      <alignment horizontal="center" vertical="center" wrapText="1"/>
    </xf>
    <xf numFmtId="0" fontId="69" fillId="61" borderId="35" xfId="0" applyFont="1" applyFill="1" applyBorder="1" applyAlignment="1">
      <alignment horizontal="center" vertical="center" wrapText="1"/>
    </xf>
    <xf numFmtId="0" fontId="69" fillId="61" borderId="17" xfId="0" applyFont="1" applyFill="1" applyBorder="1" applyAlignment="1">
      <alignment horizontal="center" vertical="center" wrapText="1"/>
    </xf>
    <xf numFmtId="0" fontId="69" fillId="61" borderId="5" xfId="0" applyFont="1" applyFill="1" applyBorder="1" applyAlignment="1">
      <alignment horizontal="center" vertical="center" wrapText="1"/>
    </xf>
    <xf numFmtId="0" fontId="69" fillId="61" borderId="11" xfId="0" applyFont="1" applyFill="1" applyBorder="1" applyAlignment="1">
      <alignment horizontal="center" vertical="center" wrapText="1"/>
    </xf>
    <xf numFmtId="165" fontId="69" fillId="61" borderId="9" xfId="0" applyNumberFormat="1" applyFont="1" applyFill="1" applyBorder="1" applyAlignment="1">
      <alignment horizontal="center" vertical="center" wrapText="1"/>
    </xf>
    <xf numFmtId="165" fontId="69" fillId="61" borderId="16" xfId="0" applyNumberFormat="1" applyFont="1" applyFill="1" applyBorder="1" applyAlignment="1">
      <alignment horizontal="center" vertical="center" wrapText="1"/>
    </xf>
    <xf numFmtId="165" fontId="69" fillId="61" borderId="10" xfId="0" applyNumberFormat="1" applyFont="1" applyFill="1" applyBorder="1" applyAlignment="1">
      <alignment horizontal="center" vertical="center" wrapText="1"/>
    </xf>
    <xf numFmtId="166" fontId="19" fillId="4" borderId="0" xfId="0" applyNumberFormat="1" applyFont="1" applyFill="1" applyBorder="1" applyAlignment="1">
      <alignment horizontal="center" vertical="justify"/>
    </xf>
    <xf numFmtId="3" fontId="10" fillId="4" borderId="0" xfId="0" applyNumberFormat="1" applyFont="1" applyFill="1" applyBorder="1" applyAlignment="1">
      <alignment horizontal="right"/>
    </xf>
    <xf numFmtId="165" fontId="69" fillId="61" borderId="7" xfId="0" applyNumberFormat="1" applyFont="1" applyFill="1" applyBorder="1" applyAlignment="1">
      <alignment horizontal="center" vertical="center" wrapText="1"/>
    </xf>
    <xf numFmtId="165" fontId="69" fillId="61" borderId="8" xfId="0" applyNumberFormat="1" applyFont="1" applyFill="1" applyBorder="1" applyAlignment="1">
      <alignment horizontal="center" vertical="center" wrapText="1"/>
    </xf>
    <xf numFmtId="4" fontId="19" fillId="4" borderId="0" xfId="0" applyNumberFormat="1" applyFont="1" applyFill="1" applyAlignment="1"/>
    <xf numFmtId="0" fontId="13" fillId="4" borderId="66" xfId="0" applyFont="1" applyFill="1" applyBorder="1" applyAlignment="1">
      <alignment horizontal="center" vertical="center" wrapText="1"/>
    </xf>
    <xf numFmtId="0" fontId="69" fillId="61" borderId="6" xfId="0" applyFont="1" applyFill="1" applyBorder="1" applyAlignment="1">
      <alignment horizontal="center" vertical="center"/>
    </xf>
    <xf numFmtId="0" fontId="72" fillId="4" borderId="0" xfId="0" applyFont="1" applyFill="1" applyBorder="1" applyAlignment="1">
      <alignment wrapText="1"/>
    </xf>
    <xf numFmtId="0" fontId="10" fillId="0" borderId="0" xfId="0" applyFont="1" applyBorder="1" applyAlignment="1">
      <alignment wrapText="1"/>
    </xf>
    <xf numFmtId="0" fontId="18" fillId="4" borderId="0" xfId="2" applyFont="1" applyFill="1" applyBorder="1" applyAlignment="1" applyProtection="1">
      <alignment horizontal="center" vertical="center" wrapText="1"/>
    </xf>
    <xf numFmtId="0" fontId="69" fillId="61" borderId="1" xfId="0" applyFont="1" applyFill="1" applyBorder="1" applyAlignment="1">
      <alignment horizontal="center" vertical="center"/>
    </xf>
    <xf numFmtId="165" fontId="69" fillId="61" borderId="17" xfId="0" applyNumberFormat="1" applyFont="1" applyFill="1" applyBorder="1" applyAlignment="1">
      <alignment horizontal="center" vertical="center" wrapText="1"/>
    </xf>
    <xf numFmtId="165" fontId="69" fillId="61" borderId="5" xfId="0" applyNumberFormat="1" applyFont="1" applyFill="1" applyBorder="1" applyAlignment="1">
      <alignment horizontal="center" vertical="center" wrapText="1"/>
    </xf>
    <xf numFmtId="3" fontId="10" fillId="4" borderId="11" xfId="0" applyNumberFormat="1" applyFont="1" applyFill="1" applyBorder="1" applyAlignment="1">
      <alignment horizontal="center" vertical="center"/>
    </xf>
    <xf numFmtId="165" fontId="69" fillId="61" borderId="67" xfId="0" applyNumberFormat="1" applyFont="1" applyFill="1" applyBorder="1" applyAlignment="1">
      <alignment horizontal="center" vertical="center" wrapText="1"/>
    </xf>
    <xf numFmtId="0" fontId="13" fillId="4" borderId="4" xfId="0" applyFont="1" applyFill="1" applyBorder="1" applyAlignment="1">
      <alignment horizontal="center" vertical="center"/>
    </xf>
    <xf numFmtId="3" fontId="0" fillId="0" borderId="72" xfId="0" applyNumberFormat="1" applyFill="1" applyBorder="1" applyAlignment="1">
      <alignment horizontal="center" vertical="center"/>
    </xf>
    <xf numFmtId="3" fontId="0" fillId="0" borderId="62" xfId="0" applyNumberFormat="1" applyFill="1" applyBorder="1" applyAlignment="1">
      <alignment horizontal="center" vertical="center"/>
    </xf>
    <xf numFmtId="3" fontId="0" fillId="0" borderId="58" xfId="0" applyNumberFormat="1" applyFill="1" applyBorder="1" applyAlignment="1">
      <alignment horizontal="center" vertical="center"/>
    </xf>
    <xf numFmtId="3" fontId="0" fillId="4" borderId="60" xfId="0" applyNumberFormat="1" applyFill="1" applyBorder="1" applyAlignment="1">
      <alignment horizontal="center" vertical="center"/>
    </xf>
    <xf numFmtId="3" fontId="0" fillId="0" borderId="60" xfId="0" applyNumberFormat="1" applyFill="1" applyBorder="1" applyAlignment="1">
      <alignment horizontal="center" vertical="center"/>
    </xf>
    <xf numFmtId="3" fontId="0" fillId="59" borderId="60" xfId="0" applyNumberFormat="1" applyFill="1" applyBorder="1" applyAlignment="1">
      <alignment horizontal="center" vertical="center"/>
    </xf>
    <xf numFmtId="3" fontId="10" fillId="4" borderId="84" xfId="0" applyNumberFormat="1" applyFont="1" applyFill="1" applyBorder="1" applyAlignment="1">
      <alignment horizontal="center" vertical="center"/>
    </xf>
    <xf numFmtId="3" fontId="69" fillId="61" borderId="37" xfId="0" applyNumberFormat="1" applyFont="1" applyFill="1" applyBorder="1" applyAlignment="1">
      <alignment horizontal="center" vertical="center" wrapText="1"/>
    </xf>
    <xf numFmtId="4" fontId="28" fillId="0" borderId="71" xfId="0" applyNumberFormat="1" applyFont="1" applyFill="1" applyBorder="1"/>
    <xf numFmtId="4" fontId="28" fillId="0" borderId="76" xfId="0" applyNumberFormat="1" applyFont="1" applyFill="1" applyBorder="1"/>
    <xf numFmtId="4" fontId="28" fillId="0" borderId="85" xfId="0" applyNumberFormat="1" applyFont="1" applyFill="1" applyBorder="1"/>
    <xf numFmtId="4" fontId="45" fillId="59" borderId="87" xfId="0" applyNumberFormat="1" applyFont="1" applyFill="1" applyBorder="1" applyAlignment="1">
      <alignment horizontal="center" vertical="center"/>
    </xf>
    <xf numFmtId="4" fontId="28" fillId="0" borderId="86" xfId="0" applyNumberFormat="1" applyFont="1" applyBorder="1" applyAlignment="1">
      <alignment horizontal="center" vertical="center"/>
    </xf>
    <xf numFmtId="4" fontId="28" fillId="0" borderId="76" xfId="0" applyNumberFormat="1" applyFont="1" applyBorder="1"/>
    <xf numFmtId="4" fontId="28" fillId="0" borderId="85" xfId="0" applyNumberFormat="1" applyFont="1" applyBorder="1"/>
    <xf numFmtId="3" fontId="10" fillId="4" borderId="79" xfId="0" applyNumberFormat="1" applyFont="1" applyFill="1" applyBorder="1" applyAlignment="1">
      <alignment horizontal="center" vertical="center"/>
    </xf>
    <xf numFmtId="4" fontId="45" fillId="59" borderId="72" xfId="0" applyNumberFormat="1" applyFont="1" applyFill="1" applyBorder="1" applyAlignment="1">
      <alignment horizontal="center" vertical="center"/>
    </xf>
    <xf numFmtId="4" fontId="45" fillId="59" borderId="60" xfId="0" applyNumberFormat="1" applyFont="1" applyFill="1" applyBorder="1" applyAlignment="1">
      <alignment horizontal="center" vertical="center"/>
    </xf>
    <xf numFmtId="164" fontId="0" fillId="59" borderId="60" xfId="0" applyNumberFormat="1" applyFill="1" applyBorder="1" applyAlignment="1">
      <alignment horizontal="center" vertical="center"/>
    </xf>
    <xf numFmtId="164" fontId="10" fillId="4" borderId="0" xfId="0" applyNumberFormat="1" applyFont="1" applyFill="1" applyBorder="1"/>
    <xf numFmtId="0" fontId="10" fillId="4" borderId="76" xfId="0" applyFont="1" applyFill="1" applyBorder="1" applyAlignment="1">
      <alignment horizontal="center" vertical="center" wrapText="1"/>
    </xf>
    <xf numFmtId="0" fontId="0" fillId="4" borderId="13" xfId="0" applyFill="1" applyBorder="1"/>
    <xf numFmtId="0" fontId="0" fillId="4" borderId="64" xfId="0" applyFill="1" applyBorder="1"/>
    <xf numFmtId="3" fontId="13" fillId="4" borderId="11" xfId="0" applyNumberFormat="1" applyFont="1" applyFill="1" applyBorder="1" applyAlignment="1">
      <alignment horizontal="right" vertical="center"/>
    </xf>
    <xf numFmtId="3" fontId="10" fillId="4" borderId="92" xfId="0" applyNumberFormat="1" applyFont="1" applyFill="1" applyBorder="1" applyAlignment="1">
      <alignment horizontal="center" vertical="center"/>
    </xf>
    <xf numFmtId="3" fontId="28" fillId="0" borderId="72" xfId="0" applyNumberFormat="1" applyFont="1" applyFill="1" applyBorder="1" applyAlignment="1">
      <alignment horizontal="center" vertical="center" wrapText="1"/>
    </xf>
    <xf numFmtId="3" fontId="10" fillId="4" borderId="93" xfId="0" applyNumberFormat="1" applyFont="1" applyFill="1" applyBorder="1" applyAlignment="1">
      <alignment horizontal="center" vertical="center"/>
    </xf>
    <xf numFmtId="3" fontId="28" fillId="0" borderId="60" xfId="0" applyNumberFormat="1" applyFont="1" applyFill="1" applyBorder="1" applyAlignment="1">
      <alignment horizontal="center" vertical="center" wrapText="1"/>
    </xf>
    <xf numFmtId="0" fontId="10" fillId="4" borderId="71" xfId="0" applyFont="1" applyFill="1" applyBorder="1" applyAlignment="1">
      <alignment horizontal="center" vertical="center"/>
    </xf>
    <xf numFmtId="0" fontId="10" fillId="4" borderId="76" xfId="0" applyFont="1" applyFill="1" applyBorder="1" applyAlignment="1">
      <alignment horizontal="center" vertical="center"/>
    </xf>
    <xf numFmtId="0" fontId="10" fillId="0" borderId="74" xfId="0" applyFont="1" applyFill="1" applyBorder="1" applyAlignment="1">
      <alignment horizontal="center" vertical="center"/>
    </xf>
    <xf numFmtId="3" fontId="45" fillId="0" borderId="4" xfId="0" applyNumberFormat="1" applyFont="1" applyFill="1" applyBorder="1" applyAlignment="1">
      <alignment horizontal="center" vertical="center"/>
    </xf>
    <xf numFmtId="3" fontId="45" fillId="0" borderId="17" xfId="0" applyNumberFormat="1" applyFont="1" applyFill="1" applyBorder="1" applyAlignment="1">
      <alignment horizontal="center" vertical="center"/>
    </xf>
    <xf numFmtId="0" fontId="69" fillId="61" borderId="39" xfId="0" applyFont="1" applyFill="1" applyBorder="1" applyAlignment="1">
      <alignment horizontal="center" vertical="center" wrapText="1"/>
    </xf>
    <xf numFmtId="0" fontId="75" fillId="4" borderId="50" xfId="2" applyFont="1" applyFill="1" applyBorder="1" applyAlignment="1" applyProtection="1">
      <alignment horizontal="center" vertical="center" wrapText="1"/>
    </xf>
    <xf numFmtId="10" fontId="10" fillId="0" borderId="72" xfId="0" applyNumberFormat="1" applyFont="1" applyFill="1" applyBorder="1" applyAlignment="1">
      <alignment horizontal="center" vertical="center"/>
    </xf>
    <xf numFmtId="10" fontId="10" fillId="0" borderId="60"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0" fillId="59" borderId="5" xfId="0" applyFill="1" applyBorder="1"/>
    <xf numFmtId="0" fontId="13" fillId="4" borderId="4" xfId="0" applyFont="1" applyFill="1" applyBorder="1" applyAlignment="1">
      <alignment horizontal="center"/>
    </xf>
    <xf numFmtId="0" fontId="13" fillId="4" borderId="9" xfId="0" applyNumberFormat="1" applyFont="1" applyFill="1" applyBorder="1" applyAlignment="1">
      <alignment horizontal="left" vertical="top" wrapText="1"/>
    </xf>
    <xf numFmtId="0" fontId="13" fillId="4" borderId="11" xfId="0" applyNumberFormat="1" applyFont="1" applyFill="1" applyBorder="1" applyAlignment="1">
      <alignment horizontal="left" vertical="top" wrapText="1"/>
    </xf>
    <xf numFmtId="0" fontId="14" fillId="35" borderId="51" xfId="19" applyFont="1" applyFill="1" applyBorder="1" applyAlignment="1">
      <alignment vertical="top"/>
    </xf>
    <xf numFmtId="0" fontId="17" fillId="35" borderId="0" xfId="19" applyFont="1" applyFill="1" applyBorder="1"/>
    <xf numFmtId="0" fontId="17" fillId="35" borderId="0" xfId="19" applyFont="1" applyFill="1" applyBorder="1" applyAlignment="1">
      <alignment horizontal="center" wrapText="1"/>
    </xf>
    <xf numFmtId="0" fontId="16" fillId="35" borderId="0" xfId="19" applyFont="1" applyFill="1" applyBorder="1"/>
    <xf numFmtId="0" fontId="16" fillId="35" borderId="51" xfId="19" applyFont="1" applyFill="1" applyBorder="1"/>
    <xf numFmtId="37" fontId="17" fillId="35" borderId="0" xfId="19" applyNumberFormat="1" applyFont="1" applyFill="1" applyBorder="1" applyAlignment="1">
      <alignment horizontal="center" wrapText="1"/>
    </xf>
    <xf numFmtId="3" fontId="28" fillId="41" borderId="62" xfId="3" applyNumberFormat="1" applyFont="1" applyFill="1" applyBorder="1" applyAlignment="1">
      <alignment horizontal="center" vertical="center"/>
    </xf>
    <xf numFmtId="3" fontId="28" fillId="41" borderId="63" xfId="3" applyNumberFormat="1" applyFont="1" applyFill="1" applyBorder="1" applyAlignment="1">
      <alignment horizontal="center" vertical="center"/>
    </xf>
    <xf numFmtId="9" fontId="71" fillId="35" borderId="0" xfId="3" applyFont="1" applyFill="1" applyBorder="1"/>
    <xf numFmtId="0" fontId="69" fillId="60" borderId="17" xfId="19" applyFont="1" applyFill="1" applyBorder="1" applyAlignment="1">
      <alignment horizontal="center" vertical="center"/>
    </xf>
    <xf numFmtId="0" fontId="69" fillId="60" borderId="5" xfId="19" applyFont="1" applyFill="1" applyBorder="1" applyAlignment="1">
      <alignment horizontal="center" vertical="center" wrapText="1"/>
    </xf>
    <xf numFmtId="9" fontId="28" fillId="38" borderId="58" xfId="3" applyFont="1" applyFill="1" applyBorder="1" applyAlignment="1">
      <alignment horizontal="center" vertical="center"/>
    </xf>
    <xf numFmtId="3" fontId="28" fillId="38" borderId="58" xfId="3" applyNumberFormat="1" applyFont="1" applyFill="1" applyBorder="1" applyAlignment="1">
      <alignment horizontal="center" vertical="center"/>
    </xf>
    <xf numFmtId="3" fontId="28" fillId="39" borderId="58" xfId="3" applyNumberFormat="1" applyFont="1" applyFill="1" applyBorder="1" applyAlignment="1">
      <alignment horizontal="center" vertical="center"/>
    </xf>
    <xf numFmtId="3" fontId="28" fillId="39" borderId="59" xfId="3" applyNumberFormat="1" applyFont="1" applyFill="1" applyBorder="1" applyAlignment="1">
      <alignment horizontal="center" vertical="center"/>
    </xf>
    <xf numFmtId="9" fontId="28" fillId="38" borderId="60" xfId="3" applyFont="1" applyFill="1" applyBorder="1" applyAlignment="1">
      <alignment horizontal="center" vertical="center"/>
    </xf>
    <xf numFmtId="3" fontId="28" fillId="38" borderId="60" xfId="3" applyNumberFormat="1" applyFont="1" applyFill="1" applyBorder="1" applyAlignment="1">
      <alignment horizontal="center" vertical="center"/>
    </xf>
    <xf numFmtId="3" fontId="28" fillId="39" borderId="60" xfId="3" applyNumberFormat="1" applyFont="1" applyFill="1" applyBorder="1" applyAlignment="1">
      <alignment horizontal="center" vertical="center"/>
    </xf>
    <xf numFmtId="3" fontId="28" fillId="39" borderId="61" xfId="3" applyNumberFormat="1" applyFont="1" applyFill="1" applyBorder="1" applyAlignment="1">
      <alignment horizontal="center" vertical="center"/>
    </xf>
    <xf numFmtId="9" fontId="28" fillId="40" borderId="72" xfId="3" applyFont="1" applyFill="1" applyBorder="1" applyAlignment="1">
      <alignment horizontal="center" vertical="center"/>
    </xf>
    <xf numFmtId="3" fontId="28" fillId="40" borderId="72" xfId="3" applyNumberFormat="1" applyFont="1" applyFill="1" applyBorder="1" applyAlignment="1">
      <alignment horizontal="center" vertical="center"/>
    </xf>
    <xf numFmtId="3" fontId="28" fillId="40" borderId="73" xfId="3" applyNumberFormat="1" applyFont="1" applyFill="1" applyBorder="1" applyAlignment="1">
      <alignment horizontal="center" vertical="center"/>
    </xf>
    <xf numFmtId="0" fontId="28" fillId="40" borderId="62" xfId="19" applyFont="1" applyFill="1" applyBorder="1" applyAlignment="1">
      <alignment horizontal="center" vertical="center"/>
    </xf>
    <xf numFmtId="3" fontId="28" fillId="40" borderId="62" xfId="3" applyNumberFormat="1" applyFont="1" applyFill="1" applyBorder="1" applyAlignment="1">
      <alignment horizontal="center" vertical="center"/>
    </xf>
    <xf numFmtId="3" fontId="28" fillId="40" borderId="63" xfId="3" applyNumberFormat="1" applyFont="1" applyFill="1" applyBorder="1" applyAlignment="1">
      <alignment horizontal="center" vertical="center"/>
    </xf>
    <xf numFmtId="9" fontId="28" fillId="41" borderId="72" xfId="3" applyFont="1" applyFill="1" applyBorder="1" applyAlignment="1">
      <alignment horizontal="center" vertical="center"/>
    </xf>
    <xf numFmtId="3" fontId="28" fillId="41" borderId="72" xfId="3" applyNumberFormat="1" applyFont="1" applyFill="1" applyBorder="1" applyAlignment="1">
      <alignment horizontal="center" vertical="center"/>
    </xf>
    <xf numFmtId="3" fontId="28" fillId="41" borderId="73" xfId="3" applyNumberFormat="1" applyFont="1" applyFill="1" applyBorder="1" applyAlignment="1">
      <alignment horizontal="center" vertical="center"/>
    </xf>
    <xf numFmtId="9" fontId="28" fillId="41" borderId="60" xfId="3" applyFont="1" applyFill="1" applyBorder="1" applyAlignment="1">
      <alignment horizontal="center" vertical="center"/>
    </xf>
    <xf numFmtId="3" fontId="28" fillId="41" borderId="60" xfId="3" applyNumberFormat="1" applyFont="1" applyFill="1" applyBorder="1" applyAlignment="1">
      <alignment horizontal="center" vertical="center"/>
    </xf>
    <xf numFmtId="3" fontId="28" fillId="41" borderId="61" xfId="3" applyNumberFormat="1" applyFont="1" applyFill="1" applyBorder="1" applyAlignment="1">
      <alignment horizontal="center" vertical="center"/>
    </xf>
    <xf numFmtId="9" fontId="28" fillId="41" borderId="62" xfId="3" applyFont="1" applyFill="1" applyBorder="1" applyAlignment="1">
      <alignment horizontal="center" vertical="center"/>
    </xf>
    <xf numFmtId="0" fontId="10" fillId="39" borderId="58" xfId="19" applyFont="1" applyFill="1" applyBorder="1" applyAlignment="1">
      <alignment horizontal="center" vertical="center" wrapText="1"/>
    </xf>
    <xf numFmtId="3" fontId="10" fillId="39" borderId="58" xfId="19" applyNumberFormat="1" applyFont="1" applyFill="1" applyBorder="1" applyAlignment="1">
      <alignment horizontal="center" vertical="center" wrapText="1"/>
    </xf>
    <xf numFmtId="3" fontId="17" fillId="35" borderId="0" xfId="19" applyNumberFormat="1" applyFont="1" applyFill="1" applyBorder="1" applyAlignment="1">
      <alignment horizontal="center" wrapText="1"/>
    </xf>
    <xf numFmtId="0" fontId="10" fillId="39" borderId="60" xfId="19" applyFont="1" applyFill="1" applyBorder="1" applyAlignment="1">
      <alignment horizontal="center" vertical="center" wrapText="1"/>
    </xf>
    <xf numFmtId="3" fontId="10" fillId="39" borderId="60" xfId="19" applyNumberFormat="1" applyFont="1" applyFill="1" applyBorder="1" applyAlignment="1">
      <alignment horizontal="center" vertical="center" wrapText="1"/>
    </xf>
    <xf numFmtId="0" fontId="10" fillId="39" borderId="62" xfId="19" applyFont="1" applyFill="1" applyBorder="1" applyAlignment="1">
      <alignment horizontal="center" vertical="center" wrapText="1"/>
    </xf>
    <xf numFmtId="3" fontId="10" fillId="39" borderId="62" xfId="19" applyNumberFormat="1" applyFont="1" applyFill="1" applyBorder="1" applyAlignment="1">
      <alignment horizontal="center" vertical="center" wrapText="1"/>
    </xf>
    <xf numFmtId="0" fontId="10" fillId="39" borderId="72" xfId="19" applyFont="1" applyFill="1" applyBorder="1" applyAlignment="1">
      <alignment horizontal="center" vertical="center" wrapText="1"/>
    </xf>
    <xf numFmtId="3" fontId="10" fillId="39" borderId="72" xfId="19" applyNumberFormat="1" applyFont="1" applyFill="1" applyBorder="1" applyAlignment="1">
      <alignment horizontal="center" vertical="center" wrapText="1"/>
    </xf>
    <xf numFmtId="0" fontId="10" fillId="39" borderId="78" xfId="19" applyFont="1" applyFill="1" applyBorder="1" applyAlignment="1">
      <alignment horizontal="center" vertical="center" wrapText="1"/>
    </xf>
    <xf numFmtId="3" fontId="10" fillId="39" borderId="78" xfId="19" applyNumberFormat="1" applyFont="1" applyFill="1" applyBorder="1" applyAlignment="1">
      <alignment horizontal="center" vertical="center" wrapText="1"/>
    </xf>
    <xf numFmtId="0" fontId="10" fillId="40" borderId="80" xfId="19" applyFont="1" applyFill="1" applyBorder="1" applyAlignment="1">
      <alignment horizontal="center" wrapText="1"/>
    </xf>
    <xf numFmtId="0" fontId="10" fillId="40" borderId="60" xfId="19" applyFont="1" applyFill="1" applyBorder="1" applyAlignment="1">
      <alignment horizontal="center" wrapText="1"/>
    </xf>
    <xf numFmtId="0" fontId="10" fillId="40" borderId="62" xfId="19" applyFont="1" applyFill="1" applyBorder="1" applyAlignment="1">
      <alignment horizontal="center" wrapText="1"/>
    </xf>
    <xf numFmtId="0" fontId="10" fillId="40" borderId="72" xfId="19" applyFont="1" applyFill="1" applyBorder="1" applyAlignment="1">
      <alignment horizontal="center" wrapText="1"/>
    </xf>
    <xf numFmtId="37" fontId="10" fillId="36" borderId="61" xfId="15" applyNumberFormat="1" applyFont="1" applyFill="1" applyBorder="1" applyAlignment="1">
      <alignment horizontal="center" vertical="center" wrapText="1"/>
    </xf>
    <xf numFmtId="37" fontId="10" fillId="36" borderId="63" xfId="15" applyNumberFormat="1" applyFont="1" applyFill="1" applyBorder="1" applyAlignment="1">
      <alignment horizontal="center" vertical="center" wrapText="1"/>
    </xf>
    <xf numFmtId="0" fontId="10" fillId="41" borderId="16" xfId="19" applyFont="1" applyFill="1" applyBorder="1" applyAlignment="1">
      <alignment horizontal="center" vertical="center"/>
    </xf>
    <xf numFmtId="0" fontId="10" fillId="41" borderId="16" xfId="19" applyFont="1" applyFill="1" applyBorder="1" applyAlignment="1">
      <alignment horizontal="center" wrapText="1"/>
    </xf>
    <xf numFmtId="0" fontId="17" fillId="35" borderId="0" xfId="19" applyFont="1" applyFill="1" applyBorder="1" applyAlignment="1">
      <alignment wrapText="1"/>
    </xf>
    <xf numFmtId="2" fontId="17" fillId="35" borderId="0" xfId="19" applyNumberFormat="1" applyFont="1" applyFill="1" applyBorder="1" applyAlignment="1">
      <alignment horizontal="center" wrapText="1"/>
    </xf>
    <xf numFmtId="0" fontId="17" fillId="35" borderId="0" xfId="19" applyFont="1" applyFill="1" applyBorder="1" applyAlignment="1">
      <alignment horizontal="center" vertical="center" wrapText="1"/>
    </xf>
    <xf numFmtId="0" fontId="77" fillId="35" borderId="0" xfId="19" applyFont="1" applyFill="1" applyBorder="1" applyAlignment="1">
      <alignment vertical="center"/>
    </xf>
    <xf numFmtId="3" fontId="28" fillId="62" borderId="7" xfId="3" applyNumberFormat="1" applyFont="1" applyFill="1" applyBorder="1" applyAlignment="1">
      <alignment horizontal="center" vertical="center"/>
    </xf>
    <xf numFmtId="9" fontId="10" fillId="35" borderId="0" xfId="3" applyFont="1" applyFill="1" applyBorder="1" applyAlignment="1">
      <alignment horizontal="center" wrapText="1"/>
    </xf>
    <xf numFmtId="166" fontId="10" fillId="35" borderId="0" xfId="3" applyNumberFormat="1" applyFont="1" applyFill="1" applyBorder="1" applyAlignment="1">
      <alignment horizontal="center" wrapText="1"/>
    </xf>
    <xf numFmtId="166" fontId="10" fillId="35" borderId="0" xfId="19" applyNumberFormat="1" applyFont="1" applyFill="1" applyBorder="1" applyAlignment="1">
      <alignment horizontal="center" wrapText="1"/>
    </xf>
    <xf numFmtId="0" fontId="17" fillId="0" borderId="0" xfId="0" applyFont="1" applyBorder="1" applyAlignment="1">
      <alignment vertical="center" wrapText="1"/>
    </xf>
    <xf numFmtId="0" fontId="78" fillId="35" borderId="0" xfId="19" applyFont="1" applyFill="1" applyBorder="1" applyAlignment="1">
      <alignment vertical="center"/>
    </xf>
    <xf numFmtId="0" fontId="13" fillId="4" borderId="6" xfId="0" applyNumberFormat="1" applyFont="1" applyFill="1" applyBorder="1" applyAlignment="1">
      <alignment horizontal="left" vertical="top" wrapText="1"/>
    </xf>
    <xf numFmtId="0" fontId="10" fillId="4" borderId="0" xfId="0" applyFont="1" applyFill="1" applyAlignment="1">
      <alignment vertical="top" wrapText="1"/>
    </xf>
    <xf numFmtId="0" fontId="10" fillId="4" borderId="0" xfId="0" applyFont="1" applyFill="1" applyAlignment="1">
      <alignment wrapText="1"/>
    </xf>
    <xf numFmtId="0" fontId="10" fillId="0" borderId="57" xfId="0" applyFont="1" applyBorder="1" applyAlignment="1">
      <alignment horizontal="center" vertical="center"/>
    </xf>
    <xf numFmtId="0" fontId="10" fillId="0" borderId="68" xfId="0" applyFont="1" applyBorder="1" applyAlignment="1">
      <alignment horizontal="center" vertical="center"/>
    </xf>
    <xf numFmtId="0" fontId="10" fillId="4" borderId="0" xfId="0" applyFont="1" applyFill="1" applyAlignment="1">
      <alignment horizontal="center" vertical="center"/>
    </xf>
    <xf numFmtId="0" fontId="18" fillId="4" borderId="0" xfId="2" applyFill="1" applyAlignment="1" applyProtection="1"/>
    <xf numFmtId="3" fontId="10" fillId="4" borderId="96" xfId="0" applyNumberFormat="1" applyFont="1" applyFill="1" applyBorder="1" applyAlignment="1">
      <alignment horizontal="center" vertical="center"/>
    </xf>
    <xf numFmtId="3" fontId="10" fillId="4" borderId="80" xfId="0" applyNumberFormat="1" applyFont="1" applyFill="1" applyBorder="1" applyAlignment="1">
      <alignment horizontal="center" vertical="center"/>
    </xf>
    <xf numFmtId="0" fontId="69" fillId="61" borderId="1" xfId="0" applyFont="1" applyFill="1" applyBorder="1" applyAlignment="1">
      <alignment horizontal="center" vertical="center" wrapText="1"/>
    </xf>
    <xf numFmtId="3" fontId="10" fillId="4" borderId="77" xfId="0" applyNumberFormat="1" applyFont="1" applyFill="1" applyBorder="1" applyAlignment="1">
      <alignment horizontal="center" vertical="center"/>
    </xf>
    <xf numFmtId="3" fontId="10" fillId="4" borderId="78" xfId="0" applyNumberFormat="1" applyFont="1" applyFill="1" applyBorder="1" applyAlignment="1">
      <alignment horizontal="center" vertical="center"/>
    </xf>
    <xf numFmtId="0" fontId="13" fillId="0" borderId="70" xfId="0" applyFont="1" applyFill="1" applyBorder="1" applyAlignment="1">
      <alignment horizontal="center" vertical="center" wrapText="1"/>
    </xf>
    <xf numFmtId="0" fontId="10" fillId="4" borderId="0" xfId="0" applyFont="1" applyFill="1" applyBorder="1" applyAlignment="1">
      <alignment wrapText="1"/>
    </xf>
    <xf numFmtId="0" fontId="10" fillId="0" borderId="105" xfId="0" applyFont="1" applyFill="1" applyBorder="1" applyAlignment="1">
      <alignment horizontal="center" vertical="center" wrapText="1"/>
    </xf>
    <xf numFmtId="0" fontId="10" fillId="0" borderId="106" xfId="0" applyFont="1" applyFill="1" applyBorder="1" applyAlignment="1">
      <alignment horizontal="center" vertical="center" wrapText="1"/>
    </xf>
    <xf numFmtId="0" fontId="0" fillId="4" borderId="0" xfId="0" applyFill="1" applyAlignment="1">
      <alignment horizontal="center"/>
    </xf>
    <xf numFmtId="2" fontId="0" fillId="4" borderId="0" xfId="0" applyNumberFormat="1" applyFill="1" applyAlignment="1">
      <alignment horizontal="center"/>
    </xf>
    <xf numFmtId="0" fontId="69" fillId="60" borderId="21" xfId="19" applyFont="1" applyFill="1" applyBorder="1" applyAlignment="1">
      <alignment horizontal="center" vertical="center" wrapText="1"/>
    </xf>
    <xf numFmtId="0" fontId="10" fillId="4" borderId="71" xfId="0" applyFont="1" applyFill="1" applyBorder="1" applyAlignment="1">
      <alignment horizontal="center" vertical="center" wrapText="1"/>
    </xf>
    <xf numFmtId="0" fontId="10" fillId="4" borderId="73" xfId="0" applyFont="1" applyFill="1" applyBorder="1" applyAlignment="1">
      <alignment horizontal="center" vertical="center" wrapText="1"/>
    </xf>
    <xf numFmtId="0" fontId="18" fillId="4" borderId="61" xfId="2" applyFill="1" applyBorder="1" applyAlignment="1" applyProtection="1">
      <alignment horizontal="center" vertical="center" wrapText="1"/>
    </xf>
    <xf numFmtId="0" fontId="10" fillId="4" borderId="61" xfId="0" applyFont="1" applyFill="1" applyBorder="1" applyAlignment="1">
      <alignment horizontal="center" vertical="center" wrapText="1"/>
    </xf>
    <xf numFmtId="0" fontId="69" fillId="61" borderId="36" xfId="0" applyFont="1" applyFill="1" applyBorder="1" applyAlignment="1">
      <alignment horizontal="center" vertical="center" wrapText="1"/>
    </xf>
    <xf numFmtId="3" fontId="0" fillId="0" borderId="108" xfId="0" applyNumberFormat="1" applyFill="1" applyBorder="1" applyAlignment="1">
      <alignment horizontal="center" vertical="center"/>
    </xf>
    <xf numFmtId="4" fontId="45" fillId="0" borderId="71" xfId="0" applyNumberFormat="1" applyFont="1" applyBorder="1"/>
    <xf numFmtId="4" fontId="28" fillId="0" borderId="86" xfId="0" applyNumberFormat="1" applyFont="1" applyFill="1" applyBorder="1" applyAlignment="1">
      <alignment horizontal="center" vertical="center"/>
    </xf>
    <xf numFmtId="4" fontId="45" fillId="59" borderId="8" xfId="0" applyNumberFormat="1" applyFont="1" applyFill="1" applyBorder="1" applyAlignment="1">
      <alignment horizontal="center" vertical="center"/>
    </xf>
    <xf numFmtId="4" fontId="69" fillId="61" borderId="9" xfId="0" applyNumberFormat="1" applyFont="1" applyFill="1" applyBorder="1" applyAlignment="1">
      <alignment horizontal="center" vertical="center" wrapText="1"/>
    </xf>
    <xf numFmtId="4" fontId="28" fillId="0" borderId="60" xfId="0" applyNumberFormat="1" applyFont="1" applyFill="1" applyBorder="1" applyAlignment="1">
      <alignment horizontal="center" vertical="center"/>
    </xf>
    <xf numFmtId="4" fontId="28" fillId="0" borderId="96" xfId="0" applyNumberFormat="1" applyFont="1" applyBorder="1"/>
    <xf numFmtId="4" fontId="45" fillId="59" borderId="80" xfId="0" applyNumberFormat="1" applyFont="1" applyFill="1" applyBorder="1" applyAlignment="1">
      <alignment horizontal="center" vertical="center"/>
    </xf>
    <xf numFmtId="4" fontId="45" fillId="0" borderId="9" xfId="0" applyNumberFormat="1" applyFont="1" applyBorder="1"/>
    <xf numFmtId="4" fontId="28" fillId="59" borderId="34" xfId="0" applyNumberFormat="1" applyFont="1" applyFill="1" applyBorder="1" applyAlignment="1">
      <alignment horizontal="center" vertical="center"/>
    </xf>
    <xf numFmtId="4" fontId="45" fillId="59" borderId="16" xfId="0" applyNumberFormat="1" applyFont="1" applyFill="1" applyBorder="1" applyAlignment="1">
      <alignment horizontal="center" vertical="center"/>
    </xf>
    <xf numFmtId="4" fontId="45" fillId="59" borderId="10" xfId="0" applyNumberFormat="1" applyFont="1" applyFill="1" applyBorder="1" applyAlignment="1">
      <alignment horizontal="center" vertical="center"/>
    </xf>
    <xf numFmtId="0" fontId="69" fillId="61" borderId="109" xfId="0" applyNumberFormat="1" applyFont="1" applyFill="1" applyBorder="1" applyAlignment="1">
      <alignment horizontal="center" vertical="center" wrapText="1"/>
    </xf>
    <xf numFmtId="3" fontId="45" fillId="0" borderId="36" xfId="0" applyNumberFormat="1" applyFont="1" applyFill="1" applyBorder="1" applyAlignment="1">
      <alignment horizontal="center" vertical="center"/>
    </xf>
    <xf numFmtId="170" fontId="45" fillId="0" borderId="36" xfId="0" applyNumberFormat="1" applyFont="1" applyFill="1" applyBorder="1" applyAlignment="1">
      <alignment horizontal="center" vertical="center"/>
    </xf>
    <xf numFmtId="170" fontId="45" fillId="0" borderId="5" xfId="0" applyNumberFormat="1" applyFont="1" applyFill="1" applyBorder="1" applyAlignment="1">
      <alignment horizontal="center" vertical="center"/>
    </xf>
    <xf numFmtId="3" fontId="69" fillId="61" borderId="34" xfId="0" applyNumberFormat="1" applyFont="1" applyFill="1" applyBorder="1" applyAlignment="1">
      <alignment horizontal="center" vertical="center" wrapText="1"/>
    </xf>
    <xf numFmtId="0" fontId="69" fillId="61" borderId="109" xfId="110" applyFont="1" applyFill="1" applyBorder="1" applyAlignment="1">
      <alignment horizontal="center" vertical="center"/>
    </xf>
    <xf numFmtId="176" fontId="69" fillId="61" borderId="109" xfId="110" applyNumberFormat="1" applyFont="1" applyFill="1" applyBorder="1" applyAlignment="1">
      <alignment horizontal="center" vertical="center"/>
    </xf>
    <xf numFmtId="0" fontId="69" fillId="63" borderId="16" xfId="0" applyFont="1" applyFill="1" applyBorder="1" applyAlignment="1">
      <alignment horizontal="center" vertical="center" wrapText="1"/>
    </xf>
    <xf numFmtId="0" fontId="69" fillId="64" borderId="16" xfId="0" applyFont="1" applyFill="1" applyBorder="1" applyAlignment="1">
      <alignment horizontal="center" vertical="center" wrapText="1"/>
    </xf>
    <xf numFmtId="0" fontId="69" fillId="65" borderId="16" xfId="0" applyFont="1" applyFill="1" applyBorder="1" applyAlignment="1">
      <alignment horizontal="center" vertical="center" wrapText="1"/>
    </xf>
    <xf numFmtId="0" fontId="10" fillId="4" borderId="66" xfId="0" applyNumberFormat="1" applyFont="1" applyFill="1" applyBorder="1" applyAlignment="1">
      <alignment horizontal="center" vertical="center" wrapText="1"/>
    </xf>
    <xf numFmtId="0" fontId="18" fillId="4" borderId="91" xfId="2" applyNumberFormat="1" applyFill="1" applyBorder="1" applyAlignment="1" applyProtection="1">
      <alignment horizontal="center" vertical="center" wrapText="1"/>
    </xf>
    <xf numFmtId="3" fontId="50" fillId="0" borderId="78" xfId="0" applyNumberFormat="1" applyFont="1" applyFill="1" applyBorder="1" applyAlignment="1">
      <alignment horizontal="center" vertical="center"/>
    </xf>
    <xf numFmtId="0" fontId="10" fillId="4" borderId="85" xfId="0" applyFont="1" applyFill="1" applyBorder="1" applyAlignment="1">
      <alignment horizontal="center" vertical="center"/>
    </xf>
    <xf numFmtId="3" fontId="45" fillId="0" borderId="72" xfId="0" applyNumberFormat="1" applyFont="1" applyFill="1" applyBorder="1" applyAlignment="1">
      <alignment horizontal="center" vertical="center"/>
    </xf>
    <xf numFmtId="3" fontId="28" fillId="0" borderId="60" xfId="0" applyNumberFormat="1" applyFont="1" applyFill="1" applyBorder="1" applyAlignment="1">
      <alignment horizontal="center" vertical="center"/>
    </xf>
    <xf numFmtId="166" fontId="28" fillId="0" borderId="60" xfId="3" applyNumberFormat="1" applyFont="1" applyFill="1" applyBorder="1" applyAlignment="1">
      <alignment horizontal="center" vertical="center"/>
    </xf>
    <xf numFmtId="3" fontId="28" fillId="0" borderId="60" xfId="3" applyNumberFormat="1" applyFont="1" applyFill="1" applyBorder="1" applyAlignment="1">
      <alignment horizontal="center" vertical="center"/>
    </xf>
    <xf numFmtId="170" fontId="28" fillId="0" borderId="60" xfId="0" applyNumberFormat="1" applyFont="1" applyFill="1" applyBorder="1" applyAlignment="1">
      <alignment horizontal="center" vertical="center"/>
    </xf>
    <xf numFmtId="3" fontId="28" fillId="0" borderId="86" xfId="0" applyNumberFormat="1" applyFont="1" applyFill="1" applyBorder="1" applyAlignment="1">
      <alignment horizontal="center" vertical="center"/>
    </xf>
    <xf numFmtId="166" fontId="28" fillId="0" borderId="86" xfId="3" applyNumberFormat="1" applyFont="1" applyFill="1" applyBorder="1" applyAlignment="1">
      <alignment horizontal="center" vertical="center"/>
    </xf>
    <xf numFmtId="3" fontId="28" fillId="0" borderId="86" xfId="3" applyNumberFormat="1" applyFont="1" applyFill="1" applyBorder="1" applyAlignment="1">
      <alignment horizontal="center" vertical="center"/>
    </xf>
    <xf numFmtId="3" fontId="10" fillId="0" borderId="86" xfId="0" applyNumberFormat="1" applyFont="1" applyFill="1" applyBorder="1" applyAlignment="1">
      <alignment horizontal="center" vertical="center"/>
    </xf>
    <xf numFmtId="3" fontId="28" fillId="4" borderId="72" xfId="3" applyNumberFormat="1" applyFont="1" applyFill="1" applyBorder="1" applyAlignment="1">
      <alignment horizontal="center" vertical="center"/>
    </xf>
    <xf numFmtId="170" fontId="28" fillId="0" borderId="72" xfId="0" applyNumberFormat="1" applyFont="1" applyFill="1" applyBorder="1" applyAlignment="1">
      <alignment horizontal="center" vertical="center"/>
    </xf>
    <xf numFmtId="3" fontId="28" fillId="4" borderId="72" xfId="0" applyNumberFormat="1" applyFont="1" applyFill="1" applyBorder="1" applyAlignment="1">
      <alignment horizontal="center" vertical="center"/>
    </xf>
    <xf numFmtId="166" fontId="28" fillId="4" borderId="60" xfId="3" applyNumberFormat="1" applyFont="1" applyFill="1" applyBorder="1" applyAlignment="1">
      <alignment horizontal="center" vertical="center"/>
    </xf>
    <xf numFmtId="3" fontId="28" fillId="4" borderId="60" xfId="3" applyNumberFormat="1" applyFont="1" applyFill="1" applyBorder="1" applyAlignment="1">
      <alignment horizontal="center" vertical="center"/>
    </xf>
    <xf numFmtId="3" fontId="28" fillId="4" borderId="60" xfId="0" applyNumberFormat="1" applyFont="1" applyFill="1" applyBorder="1" applyAlignment="1">
      <alignment horizontal="center" vertical="center"/>
    </xf>
    <xf numFmtId="3" fontId="28" fillId="4" borderId="86" xfId="3" applyNumberFormat="1" applyFont="1" applyFill="1" applyBorder="1" applyAlignment="1">
      <alignment horizontal="center" vertical="center"/>
    </xf>
    <xf numFmtId="4" fontId="28" fillId="4" borderId="86" xfId="0" applyNumberFormat="1" applyFont="1" applyFill="1" applyBorder="1" applyAlignment="1">
      <alignment horizontal="center" vertical="center"/>
    </xf>
    <xf numFmtId="3" fontId="10" fillId="4" borderId="86" xfId="0" applyNumberFormat="1" applyFont="1" applyFill="1" applyBorder="1" applyAlignment="1">
      <alignment horizontal="center" vertical="center"/>
    </xf>
    <xf numFmtId="164" fontId="69" fillId="61" borderId="10" xfId="0" applyNumberFormat="1" applyFont="1" applyFill="1" applyBorder="1" applyAlignment="1">
      <alignment horizontal="center" vertical="center" wrapText="1"/>
    </xf>
    <xf numFmtId="3" fontId="28" fillId="0" borderId="80" xfId="0" applyNumberFormat="1" applyFont="1" applyFill="1" applyBorder="1" applyAlignment="1">
      <alignment horizontal="center" vertical="center"/>
    </xf>
    <xf numFmtId="164" fontId="69" fillId="61" borderId="34" xfId="0" applyNumberFormat="1" applyFont="1" applyFill="1" applyBorder="1" applyAlignment="1">
      <alignment horizontal="center" vertical="center" wrapText="1"/>
    </xf>
    <xf numFmtId="4" fontId="45" fillId="0" borderId="17" xfId="0" applyNumberFormat="1" applyFont="1" applyFill="1" applyBorder="1" applyAlignment="1">
      <alignment horizontal="center" vertical="center"/>
    </xf>
    <xf numFmtId="171" fontId="10" fillId="0" borderId="11" xfId="0" applyNumberFormat="1" applyFont="1" applyFill="1" applyBorder="1" applyAlignment="1">
      <alignment horizontal="center" vertical="center"/>
    </xf>
    <xf numFmtId="0" fontId="10" fillId="4" borderId="23" xfId="0" applyFont="1" applyFill="1" applyBorder="1" applyAlignment="1">
      <alignment horizontal="center" vertical="center" wrapText="1"/>
    </xf>
    <xf numFmtId="0" fontId="10" fillId="4" borderId="38" xfId="0" applyFont="1" applyFill="1" applyBorder="1" applyAlignment="1">
      <alignment horizontal="center" vertical="center" wrapText="1"/>
    </xf>
    <xf numFmtId="170" fontId="10" fillId="0" borderId="60" xfId="0" applyNumberFormat="1" applyFont="1" applyFill="1" applyBorder="1" applyAlignment="1">
      <alignment horizontal="center" vertical="center"/>
    </xf>
    <xf numFmtId="170" fontId="0" fillId="4" borderId="60" xfId="0" applyNumberFormat="1" applyFill="1" applyBorder="1" applyAlignment="1">
      <alignment horizontal="center" vertical="center"/>
    </xf>
    <xf numFmtId="4" fontId="0" fillId="4" borderId="60" xfId="0" applyNumberFormat="1" applyFill="1" applyBorder="1" applyAlignment="1">
      <alignment horizontal="center" vertical="center"/>
    </xf>
    <xf numFmtId="3" fontId="10" fillId="0" borderId="60" xfId="0" applyNumberFormat="1" applyFont="1" applyFill="1" applyBorder="1" applyAlignment="1">
      <alignment horizontal="center" vertical="center"/>
    </xf>
    <xf numFmtId="3" fontId="10" fillId="0" borderId="58" xfId="0" applyNumberFormat="1" applyFont="1" applyFill="1" applyBorder="1" applyAlignment="1">
      <alignment horizontal="center" vertical="center"/>
    </xf>
    <xf numFmtId="170" fontId="10" fillId="0" borderId="61" xfId="0" applyNumberFormat="1" applyFont="1" applyFill="1" applyBorder="1" applyAlignment="1">
      <alignment horizontal="center" vertical="center"/>
    </xf>
    <xf numFmtId="170" fontId="10" fillId="0" borderId="59" xfId="0" applyNumberFormat="1" applyFont="1" applyFill="1" applyBorder="1" applyAlignment="1">
      <alignment horizontal="center" vertical="center"/>
    </xf>
    <xf numFmtId="164" fontId="69" fillId="61" borderId="9" xfId="0" applyNumberFormat="1" applyFont="1" applyFill="1" applyBorder="1" applyAlignment="1">
      <alignment horizontal="center" vertical="center" wrapText="1"/>
    </xf>
    <xf numFmtId="3" fontId="0" fillId="59" borderId="71" xfId="0" applyNumberFormat="1" applyFill="1" applyBorder="1" applyAlignment="1">
      <alignment horizontal="center" vertical="center"/>
    </xf>
    <xf numFmtId="3" fontId="0" fillId="59" borderId="73" xfId="0" applyNumberFormat="1" applyFill="1" applyBorder="1" applyAlignment="1">
      <alignment horizontal="center" vertical="center"/>
    </xf>
    <xf numFmtId="170" fontId="0" fillId="0" borderId="76" xfId="0" applyNumberFormat="1" applyFill="1" applyBorder="1" applyAlignment="1">
      <alignment horizontal="center" vertical="center"/>
    </xf>
    <xf numFmtId="170" fontId="0" fillId="0" borderId="61" xfId="0" applyNumberFormat="1" applyFill="1" applyBorder="1" applyAlignment="1">
      <alignment horizontal="center" vertical="center"/>
    </xf>
    <xf numFmtId="0" fontId="13" fillId="4" borderId="11" xfId="0" applyFont="1" applyFill="1" applyBorder="1" applyAlignment="1">
      <alignment horizontal="right" vertical="center"/>
    </xf>
    <xf numFmtId="164" fontId="0" fillId="59" borderId="110" xfId="0" applyNumberFormat="1" applyFill="1" applyBorder="1" applyAlignment="1">
      <alignment horizontal="center" vertical="center"/>
    </xf>
    <xf numFmtId="164" fontId="0" fillId="59" borderId="84" xfId="0" applyNumberFormat="1" applyFill="1" applyBorder="1" applyAlignment="1">
      <alignment horizontal="center" vertical="center"/>
    </xf>
    <xf numFmtId="4" fontId="0" fillId="0" borderId="61" xfId="0" applyNumberFormat="1" applyFill="1" applyBorder="1" applyAlignment="1">
      <alignment horizontal="center" vertical="center"/>
    </xf>
    <xf numFmtId="171" fontId="0" fillId="0" borderId="76" xfId="0" applyNumberFormat="1" applyFill="1" applyBorder="1" applyAlignment="1">
      <alignment horizontal="center" vertical="center"/>
    </xf>
    <xf numFmtId="171" fontId="0" fillId="0" borderId="61" xfId="0" applyNumberFormat="1" applyFill="1" applyBorder="1" applyAlignment="1">
      <alignment horizontal="center" vertical="center"/>
    </xf>
    <xf numFmtId="0" fontId="10" fillId="4" borderId="74" xfId="0" applyFont="1" applyFill="1" applyBorder="1" applyAlignment="1">
      <alignment horizontal="center" vertical="center" wrapText="1"/>
    </xf>
    <xf numFmtId="164" fontId="0" fillId="59" borderId="62" xfId="0" applyNumberFormat="1" applyFill="1" applyBorder="1" applyAlignment="1">
      <alignment horizontal="center" vertical="center"/>
    </xf>
    <xf numFmtId="164" fontId="0" fillId="59" borderId="79" xfId="0" applyNumberFormat="1" applyFill="1" applyBorder="1" applyAlignment="1">
      <alignment horizontal="center" vertical="center"/>
    </xf>
    <xf numFmtId="170" fontId="0" fillId="0" borderId="74" xfId="0" applyNumberFormat="1" applyFill="1" applyBorder="1" applyAlignment="1">
      <alignment horizontal="center" vertical="center"/>
    </xf>
    <xf numFmtId="170" fontId="0" fillId="0" borderId="63" xfId="0" applyNumberFormat="1" applyFill="1" applyBorder="1" applyAlignment="1">
      <alignment horizontal="center" vertical="center"/>
    </xf>
    <xf numFmtId="170" fontId="13" fillId="0" borderId="11" xfId="0" applyNumberFormat="1" applyFont="1" applyFill="1" applyBorder="1" applyAlignment="1">
      <alignment horizontal="center" vertical="center"/>
    </xf>
    <xf numFmtId="3" fontId="69" fillId="61" borderId="21" xfId="0" applyNumberFormat="1" applyFont="1" applyFill="1" applyBorder="1" applyAlignment="1">
      <alignment horizontal="center" vertical="center" wrapText="1"/>
    </xf>
    <xf numFmtId="3" fontId="69" fillId="61" borderId="24" xfId="0" applyNumberFormat="1" applyFont="1" applyFill="1" applyBorder="1" applyAlignment="1">
      <alignment horizontal="center" vertical="center" wrapText="1"/>
    </xf>
    <xf numFmtId="3" fontId="10" fillId="0" borderId="62" xfId="0" applyNumberFormat="1" applyFont="1" applyFill="1" applyBorder="1" applyAlignment="1">
      <alignment horizontal="center" vertical="center"/>
    </xf>
    <xf numFmtId="168" fontId="10" fillId="0" borderId="61" xfId="0" applyNumberFormat="1" applyFont="1" applyFill="1" applyBorder="1" applyAlignment="1">
      <alignment horizontal="center" vertical="center"/>
    </xf>
    <xf numFmtId="168" fontId="10" fillId="0" borderId="63" xfId="0" applyNumberFormat="1" applyFont="1" applyFill="1" applyBorder="1" applyAlignment="1">
      <alignment horizontal="center" vertical="center"/>
    </xf>
    <xf numFmtId="168" fontId="13" fillId="0" borderId="49" xfId="0" applyNumberFormat="1" applyFont="1" applyBorder="1" applyAlignment="1">
      <alignment horizontal="center" vertical="center" wrapText="1"/>
    </xf>
    <xf numFmtId="3" fontId="10" fillId="59" borderId="110" xfId="0" applyNumberFormat="1" applyFont="1" applyFill="1" applyBorder="1" applyAlignment="1">
      <alignment horizontal="center" vertical="center" wrapText="1"/>
    </xf>
    <xf numFmtId="0" fontId="10" fillId="59" borderId="72" xfId="0" applyFont="1" applyFill="1" applyBorder="1" applyAlignment="1">
      <alignment horizontal="center" vertical="center" wrapText="1"/>
    </xf>
    <xf numFmtId="3" fontId="10" fillId="59" borderId="72" xfId="0" applyNumberFormat="1" applyFont="1" applyFill="1" applyBorder="1" applyAlignment="1">
      <alignment horizontal="center" vertical="center" wrapText="1"/>
    </xf>
    <xf numFmtId="0" fontId="69" fillId="61" borderId="115" xfId="0" applyFont="1" applyFill="1" applyBorder="1" applyAlignment="1">
      <alignment horizontal="center" vertical="center" wrapText="1"/>
    </xf>
    <xf numFmtId="170" fontId="13" fillId="0" borderId="11" xfId="0" applyNumberFormat="1" applyFont="1" applyBorder="1" applyAlignment="1">
      <alignment horizontal="center" vertical="center" wrapText="1"/>
    </xf>
    <xf numFmtId="170" fontId="10" fillId="4" borderId="61" xfId="0" applyNumberFormat="1" applyFont="1" applyFill="1" applyBorder="1" applyAlignment="1">
      <alignment horizontal="center" vertical="center" wrapText="1"/>
    </xf>
    <xf numFmtId="3" fontId="10" fillId="59" borderId="60" xfId="0" applyNumberFormat="1" applyFont="1" applyFill="1" applyBorder="1" applyAlignment="1">
      <alignment horizontal="center" vertical="center" wrapText="1"/>
    </xf>
    <xf numFmtId="3" fontId="13" fillId="4" borderId="49" xfId="0" applyNumberFormat="1" applyFont="1" applyFill="1" applyBorder="1" applyAlignment="1">
      <alignment horizontal="center" vertical="center" wrapText="1"/>
    </xf>
    <xf numFmtId="170" fontId="10" fillId="4" borderId="74" xfId="0" applyNumberFormat="1" applyFont="1" applyFill="1" applyBorder="1" applyAlignment="1">
      <alignment horizontal="center" vertical="center"/>
    </xf>
    <xf numFmtId="170" fontId="13" fillId="4" borderId="50" xfId="0" applyNumberFormat="1" applyFont="1" applyFill="1" applyBorder="1" applyAlignment="1">
      <alignment horizontal="center" vertical="center" wrapText="1"/>
    </xf>
    <xf numFmtId="168" fontId="13" fillId="0" borderId="48" xfId="0" applyNumberFormat="1" applyFont="1" applyBorder="1" applyAlignment="1">
      <alignment horizontal="center" vertical="center" wrapText="1"/>
    </xf>
    <xf numFmtId="170" fontId="10" fillId="0" borderId="76" xfId="0" applyNumberFormat="1" applyFont="1" applyFill="1" applyBorder="1" applyAlignment="1">
      <alignment horizontal="center" vertical="center"/>
    </xf>
    <xf numFmtId="168" fontId="13" fillId="0" borderId="11" xfId="0" applyNumberFormat="1" applyFont="1" applyBorder="1" applyAlignment="1">
      <alignment horizontal="center" vertical="center" wrapText="1"/>
    </xf>
    <xf numFmtId="168" fontId="10" fillId="0" borderId="74" xfId="0" applyNumberFormat="1" applyFont="1" applyFill="1" applyBorder="1" applyAlignment="1">
      <alignment horizontal="center" vertical="center"/>
    </xf>
    <xf numFmtId="168" fontId="10" fillId="0" borderId="76" xfId="0" applyNumberFormat="1" applyFont="1" applyFill="1" applyBorder="1" applyAlignment="1">
      <alignment horizontal="center" vertical="center"/>
    </xf>
    <xf numFmtId="170" fontId="10" fillId="4" borderId="63" xfId="0" applyNumberFormat="1" applyFont="1" applyFill="1" applyBorder="1" applyAlignment="1">
      <alignment horizontal="center" vertical="center" wrapText="1"/>
    </xf>
    <xf numFmtId="0" fontId="10" fillId="59" borderId="62" xfId="0" applyFont="1" applyFill="1" applyBorder="1" applyAlignment="1">
      <alignment horizontal="center" vertical="center" wrapText="1"/>
    </xf>
    <xf numFmtId="3" fontId="10" fillId="59" borderId="62" xfId="0" applyNumberFormat="1" applyFont="1" applyFill="1" applyBorder="1" applyAlignment="1">
      <alignment horizontal="center" vertical="center" wrapText="1"/>
    </xf>
    <xf numFmtId="0" fontId="10" fillId="4" borderId="74" xfId="0" applyFont="1" applyFill="1" applyBorder="1" applyAlignment="1">
      <alignment horizontal="left" vertical="top" wrapText="1"/>
    </xf>
    <xf numFmtId="3" fontId="10" fillId="4" borderId="60" xfId="0" applyNumberFormat="1" applyFont="1" applyFill="1" applyBorder="1" applyAlignment="1">
      <alignment horizontal="center" vertical="center" wrapText="1"/>
    </xf>
    <xf numFmtId="0" fontId="10" fillId="4" borderId="76" xfId="0" applyFont="1" applyFill="1" applyBorder="1" applyAlignment="1">
      <alignment horizontal="left" vertical="top" wrapText="1"/>
    </xf>
    <xf numFmtId="0" fontId="10" fillId="59" borderId="73" xfId="0" applyFont="1" applyFill="1" applyBorder="1" applyAlignment="1">
      <alignment horizontal="center" vertical="center" wrapText="1"/>
    </xf>
    <xf numFmtId="3" fontId="10" fillId="4" borderId="72" xfId="0" applyNumberFormat="1" applyFont="1" applyFill="1" applyBorder="1" applyAlignment="1">
      <alignment horizontal="center" vertical="center" wrapText="1"/>
    </xf>
    <xf numFmtId="0" fontId="10" fillId="4" borderId="71" xfId="0" applyFont="1" applyFill="1" applyBorder="1" applyAlignment="1">
      <alignment horizontal="left" vertical="top" wrapText="1"/>
    </xf>
    <xf numFmtId="0" fontId="69" fillId="61" borderId="112" xfId="0" applyFont="1" applyFill="1" applyBorder="1" applyAlignment="1">
      <alignment horizontal="center" vertical="center" wrapText="1"/>
    </xf>
    <xf numFmtId="3" fontId="69" fillId="61" borderId="20" xfId="0" applyNumberFormat="1" applyFont="1" applyFill="1" applyBorder="1" applyAlignment="1">
      <alignment horizontal="center" vertical="center" wrapText="1"/>
    </xf>
    <xf numFmtId="0" fontId="10" fillId="41" borderId="112" xfId="19" applyFont="1" applyFill="1" applyBorder="1" applyAlignment="1">
      <alignment horizontal="center" wrapText="1"/>
    </xf>
    <xf numFmtId="3" fontId="10" fillId="40" borderId="80" xfId="19" applyNumberFormat="1" applyFont="1" applyFill="1" applyBorder="1" applyAlignment="1">
      <alignment horizontal="center" wrapText="1"/>
    </xf>
    <xf numFmtId="3" fontId="10" fillId="40" borderId="60" xfId="19" applyNumberFormat="1" applyFont="1" applyFill="1" applyBorder="1" applyAlignment="1">
      <alignment horizontal="center" wrapText="1"/>
    </xf>
    <xf numFmtId="3" fontId="10" fillId="40" borderId="62" xfId="19" applyNumberFormat="1" applyFont="1" applyFill="1" applyBorder="1" applyAlignment="1">
      <alignment horizontal="center" wrapText="1"/>
    </xf>
    <xf numFmtId="3" fontId="10" fillId="41" borderId="16" xfId="19" applyNumberFormat="1" applyFont="1" applyFill="1" applyBorder="1" applyAlignment="1">
      <alignment horizontal="center" wrapText="1"/>
    </xf>
    <xf numFmtId="3" fontId="10" fillId="41" borderId="112" xfId="19" applyNumberFormat="1" applyFont="1" applyFill="1" applyBorder="1" applyAlignment="1">
      <alignment horizontal="center" wrapText="1"/>
    </xf>
    <xf numFmtId="3" fontId="13" fillId="0" borderId="17" xfId="19" applyNumberFormat="1" applyFont="1" applyFill="1" applyBorder="1" applyAlignment="1">
      <alignment horizontal="center" wrapText="1"/>
    </xf>
    <xf numFmtId="170" fontId="10" fillId="39" borderId="62" xfId="19" applyNumberFormat="1" applyFont="1" applyFill="1" applyBorder="1" applyAlignment="1">
      <alignment horizontal="center" vertical="center" wrapText="1"/>
    </xf>
    <xf numFmtId="170" fontId="10" fillId="39" borderId="60" xfId="19" applyNumberFormat="1" applyFont="1" applyFill="1" applyBorder="1" applyAlignment="1">
      <alignment horizontal="center" vertical="center" wrapText="1"/>
    </xf>
    <xf numFmtId="170" fontId="10" fillId="40" borderId="60" xfId="19" applyNumberFormat="1" applyFont="1" applyFill="1" applyBorder="1" applyAlignment="1">
      <alignment horizontal="center" wrapText="1"/>
    </xf>
    <xf numFmtId="4" fontId="10" fillId="40" borderId="60" xfId="19" applyNumberFormat="1" applyFont="1" applyFill="1" applyBorder="1" applyAlignment="1">
      <alignment horizontal="center" wrapText="1"/>
    </xf>
    <xf numFmtId="171" fontId="10" fillId="40" borderId="60" xfId="19" applyNumberFormat="1" applyFont="1" applyFill="1" applyBorder="1" applyAlignment="1">
      <alignment horizontal="center" wrapText="1"/>
    </xf>
    <xf numFmtId="170" fontId="10" fillId="40" borderId="62" xfId="19" applyNumberFormat="1" applyFont="1" applyFill="1" applyBorder="1" applyAlignment="1">
      <alignment horizontal="center" wrapText="1"/>
    </xf>
    <xf numFmtId="4" fontId="10" fillId="40" borderId="72" xfId="19" applyNumberFormat="1" applyFont="1" applyFill="1" applyBorder="1" applyAlignment="1">
      <alignment horizontal="center" wrapText="1"/>
    </xf>
    <xf numFmtId="4" fontId="10" fillId="40" borderId="62" xfId="19" applyNumberFormat="1" applyFont="1" applyFill="1" applyBorder="1" applyAlignment="1">
      <alignment horizontal="center" wrapText="1"/>
    </xf>
    <xf numFmtId="170" fontId="10" fillId="41" borderId="112" xfId="19" applyNumberFormat="1" applyFont="1" applyFill="1" applyBorder="1" applyAlignment="1">
      <alignment horizontal="center" wrapText="1"/>
    </xf>
    <xf numFmtId="171" fontId="10" fillId="41" borderId="112" xfId="19" applyNumberFormat="1" applyFont="1" applyFill="1" applyBorder="1" applyAlignment="1">
      <alignment horizontal="center" wrapText="1"/>
    </xf>
    <xf numFmtId="170" fontId="13" fillId="0" borderId="17" xfId="19" applyNumberFormat="1" applyFont="1" applyFill="1" applyBorder="1" applyAlignment="1">
      <alignment horizontal="center" wrapText="1"/>
    </xf>
    <xf numFmtId="37" fontId="10" fillId="36" borderId="73" xfId="15" applyNumberFormat="1" applyFont="1" applyFill="1" applyBorder="1" applyAlignment="1">
      <alignment horizontal="center" vertical="center" wrapText="1"/>
    </xf>
    <xf numFmtId="0" fontId="10" fillId="40" borderId="86" xfId="19" applyFont="1" applyFill="1" applyBorder="1" applyAlignment="1">
      <alignment horizontal="center" wrapText="1"/>
    </xf>
    <xf numFmtId="37" fontId="10" fillId="36" borderId="88" xfId="15" applyNumberFormat="1" applyFont="1" applyFill="1" applyBorder="1" applyAlignment="1">
      <alignment horizontal="center" vertical="center" wrapText="1"/>
    </xf>
    <xf numFmtId="37" fontId="10" fillId="37" borderId="10" xfId="15" applyNumberFormat="1" applyFont="1" applyFill="1" applyBorder="1" applyAlignment="1">
      <alignment horizontal="center" vertical="center" wrapText="1"/>
    </xf>
    <xf numFmtId="37" fontId="10" fillId="37" borderId="114" xfId="15" applyNumberFormat="1" applyFont="1" applyFill="1" applyBorder="1" applyAlignment="1">
      <alignment horizontal="center" vertical="center" wrapText="1"/>
    </xf>
    <xf numFmtId="10" fontId="10" fillId="0" borderId="112" xfId="0" applyNumberFormat="1" applyFont="1" applyFill="1" applyBorder="1" applyAlignment="1">
      <alignment horizontal="center" vertical="center"/>
    </xf>
    <xf numFmtId="0" fontId="10" fillId="4" borderId="113" xfId="0" applyFont="1" applyFill="1" applyBorder="1" applyAlignment="1">
      <alignment horizontal="center" vertical="center"/>
    </xf>
    <xf numFmtId="3" fontId="28" fillId="0" borderId="112" xfId="0" applyNumberFormat="1" applyFont="1" applyFill="1" applyBorder="1" applyAlignment="1">
      <alignment horizontal="center" vertical="center" wrapText="1"/>
    </xf>
    <xf numFmtId="0" fontId="69" fillId="60" borderId="95" xfId="19" applyFont="1" applyFill="1" applyBorder="1" applyAlignment="1">
      <alignment horizontal="center" vertical="center" wrapText="1"/>
    </xf>
    <xf numFmtId="170" fontId="10" fillId="0" borderId="72" xfId="0" applyNumberFormat="1" applyFont="1" applyFill="1" applyBorder="1" applyAlignment="1">
      <alignment horizontal="center" vertical="center"/>
    </xf>
    <xf numFmtId="3" fontId="10" fillId="0" borderId="72" xfId="0" applyNumberFormat="1" applyFont="1" applyFill="1" applyBorder="1" applyAlignment="1">
      <alignment horizontal="center" vertical="center"/>
    </xf>
    <xf numFmtId="170" fontId="10" fillId="0" borderId="73" xfId="0" applyNumberFormat="1" applyFont="1" applyFill="1" applyBorder="1" applyAlignment="1">
      <alignment horizontal="center" vertical="center"/>
    </xf>
    <xf numFmtId="0" fontId="19" fillId="4" borderId="0" xfId="0" applyFont="1" applyFill="1"/>
    <xf numFmtId="0" fontId="19" fillId="4" borderId="0" xfId="0" applyFont="1" applyFill="1" applyAlignment="1">
      <alignment horizontal="left" vertical="top"/>
    </xf>
    <xf numFmtId="0" fontId="19" fillId="4" borderId="0" xfId="0" applyFont="1" applyFill="1" applyAlignment="1">
      <alignment horizontal="center" vertical="center"/>
    </xf>
    <xf numFmtId="10" fontId="10" fillId="0" borderId="66" xfId="0" applyNumberFormat="1" applyFont="1" applyFill="1" applyBorder="1" applyAlignment="1">
      <alignment horizontal="center" vertical="center" wrapText="1"/>
    </xf>
    <xf numFmtId="173" fontId="10" fillId="0" borderId="90" xfId="0" applyNumberFormat="1" applyFont="1" applyFill="1" applyBorder="1" applyAlignment="1">
      <alignment horizontal="center" vertical="center"/>
    </xf>
    <xf numFmtId="2" fontId="10" fillId="4" borderId="76" xfId="0" applyNumberFormat="1" applyFont="1" applyFill="1" applyBorder="1" applyAlignment="1">
      <alignment horizontal="center" vertical="center"/>
    </xf>
    <xf numFmtId="2" fontId="10" fillId="4" borderId="63" xfId="0" applyNumberFormat="1" applyFont="1" applyFill="1" applyBorder="1" applyAlignment="1">
      <alignment horizontal="center" vertical="center"/>
    </xf>
    <xf numFmtId="2" fontId="10" fillId="0" borderId="61" xfId="0" applyNumberFormat="1" applyFont="1" applyFill="1" applyBorder="1" applyAlignment="1">
      <alignment horizontal="center" vertical="center"/>
    </xf>
    <xf numFmtId="167" fontId="10" fillId="4" borderId="61" xfId="0" applyNumberFormat="1" applyFont="1" applyFill="1" applyBorder="1" applyAlignment="1">
      <alignment horizontal="center" vertical="center"/>
    </xf>
    <xf numFmtId="3" fontId="13" fillId="0" borderId="49" xfId="0" applyNumberFormat="1" applyFont="1" applyBorder="1" applyAlignment="1">
      <alignment horizontal="center" vertical="center" wrapText="1"/>
    </xf>
    <xf numFmtId="0" fontId="10" fillId="4" borderId="70" xfId="0" applyFont="1" applyFill="1" applyBorder="1" applyAlignment="1">
      <alignment horizontal="center" vertical="center" wrapText="1"/>
    </xf>
    <xf numFmtId="3" fontId="28" fillId="0" borderId="16" xfId="0" applyNumberFormat="1" applyFont="1" applyFill="1" applyBorder="1" applyAlignment="1">
      <alignment horizontal="center" vertical="center"/>
    </xf>
    <xf numFmtId="170" fontId="10" fillId="0" borderId="80" xfId="0" applyNumberFormat="1" applyFont="1" applyFill="1" applyBorder="1" applyAlignment="1">
      <alignment horizontal="center" vertical="center"/>
    </xf>
    <xf numFmtId="3" fontId="10" fillId="0" borderId="80" xfId="0" applyNumberFormat="1" applyFont="1" applyFill="1" applyBorder="1" applyAlignment="1">
      <alignment horizontal="center" vertical="center"/>
    </xf>
    <xf numFmtId="170" fontId="10" fillId="0" borderId="81" xfId="0" applyNumberFormat="1" applyFont="1" applyFill="1" applyBorder="1" applyAlignment="1">
      <alignment horizontal="center" vertical="center"/>
    </xf>
    <xf numFmtId="4" fontId="45" fillId="59" borderId="112" xfId="0" applyNumberFormat="1" applyFont="1" applyFill="1" applyBorder="1" applyAlignment="1">
      <alignment horizontal="center" vertical="center"/>
    </xf>
    <xf numFmtId="4" fontId="45" fillId="59" borderId="114" xfId="0" applyNumberFormat="1" applyFont="1" applyFill="1" applyBorder="1" applyAlignment="1">
      <alignment horizontal="center" vertical="center"/>
    </xf>
    <xf numFmtId="3" fontId="10" fillId="0" borderId="112" xfId="0" applyNumberFormat="1" applyFont="1" applyFill="1" applyBorder="1" applyAlignment="1">
      <alignment horizontal="center" vertical="center"/>
    </xf>
    <xf numFmtId="3" fontId="10" fillId="0" borderId="118" xfId="0" applyNumberFormat="1" applyFont="1" applyFill="1" applyBorder="1" applyAlignment="1">
      <alignment horizontal="center" vertical="center"/>
    </xf>
    <xf numFmtId="3" fontId="45" fillId="0" borderId="17" xfId="0" applyNumberFormat="1" applyFont="1" applyFill="1" applyBorder="1" applyAlignment="1">
      <alignment horizontal="center" vertical="center" wrapText="1"/>
    </xf>
    <xf numFmtId="10" fontId="45" fillId="0" borderId="17" xfId="0" applyNumberFormat="1" applyFont="1" applyFill="1" applyBorder="1" applyAlignment="1">
      <alignment horizontal="center" vertical="center" wrapText="1"/>
    </xf>
    <xf numFmtId="4" fontId="45" fillId="0" borderId="17" xfId="0" applyNumberFormat="1" applyFont="1" applyFill="1" applyBorder="1" applyAlignment="1">
      <alignment horizontal="center" vertical="center" wrapText="1"/>
    </xf>
    <xf numFmtId="171" fontId="10" fillId="4" borderId="60" xfId="0" applyNumberFormat="1" applyFont="1" applyFill="1" applyBorder="1" applyAlignment="1">
      <alignment horizontal="center" vertical="center" wrapText="1"/>
    </xf>
    <xf numFmtId="0" fontId="10" fillId="0" borderId="117" xfId="0" applyFont="1" applyFill="1" applyBorder="1" applyAlignment="1">
      <alignment horizontal="center" vertical="center" wrapText="1"/>
    </xf>
    <xf numFmtId="3" fontId="10" fillId="4" borderId="120" xfId="0" applyNumberFormat="1" applyFont="1" applyFill="1" applyBorder="1" applyAlignment="1">
      <alignment horizontal="center" vertical="center"/>
    </xf>
    <xf numFmtId="0" fontId="10" fillId="0" borderId="58"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62" xfId="0"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166" fontId="19" fillId="4" borderId="0" xfId="0" applyNumberFormat="1" applyFont="1" applyFill="1" applyAlignment="1"/>
    <xf numFmtId="0" fontId="75" fillId="4" borderId="10" xfId="2" applyFont="1" applyFill="1" applyBorder="1" applyAlignment="1" applyProtection="1">
      <alignment horizontal="center" vertical="center" wrapText="1"/>
    </xf>
    <xf numFmtId="0" fontId="10" fillId="0" borderId="115" xfId="0" applyFont="1" applyFill="1" applyBorder="1" applyAlignment="1">
      <alignment horizontal="center" vertical="center" wrapText="1"/>
    </xf>
    <xf numFmtId="170" fontId="13" fillId="0" borderId="5" xfId="0" applyNumberFormat="1" applyFont="1" applyFill="1" applyBorder="1" applyAlignment="1">
      <alignment horizontal="center" vertical="center"/>
    </xf>
    <xf numFmtId="37" fontId="10" fillId="0" borderId="58" xfId="1" applyNumberFormat="1" applyFont="1" applyFill="1" applyBorder="1" applyAlignment="1">
      <alignment horizontal="center" vertical="center" wrapText="1"/>
    </xf>
    <xf numFmtId="37" fontId="10" fillId="0" borderId="62" xfId="1" applyNumberFormat="1" applyFont="1" applyFill="1" applyBorder="1" applyAlignment="1">
      <alignment horizontal="center" vertical="center" wrapText="1"/>
    </xf>
    <xf numFmtId="0" fontId="19" fillId="4" borderId="50" xfId="0" applyFont="1" applyFill="1" applyBorder="1" applyAlignment="1">
      <alignment horizontal="center" vertical="center"/>
    </xf>
    <xf numFmtId="0" fontId="19" fillId="4" borderId="36" xfId="0" applyFont="1" applyFill="1" applyBorder="1" applyAlignment="1">
      <alignment horizontal="center" vertical="top"/>
    </xf>
    <xf numFmtId="3" fontId="0" fillId="4" borderId="86" xfId="0" applyNumberFormat="1" applyFill="1" applyBorder="1" applyAlignment="1">
      <alignment horizontal="center" vertical="center"/>
    </xf>
    <xf numFmtId="3" fontId="0" fillId="59" borderId="86" xfId="0" applyNumberFormat="1" applyFill="1" applyBorder="1" applyAlignment="1">
      <alignment horizontal="center" vertical="center"/>
    </xf>
    <xf numFmtId="4" fontId="0" fillId="4" borderId="86" xfId="0" applyNumberFormat="1" applyFill="1" applyBorder="1" applyAlignment="1">
      <alignment horizontal="center" vertical="center"/>
    </xf>
    <xf numFmtId="180" fontId="0" fillId="4" borderId="86" xfId="0" applyNumberFormat="1" applyFill="1" applyBorder="1" applyAlignment="1">
      <alignment horizontal="center" vertical="center"/>
    </xf>
    <xf numFmtId="170" fontId="0" fillId="4" borderId="86" xfId="0" applyNumberFormat="1" applyFill="1" applyBorder="1" applyAlignment="1">
      <alignment horizontal="center" vertical="center"/>
    </xf>
    <xf numFmtId="183" fontId="0" fillId="59" borderId="61" xfId="0" applyNumberFormat="1" applyFill="1" applyBorder="1" applyAlignment="1">
      <alignment horizontal="center" vertical="center"/>
    </xf>
    <xf numFmtId="3" fontId="0" fillId="4" borderId="84" xfId="0" applyNumberFormat="1" applyFill="1" applyBorder="1" applyAlignment="1">
      <alignment horizontal="center" vertical="center"/>
    </xf>
    <xf numFmtId="3" fontId="0" fillId="4" borderId="87" xfId="0" applyNumberFormat="1" applyFill="1" applyBorder="1" applyAlignment="1">
      <alignment horizontal="center" vertical="center"/>
    </xf>
    <xf numFmtId="180" fontId="0" fillId="4" borderId="60" xfId="0" applyNumberFormat="1" applyFill="1" applyBorder="1" applyAlignment="1">
      <alignment horizontal="center" vertical="center"/>
    </xf>
    <xf numFmtId="183" fontId="0" fillId="59" borderId="86" xfId="0" applyNumberFormat="1" applyFill="1" applyBorder="1" applyAlignment="1">
      <alignment horizontal="center" vertical="center"/>
    </xf>
    <xf numFmtId="175" fontId="0" fillId="4" borderId="88" xfId="0" applyNumberFormat="1" applyFill="1" applyBorder="1" applyAlignment="1">
      <alignment horizontal="center" vertical="center"/>
    </xf>
    <xf numFmtId="170" fontId="13" fillId="0" borderId="53" xfId="0" applyNumberFormat="1" applyFont="1" applyFill="1" applyBorder="1" applyAlignment="1">
      <alignment horizontal="center" vertical="center"/>
    </xf>
    <xf numFmtId="171" fontId="10" fillId="0" borderId="113" xfId="0" applyNumberFormat="1" applyFont="1" applyFill="1" applyBorder="1" applyAlignment="1">
      <alignment horizontal="center" vertical="center"/>
    </xf>
    <xf numFmtId="171" fontId="13" fillId="0" borderId="11" xfId="0" applyNumberFormat="1" applyFont="1" applyFill="1" applyBorder="1" applyAlignment="1">
      <alignment horizontal="center" vertical="center"/>
    </xf>
    <xf numFmtId="37" fontId="10" fillId="39" borderId="59" xfId="19" applyNumberFormat="1" applyFont="1" applyFill="1" applyBorder="1" applyAlignment="1">
      <alignment horizontal="center" vertical="center" wrapText="1"/>
    </xf>
    <xf numFmtId="37" fontId="10" fillId="39" borderId="61" xfId="19" applyNumberFormat="1" applyFont="1" applyFill="1" applyBorder="1" applyAlignment="1">
      <alignment horizontal="center" vertical="center" wrapText="1"/>
    </xf>
    <xf numFmtId="37" fontId="10" fillId="39" borderId="63" xfId="19" applyNumberFormat="1" applyFont="1" applyFill="1" applyBorder="1" applyAlignment="1">
      <alignment horizontal="center" vertical="center" wrapText="1"/>
    </xf>
    <xf numFmtId="37" fontId="10" fillId="39" borderId="73" xfId="19" applyNumberFormat="1" applyFont="1" applyFill="1" applyBorder="1" applyAlignment="1">
      <alignment horizontal="center" vertical="center" wrapText="1"/>
    </xf>
    <xf numFmtId="9" fontId="0" fillId="4" borderId="80" xfId="0" applyNumberFormat="1" applyFill="1" applyBorder="1" applyAlignment="1">
      <alignment horizontal="center" vertical="center"/>
    </xf>
    <xf numFmtId="9" fontId="0" fillId="4" borderId="78" xfId="0" applyNumberFormat="1" applyFill="1" applyBorder="1" applyAlignment="1">
      <alignment horizontal="center" vertical="center"/>
    </xf>
    <xf numFmtId="37" fontId="13" fillId="0" borderId="5" xfId="19" applyNumberFormat="1" applyFont="1" applyFill="1" applyBorder="1" applyAlignment="1">
      <alignment horizontal="center" wrapText="1"/>
    </xf>
    <xf numFmtId="0" fontId="13" fillId="0" borderId="0" xfId="0" applyFont="1"/>
    <xf numFmtId="0" fontId="30" fillId="0" borderId="0" xfId="176"/>
    <xf numFmtId="0" fontId="28" fillId="0" borderId="113" xfId="0" applyFont="1" applyFill="1" applyBorder="1" applyAlignment="1">
      <alignment horizontal="center" vertical="center"/>
    </xf>
    <xf numFmtId="0" fontId="69" fillId="61" borderId="6" xfId="110" applyFont="1" applyFill="1" applyBorder="1" applyAlignment="1">
      <alignment horizontal="center" vertical="center" wrapText="1"/>
    </xf>
    <xf numFmtId="0" fontId="69" fillId="61" borderId="7" xfId="110" applyFont="1" applyFill="1" applyBorder="1" applyAlignment="1">
      <alignment horizontal="center" vertical="center" wrapText="1"/>
    </xf>
    <xf numFmtId="0" fontId="69" fillId="61" borderId="8" xfId="110" applyFont="1" applyFill="1" applyBorder="1" applyAlignment="1">
      <alignment horizontal="center" vertical="center" wrapText="1"/>
    </xf>
    <xf numFmtId="0" fontId="69" fillId="61" borderId="113" xfId="110" applyFont="1" applyFill="1" applyBorder="1" applyAlignment="1">
      <alignment horizontal="center" vertical="center"/>
    </xf>
    <xf numFmtId="0" fontId="69" fillId="61" borderId="112" xfId="110" applyFont="1" applyFill="1" applyBorder="1" applyAlignment="1">
      <alignment horizontal="center" vertical="center" wrapText="1"/>
    </xf>
    <xf numFmtId="0" fontId="45" fillId="0" borderId="11" xfId="110" applyFont="1" applyFill="1" applyBorder="1" applyAlignment="1">
      <alignment horizontal="center" vertical="center" wrapText="1"/>
    </xf>
    <xf numFmtId="169" fontId="27" fillId="4" borderId="0" xfId="10" applyNumberFormat="1" applyFont="1" applyFill="1"/>
    <xf numFmtId="167" fontId="27" fillId="4" borderId="0" xfId="10" applyNumberFormat="1" applyFont="1" applyFill="1"/>
    <xf numFmtId="0" fontId="28" fillId="0" borderId="0" xfId="0" applyFont="1"/>
    <xf numFmtId="9" fontId="28" fillId="0" borderId="0" xfId="3" applyFont="1" applyFill="1" applyBorder="1" applyAlignment="1">
      <alignment horizontal="center" vertical="center"/>
    </xf>
    <xf numFmtId="9" fontId="10" fillId="0" borderId="0" xfId="3" applyFont="1" applyFill="1" applyBorder="1" applyAlignment="1">
      <alignment horizontal="center" vertical="center"/>
    </xf>
    <xf numFmtId="43" fontId="28" fillId="0" borderId="0" xfId="0" applyNumberFormat="1" applyFont="1" applyFill="1" applyBorder="1"/>
    <xf numFmtId="164" fontId="28" fillId="0" borderId="0" xfId="0" applyNumberFormat="1" applyFont="1" applyFill="1" applyBorder="1"/>
    <xf numFmtId="43" fontId="28" fillId="0" borderId="0" xfId="1" applyFont="1" applyFill="1" applyBorder="1"/>
    <xf numFmtId="0" fontId="28" fillId="0" borderId="0" xfId="0" applyFont="1" applyFill="1"/>
    <xf numFmtId="0" fontId="18" fillId="0" borderId="10" xfId="2" applyFill="1" applyBorder="1" applyAlignment="1" applyProtection="1">
      <alignment horizontal="center" vertical="center"/>
    </xf>
    <xf numFmtId="43" fontId="28" fillId="0" borderId="0" xfId="0" applyNumberFormat="1" applyFont="1" applyFill="1" applyBorder="1" applyAlignment="1">
      <alignment horizontal="center" vertical="center"/>
    </xf>
    <xf numFmtId="0" fontId="18" fillId="0" borderId="114" xfId="2" applyBorder="1" applyAlignment="1" applyProtection="1">
      <alignment horizontal="center" vertical="center"/>
    </xf>
    <xf numFmtId="0" fontId="18" fillId="0" borderId="53" xfId="2" applyBorder="1" applyAlignment="1" applyProtection="1">
      <alignment horizontal="center" vertical="center"/>
    </xf>
    <xf numFmtId="0" fontId="82" fillId="0" borderId="113" xfId="0" applyFont="1" applyFill="1" applyBorder="1" applyAlignment="1">
      <alignment horizontal="center" vertical="center" wrapText="1"/>
    </xf>
    <xf numFmtId="0" fontId="82" fillId="0" borderId="11" xfId="0" applyFont="1" applyFill="1" applyBorder="1" applyAlignment="1">
      <alignment horizontal="center" vertical="center" wrapText="1"/>
    </xf>
    <xf numFmtId="168" fontId="10" fillId="0" borderId="0" xfId="0" applyNumberFormat="1" applyFont="1" applyFill="1" applyBorder="1" applyAlignment="1">
      <alignment horizontal="center" vertical="center"/>
    </xf>
    <xf numFmtId="168" fontId="10" fillId="0" borderId="51" xfId="0" applyNumberFormat="1" applyFont="1" applyFill="1" applyBorder="1" applyAlignment="1">
      <alignment horizontal="center" vertical="center"/>
    </xf>
    <xf numFmtId="9" fontId="10" fillId="0" borderId="60" xfId="3" applyFont="1" applyFill="1" applyBorder="1" applyAlignment="1">
      <alignment horizontal="center" vertical="center"/>
    </xf>
    <xf numFmtId="170" fontId="28" fillId="0" borderId="60" xfId="1" applyNumberFormat="1" applyFont="1" applyFill="1" applyBorder="1" applyAlignment="1">
      <alignment horizontal="center" vertical="center"/>
    </xf>
    <xf numFmtId="3" fontId="28" fillId="0" borderId="61" xfId="1" applyNumberFormat="1" applyFont="1" applyFill="1" applyBorder="1" applyAlignment="1">
      <alignment horizontal="center" vertical="center"/>
    </xf>
    <xf numFmtId="0" fontId="28" fillId="0" borderId="76" xfId="0" applyFont="1" applyFill="1" applyBorder="1" applyAlignment="1">
      <alignment horizontal="center" vertical="center"/>
    </xf>
    <xf numFmtId="1" fontId="10" fillId="0" borderId="60" xfId="0" applyNumberFormat="1" applyFont="1" applyFill="1" applyBorder="1" applyAlignment="1">
      <alignment horizontal="center" vertical="center"/>
    </xf>
    <xf numFmtId="3" fontId="28" fillId="67" borderId="60" xfId="1" applyNumberFormat="1" applyFont="1" applyFill="1" applyBorder="1" applyAlignment="1">
      <alignment horizontal="center" vertical="center"/>
    </xf>
    <xf numFmtId="9" fontId="10" fillId="67" borderId="60" xfId="3" applyFont="1" applyFill="1" applyBorder="1" applyAlignment="1">
      <alignment horizontal="center" vertical="center"/>
    </xf>
    <xf numFmtId="0" fontId="83" fillId="0" borderId="76" xfId="0" applyFont="1" applyFill="1" applyBorder="1" applyAlignment="1">
      <alignment horizontal="center" vertical="center"/>
    </xf>
    <xf numFmtId="9" fontId="28" fillId="0" borderId="85" xfId="3" applyFont="1" applyFill="1" applyBorder="1" applyAlignment="1">
      <alignment horizontal="center" vertical="center"/>
    </xf>
    <xf numFmtId="3" fontId="28" fillId="67" borderId="86" xfId="1" applyNumberFormat="1" applyFont="1" applyFill="1" applyBorder="1" applyAlignment="1">
      <alignment horizontal="center" vertical="center"/>
    </xf>
    <xf numFmtId="9" fontId="10" fillId="67" borderId="86" xfId="3" applyFont="1" applyFill="1" applyBorder="1" applyAlignment="1">
      <alignment horizontal="center" vertical="center"/>
    </xf>
    <xf numFmtId="0" fontId="18" fillId="0" borderId="38" xfId="2" applyFill="1" applyBorder="1" applyAlignment="1" applyProtection="1">
      <alignment horizontal="center" vertical="center"/>
    </xf>
    <xf numFmtId="9" fontId="10" fillId="0" borderId="78" xfId="3" applyFont="1" applyFill="1" applyBorder="1" applyAlignment="1">
      <alignment horizontal="center" vertical="center"/>
    </xf>
    <xf numFmtId="170" fontId="28" fillId="0" borderId="78" xfId="1" applyNumberFormat="1" applyFont="1" applyFill="1" applyBorder="1" applyAlignment="1">
      <alignment horizontal="center" vertical="center"/>
    </xf>
    <xf numFmtId="3" fontId="28" fillId="0" borderId="89" xfId="1" applyNumberFormat="1" applyFont="1" applyFill="1" applyBorder="1" applyAlignment="1">
      <alignment horizontal="center" vertical="center"/>
    </xf>
    <xf numFmtId="3" fontId="13" fillId="4" borderId="120" xfId="0" applyNumberFormat="1" applyFont="1" applyFill="1" applyBorder="1" applyAlignment="1">
      <alignment horizontal="center" vertical="center"/>
    </xf>
    <xf numFmtId="3" fontId="13" fillId="67" borderId="17" xfId="0" applyNumberFormat="1" applyFont="1" applyFill="1" applyBorder="1" applyAlignment="1">
      <alignment horizontal="center" vertical="center"/>
    </xf>
    <xf numFmtId="170" fontId="13" fillId="67" borderId="17" xfId="0"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3" fontId="13" fillId="4" borderId="35" xfId="0" applyNumberFormat="1" applyFont="1" applyFill="1" applyBorder="1" applyAlignment="1">
      <alignment horizontal="center" vertical="center"/>
    </xf>
    <xf numFmtId="0" fontId="18" fillId="4" borderId="50" xfId="2" applyFill="1" applyBorder="1" applyAlignment="1" applyProtection="1">
      <alignment horizontal="center" vertical="center" wrapText="1"/>
    </xf>
    <xf numFmtId="0" fontId="13" fillId="4" borderId="0" xfId="0" applyFont="1" applyFill="1" applyAlignment="1">
      <alignment horizontal="left" vertical="top"/>
    </xf>
    <xf numFmtId="0" fontId="10" fillId="4" borderId="112" xfId="0" applyFont="1" applyFill="1" applyBorder="1" applyAlignment="1">
      <alignment horizontal="center" vertical="center"/>
    </xf>
    <xf numFmtId="0" fontId="28" fillId="0" borderId="121" xfId="0" applyFont="1" applyFill="1" applyBorder="1" applyAlignment="1">
      <alignment horizontal="center" vertical="center"/>
    </xf>
    <xf numFmtId="166" fontId="10" fillId="0" borderId="60" xfId="0" applyNumberFormat="1" applyFont="1" applyFill="1" applyBorder="1" applyAlignment="1">
      <alignment horizontal="center" vertical="center"/>
    </xf>
    <xf numFmtId="0" fontId="13" fillId="4" borderId="113" xfId="0" applyFont="1" applyFill="1" applyBorder="1" applyAlignment="1">
      <alignment horizontal="center" vertical="center" wrapText="1"/>
    </xf>
    <xf numFmtId="0" fontId="13" fillId="4" borderId="112" xfId="0" applyFont="1" applyFill="1" applyBorder="1" applyAlignment="1">
      <alignment horizontal="center" vertical="center" wrapText="1"/>
    </xf>
    <xf numFmtId="0" fontId="13" fillId="4" borderId="114" xfId="0" applyFont="1" applyFill="1" applyBorder="1" applyAlignment="1">
      <alignment horizontal="center" vertical="center" wrapText="1"/>
    </xf>
    <xf numFmtId="49" fontId="10" fillId="0" borderId="112" xfId="0" applyNumberFormat="1" applyFont="1" applyFill="1" applyBorder="1" applyAlignment="1">
      <alignment horizontal="center" vertical="center"/>
    </xf>
    <xf numFmtId="0" fontId="10" fillId="4" borderId="118" xfId="0" applyFont="1" applyFill="1" applyBorder="1" applyAlignment="1">
      <alignment horizontal="center" vertical="center"/>
    </xf>
    <xf numFmtId="171" fontId="13" fillId="4" borderId="17" xfId="0" applyNumberFormat="1" applyFont="1" applyFill="1" applyBorder="1" applyAlignment="1">
      <alignment horizontal="center" vertical="center"/>
    </xf>
    <xf numFmtId="180" fontId="13" fillId="4" borderId="5" xfId="0" applyNumberFormat="1" applyFont="1" applyFill="1" applyBorder="1" applyAlignment="1">
      <alignment horizontal="center" vertical="center"/>
    </xf>
    <xf numFmtId="0" fontId="83" fillId="0" borderId="77" xfId="0" applyFont="1" applyFill="1" applyBorder="1" applyAlignment="1">
      <alignment horizontal="center" vertical="center"/>
    </xf>
    <xf numFmtId="0" fontId="82" fillId="0" borderId="6" xfId="0" applyFont="1" applyFill="1" applyBorder="1" applyAlignment="1">
      <alignment horizontal="center" vertical="center" wrapText="1"/>
    </xf>
    <xf numFmtId="37" fontId="28" fillId="0" borderId="8" xfId="0" applyNumberFormat="1" applyFont="1" applyFill="1" applyBorder="1" applyAlignment="1">
      <alignment horizontal="center" vertical="center"/>
    </xf>
    <xf numFmtId="0" fontId="69" fillId="61" borderId="109" xfId="0" applyFont="1" applyFill="1" applyBorder="1" applyAlignment="1">
      <alignment horizontal="center" vertical="center" wrapText="1"/>
    </xf>
    <xf numFmtId="0" fontId="45" fillId="0" borderId="10" xfId="0" applyFont="1" applyFill="1" applyBorder="1" applyAlignment="1">
      <alignment horizontal="center" vertical="center" wrapText="1"/>
    </xf>
    <xf numFmtId="3" fontId="10" fillId="0" borderId="61" xfId="0" applyNumberFormat="1" applyFont="1" applyFill="1" applyBorder="1" applyAlignment="1">
      <alignment horizontal="center" vertical="center"/>
    </xf>
    <xf numFmtId="9" fontId="27" fillId="4" borderId="0" xfId="10" applyNumberFormat="1" applyFont="1" applyFill="1"/>
    <xf numFmtId="3" fontId="50" fillId="0" borderId="58" xfId="0" applyNumberFormat="1" applyFont="1" applyFill="1" applyBorder="1" applyAlignment="1">
      <alignment horizontal="center" vertical="center"/>
    </xf>
    <xf numFmtId="3" fontId="50" fillId="0" borderId="60" xfId="0" applyNumberFormat="1" applyFont="1" applyFill="1" applyBorder="1" applyAlignment="1">
      <alignment horizontal="center" vertical="center"/>
    </xf>
    <xf numFmtId="0" fontId="50" fillId="0" borderId="80" xfId="0" applyFont="1" applyFill="1" applyBorder="1" applyAlignment="1">
      <alignment horizontal="center" vertical="center"/>
    </xf>
    <xf numFmtId="3" fontId="50" fillId="0" borderId="80" xfId="0" applyNumberFormat="1" applyFont="1" applyFill="1" applyBorder="1" applyAlignment="1">
      <alignment horizontal="center" vertical="center"/>
    </xf>
    <xf numFmtId="0" fontId="50" fillId="0" borderId="62" xfId="0" applyFont="1" applyFill="1" applyBorder="1" applyAlignment="1">
      <alignment horizontal="center" vertical="center"/>
    </xf>
    <xf numFmtId="3" fontId="50" fillId="0" borderId="62" xfId="0" applyNumberFormat="1" applyFont="1" applyFill="1" applyBorder="1" applyAlignment="1">
      <alignment horizontal="center" vertical="center"/>
    </xf>
    <xf numFmtId="4" fontId="49" fillId="0" borderId="49" xfId="0" applyNumberFormat="1" applyFont="1" applyFill="1" applyBorder="1" applyAlignment="1">
      <alignment horizontal="center" vertical="center" wrapText="1"/>
    </xf>
    <xf numFmtId="3" fontId="10" fillId="4" borderId="76" xfId="0" applyNumberFormat="1" applyFont="1" applyFill="1" applyBorder="1" applyAlignment="1">
      <alignment horizontal="center" vertical="center" wrapText="1"/>
    </xf>
    <xf numFmtId="0" fontId="18" fillId="4" borderId="50" xfId="2"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0" fontId="10" fillId="0" borderId="113" xfId="0" applyFont="1" applyBorder="1" applyAlignment="1">
      <alignment horizontal="center" vertical="center"/>
    </xf>
    <xf numFmtId="0" fontId="18" fillId="4" borderId="5" xfId="2" applyFill="1" applyBorder="1" applyAlignment="1" applyProtection="1">
      <alignment horizontal="center" vertical="center" wrapText="1"/>
    </xf>
    <xf numFmtId="0" fontId="18" fillId="4" borderId="10" xfId="2" applyFill="1" applyBorder="1" applyAlignment="1" applyProtection="1">
      <alignment horizontal="center" vertical="center" wrapText="1"/>
    </xf>
    <xf numFmtId="37" fontId="10" fillId="4" borderId="0" xfId="0" applyNumberFormat="1" applyFont="1" applyFill="1"/>
    <xf numFmtId="10" fontId="10" fillId="4" borderId="114" xfId="0" applyNumberFormat="1" applyFont="1" applyFill="1" applyBorder="1" applyAlignment="1">
      <alignment horizontal="center" vertical="center"/>
    </xf>
    <xf numFmtId="10" fontId="10" fillId="0" borderId="113" xfId="0" applyNumberFormat="1" applyFont="1" applyFill="1" applyBorder="1" applyAlignment="1">
      <alignment horizontal="center" vertical="center" wrapText="1"/>
    </xf>
    <xf numFmtId="173" fontId="10" fillId="0" borderId="115" xfId="0" applyNumberFormat="1" applyFont="1" applyFill="1" applyBorder="1" applyAlignment="1">
      <alignment horizontal="center" vertical="center"/>
    </xf>
    <xf numFmtId="37" fontId="10" fillId="0" borderId="114" xfId="1" applyNumberFormat="1" applyFont="1" applyFill="1" applyBorder="1" applyAlignment="1">
      <alignment horizontal="center" vertical="center"/>
    </xf>
    <xf numFmtId="39" fontId="10" fillId="0" borderId="115" xfId="0" applyNumberFormat="1" applyFont="1" applyFill="1" applyBorder="1" applyAlignment="1">
      <alignment horizontal="center" vertical="center"/>
    </xf>
    <xf numFmtId="37" fontId="10" fillId="0" borderId="53" xfId="1" applyNumberFormat="1" applyFont="1" applyFill="1" applyBorder="1" applyAlignment="1">
      <alignment horizontal="center" vertical="center"/>
    </xf>
    <xf numFmtId="0" fontId="0" fillId="4" borderId="0" xfId="0" applyFill="1" applyAlignment="1">
      <alignment horizontal="center" vertical="center" wrapText="1"/>
    </xf>
    <xf numFmtId="0" fontId="0" fillId="0" borderId="0" xfId="0" applyAlignment="1">
      <alignment wrapText="1"/>
    </xf>
    <xf numFmtId="0" fontId="18" fillId="0" borderId="5" xfId="2" applyFill="1" applyBorder="1" applyAlignment="1" applyProtection="1">
      <alignment horizontal="center" vertical="center" wrapText="1"/>
    </xf>
    <xf numFmtId="0" fontId="18" fillId="4" borderId="0" xfId="2" applyFill="1" applyAlignment="1" applyProtection="1">
      <alignment wrapText="1"/>
    </xf>
    <xf numFmtId="0" fontId="10" fillId="4" borderId="72" xfId="0" applyFont="1" applyFill="1" applyBorder="1" applyAlignment="1">
      <alignment horizontal="center" vertical="center"/>
    </xf>
    <xf numFmtId="0" fontId="10" fillId="4" borderId="60" xfId="0" applyFont="1" applyFill="1" applyBorder="1" applyAlignment="1">
      <alignment horizontal="center" vertical="center"/>
    </xf>
    <xf numFmtId="0" fontId="10" fillId="4" borderId="11" xfId="0" applyFont="1" applyFill="1" applyBorder="1" applyAlignment="1">
      <alignment horizontal="center" vertical="center"/>
    </xf>
    <xf numFmtId="0" fontId="18" fillId="4" borderId="114" xfId="2" applyFont="1" applyFill="1" applyBorder="1" applyAlignment="1" applyProtection="1">
      <alignment horizontal="center" vertical="center"/>
    </xf>
    <xf numFmtId="0" fontId="18" fillId="4" borderId="53" xfId="2" applyFont="1" applyFill="1" applyBorder="1" applyAlignment="1" applyProtection="1">
      <alignment horizontal="center" vertical="center"/>
    </xf>
    <xf numFmtId="0" fontId="10" fillId="0" borderId="113" xfId="0" applyFont="1" applyFill="1" applyBorder="1" applyAlignment="1">
      <alignment horizontal="center" wrapText="1"/>
    </xf>
    <xf numFmtId="0" fontId="13" fillId="0" borderId="11" xfId="0" applyFont="1" applyFill="1" applyBorder="1" applyAlignment="1">
      <alignment horizontal="center" wrapText="1"/>
    </xf>
    <xf numFmtId="0" fontId="13" fillId="4" borderId="0" xfId="0" applyFont="1" applyFill="1" applyAlignment="1"/>
    <xf numFmtId="0" fontId="10" fillId="0" borderId="0" xfId="0" applyFont="1" applyFill="1" applyAlignment="1"/>
    <xf numFmtId="0" fontId="50" fillId="0" borderId="0" xfId="0" applyFont="1" applyFill="1" applyBorder="1"/>
    <xf numFmtId="0" fontId="49" fillId="0" borderId="113" xfId="0" applyFont="1" applyFill="1" applyBorder="1" applyAlignment="1">
      <alignment horizontal="center" vertical="center"/>
    </xf>
    <xf numFmtId="0" fontId="50" fillId="0" borderId="71" xfId="0" applyFont="1" applyFill="1" applyBorder="1" applyAlignment="1">
      <alignment horizontal="center" vertical="center"/>
    </xf>
    <xf numFmtId="0" fontId="50" fillId="0" borderId="73" xfId="0" applyFont="1" applyFill="1" applyBorder="1" applyAlignment="1">
      <alignment horizontal="center" vertical="center"/>
    </xf>
    <xf numFmtId="0" fontId="50" fillId="0" borderId="76" xfId="0" applyFont="1" applyFill="1" applyBorder="1" applyAlignment="1">
      <alignment horizontal="center" vertical="center"/>
    </xf>
    <xf numFmtId="0" fontId="50" fillId="0" borderId="61" xfId="0" applyFont="1" applyFill="1" applyBorder="1" applyAlignment="1">
      <alignment horizontal="center" vertical="center"/>
    </xf>
    <xf numFmtId="0" fontId="50" fillId="0" borderId="74" xfId="0" applyFont="1" applyFill="1" applyBorder="1" applyAlignment="1">
      <alignment horizontal="center" vertical="center"/>
    </xf>
    <xf numFmtId="0" fontId="50" fillId="0" borderId="63" xfId="0" applyFont="1" applyFill="1" applyBorder="1" applyAlignment="1">
      <alignment horizontal="center" vertical="center"/>
    </xf>
    <xf numFmtId="3" fontId="10" fillId="0" borderId="112" xfId="0" applyNumberFormat="1" applyFont="1" applyFill="1" applyBorder="1" applyAlignment="1">
      <alignment horizontal="center" vertical="center" wrapText="1"/>
    </xf>
    <xf numFmtId="166" fontId="10" fillId="67" borderId="59" xfId="3" applyNumberFormat="1" applyFont="1" applyFill="1" applyBorder="1" applyAlignment="1">
      <alignment horizontal="center" vertical="center"/>
    </xf>
    <xf numFmtId="166" fontId="10" fillId="67" borderId="61" xfId="3" applyNumberFormat="1" applyFont="1" applyFill="1" applyBorder="1" applyAlignment="1">
      <alignment horizontal="center" vertical="center"/>
    </xf>
    <xf numFmtId="166" fontId="10" fillId="67" borderId="63" xfId="3" applyNumberFormat="1" applyFont="1" applyFill="1" applyBorder="1" applyAlignment="1">
      <alignment horizontal="center" vertical="center"/>
    </xf>
    <xf numFmtId="0" fontId="49" fillId="0" borderId="66" xfId="0" applyFont="1" applyFill="1" applyBorder="1" applyAlignment="1">
      <alignment horizontal="center" vertical="center"/>
    </xf>
    <xf numFmtId="0" fontId="10" fillId="4" borderId="96" xfId="0" applyFont="1" applyFill="1" applyBorder="1" applyAlignment="1">
      <alignment horizontal="left" vertical="top" wrapText="1"/>
    </xf>
    <xf numFmtId="3" fontId="10" fillId="4" borderId="80" xfId="0" applyNumberFormat="1" applyFont="1" applyFill="1" applyBorder="1" applyAlignment="1">
      <alignment horizontal="center" vertical="center" wrapText="1"/>
    </xf>
    <xf numFmtId="3" fontId="10" fillId="59" borderId="80" xfId="0" applyNumberFormat="1" applyFont="1" applyFill="1" applyBorder="1" applyAlignment="1">
      <alignment horizontal="center" vertical="center" wrapText="1"/>
    </xf>
    <xf numFmtId="3" fontId="10" fillId="59" borderId="107" xfId="0" applyNumberFormat="1" applyFont="1" applyFill="1" applyBorder="1" applyAlignment="1">
      <alignment horizontal="center" vertical="center" wrapText="1"/>
    </xf>
    <xf numFmtId="0" fontId="10" fillId="59" borderId="80" xfId="0" applyFont="1" applyFill="1" applyBorder="1" applyAlignment="1">
      <alignment horizontal="center" vertical="center" wrapText="1"/>
    </xf>
    <xf numFmtId="3" fontId="10" fillId="59" borderId="79" xfId="0" applyNumberFormat="1" applyFont="1" applyFill="1" applyBorder="1" applyAlignment="1">
      <alignment horizontal="center" vertical="center" wrapText="1"/>
    </xf>
    <xf numFmtId="3" fontId="10" fillId="0" borderId="80" xfId="0" applyNumberFormat="1" applyFont="1" applyFill="1" applyBorder="1" applyAlignment="1">
      <alignment horizontal="center" vertical="center" wrapText="1"/>
    </xf>
    <xf numFmtId="3" fontId="10" fillId="0" borderId="107" xfId="0" applyNumberFormat="1" applyFont="1" applyFill="1" applyBorder="1" applyAlignment="1">
      <alignment horizontal="center" vertical="center" wrapText="1"/>
    </xf>
    <xf numFmtId="3" fontId="10" fillId="0" borderId="11" xfId="0" applyNumberFormat="1" applyFont="1" applyFill="1" applyBorder="1" applyAlignment="1">
      <alignment horizontal="center" vertical="center" wrapText="1"/>
    </xf>
    <xf numFmtId="0" fontId="10" fillId="0" borderId="4" xfId="0" applyFont="1" applyBorder="1" applyAlignment="1">
      <alignment horizontal="left" vertical="top" wrapText="1"/>
    </xf>
    <xf numFmtId="0" fontId="10" fillId="4" borderId="71" xfId="0" applyNumberFormat="1" applyFont="1" applyFill="1" applyBorder="1" applyAlignment="1">
      <alignment horizontal="center" vertical="center" wrapText="1"/>
    </xf>
    <xf numFmtId="0" fontId="10" fillId="4" borderId="85" xfId="0" applyNumberFormat="1" applyFont="1" applyFill="1" applyBorder="1" applyAlignment="1">
      <alignment horizontal="center" vertical="center" wrapText="1"/>
    </xf>
    <xf numFmtId="166" fontId="0" fillId="0" borderId="0" xfId="0" applyNumberFormat="1"/>
    <xf numFmtId="165" fontId="69" fillId="61" borderId="34" xfId="0" applyNumberFormat="1" applyFont="1" applyFill="1" applyBorder="1" applyAlignment="1">
      <alignment horizontal="center" vertical="center" wrapText="1"/>
    </xf>
    <xf numFmtId="0" fontId="10" fillId="0" borderId="4" xfId="0" applyFont="1" applyBorder="1" applyAlignment="1">
      <alignment horizontal="left" vertical="top"/>
    </xf>
    <xf numFmtId="0" fontId="0" fillId="36" borderId="5" xfId="0" applyFill="1" applyBorder="1" applyAlignment="1">
      <alignment horizontal="center" vertical="center"/>
    </xf>
    <xf numFmtId="0" fontId="0" fillId="36" borderId="5" xfId="0" applyFill="1" applyBorder="1" applyAlignment="1">
      <alignment horizontal="center" vertical="center" wrapText="1"/>
    </xf>
    <xf numFmtId="0" fontId="10" fillId="4" borderId="113" xfId="0" applyNumberFormat="1" applyFont="1" applyFill="1" applyBorder="1" applyAlignment="1">
      <alignment horizontal="center" vertical="center" wrapText="1"/>
    </xf>
    <xf numFmtId="0" fontId="13" fillId="4" borderId="11" xfId="0" applyNumberFormat="1" applyFont="1" applyFill="1" applyBorder="1" applyAlignment="1">
      <alignment horizontal="center" vertical="center" wrapText="1"/>
    </xf>
    <xf numFmtId="0" fontId="18" fillId="0" borderId="5" xfId="2" applyBorder="1" applyAlignment="1" applyProtection="1">
      <alignment horizontal="center" vertical="center"/>
    </xf>
    <xf numFmtId="3" fontId="50" fillId="36" borderId="112" xfId="0" applyNumberFormat="1" applyFont="1" applyFill="1" applyBorder="1" applyAlignment="1">
      <alignment horizontal="center" vertical="center"/>
    </xf>
    <xf numFmtId="3" fontId="50" fillId="36" borderId="114" xfId="0" applyNumberFormat="1" applyFont="1" applyFill="1" applyBorder="1" applyAlignment="1">
      <alignment horizontal="center" vertical="center"/>
    </xf>
    <xf numFmtId="3" fontId="10" fillId="36" borderId="112" xfId="0" applyNumberFormat="1" applyFont="1" applyFill="1" applyBorder="1" applyAlignment="1">
      <alignment horizontal="center" vertical="center" wrapText="1"/>
    </xf>
    <xf numFmtId="3" fontId="10" fillId="36" borderId="114" xfId="0" applyNumberFormat="1" applyFont="1" applyFill="1" applyBorder="1" applyAlignment="1">
      <alignment horizontal="center" vertical="center" wrapText="1"/>
    </xf>
    <xf numFmtId="0" fontId="69" fillId="61" borderId="19" xfId="0" applyFont="1" applyFill="1" applyBorder="1" applyAlignment="1">
      <alignment horizontal="center" vertical="center" wrapText="1"/>
    </xf>
    <xf numFmtId="0" fontId="10" fillId="4" borderId="77" xfId="0" applyNumberFormat="1" applyFont="1" applyFill="1" applyBorder="1" applyAlignment="1">
      <alignment horizontal="center" vertical="center" wrapText="1"/>
    </xf>
    <xf numFmtId="0" fontId="13" fillId="4" borderId="113" xfId="0" applyNumberFormat="1" applyFont="1" applyFill="1" applyBorder="1" applyAlignment="1">
      <alignment horizontal="center" vertical="center" wrapText="1"/>
    </xf>
    <xf numFmtId="0" fontId="10" fillId="68" borderId="51" xfId="0" applyNumberFormat="1" applyFont="1" applyFill="1" applyBorder="1" applyAlignment="1">
      <alignment horizontal="center" vertical="center" wrapText="1"/>
    </xf>
    <xf numFmtId="0" fontId="10" fillId="4" borderId="74" xfId="0" applyNumberFormat="1" applyFont="1" applyFill="1" applyBorder="1" applyAlignment="1">
      <alignment horizontal="center" vertical="center" wrapText="1"/>
    </xf>
    <xf numFmtId="0" fontId="10" fillId="4" borderId="11" xfId="0" applyNumberFormat="1" applyFont="1" applyFill="1" applyBorder="1" applyAlignment="1">
      <alignment horizontal="center" vertical="center" wrapText="1"/>
    </xf>
    <xf numFmtId="3" fontId="28" fillId="36" borderId="72" xfId="0" applyNumberFormat="1" applyFont="1" applyFill="1" applyBorder="1" applyAlignment="1">
      <alignment horizontal="center" vertical="center"/>
    </xf>
    <xf numFmtId="170" fontId="28" fillId="36" borderId="72" xfId="0" applyNumberFormat="1" applyFont="1" applyFill="1" applyBorder="1" applyAlignment="1">
      <alignment horizontal="center" vertical="center"/>
    </xf>
    <xf numFmtId="3" fontId="28" fillId="36" borderId="60" xfId="0" applyNumberFormat="1" applyFont="1" applyFill="1" applyBorder="1" applyAlignment="1">
      <alignment horizontal="center" vertical="center"/>
    </xf>
    <xf numFmtId="170" fontId="28" fillId="36" borderId="60" xfId="0" applyNumberFormat="1" applyFont="1" applyFill="1" applyBorder="1" applyAlignment="1">
      <alignment horizontal="center" vertical="center"/>
    </xf>
    <xf numFmtId="3" fontId="28" fillId="36" borderId="86" xfId="0" applyNumberFormat="1" applyFont="1" applyFill="1" applyBorder="1" applyAlignment="1">
      <alignment horizontal="center" vertical="center"/>
    </xf>
    <xf numFmtId="170" fontId="28" fillId="36" borderId="86" xfId="0" applyNumberFormat="1" applyFont="1" applyFill="1" applyBorder="1" applyAlignment="1">
      <alignment horizontal="center" vertical="center"/>
    </xf>
    <xf numFmtId="3" fontId="45" fillId="36" borderId="7" xfId="0" applyNumberFormat="1" applyFont="1" applyFill="1" applyBorder="1" applyAlignment="1">
      <alignment horizontal="center" vertical="center"/>
    </xf>
    <xf numFmtId="4" fontId="28" fillId="36" borderId="73" xfId="0" applyNumberFormat="1" applyFont="1" applyFill="1" applyBorder="1" applyAlignment="1">
      <alignment horizontal="center" vertical="center"/>
    </xf>
    <xf numFmtId="4" fontId="28" fillId="36" borderId="61" xfId="0" applyNumberFormat="1" applyFont="1" applyFill="1" applyBorder="1" applyAlignment="1">
      <alignment horizontal="center" vertical="center"/>
    </xf>
    <xf numFmtId="4" fontId="28" fillId="36" borderId="88" xfId="0" applyNumberFormat="1" applyFont="1" applyFill="1" applyBorder="1" applyAlignment="1">
      <alignment horizontal="center" vertical="center"/>
    </xf>
    <xf numFmtId="37" fontId="10" fillId="36" borderId="112" xfId="1" applyNumberFormat="1" applyFont="1" applyFill="1" applyBorder="1" applyAlignment="1">
      <alignment horizontal="center" wrapText="1"/>
    </xf>
    <xf numFmtId="37" fontId="10" fillId="36" borderId="114" xfId="1" applyNumberFormat="1" applyFont="1" applyFill="1" applyBorder="1" applyAlignment="1">
      <alignment horizontal="center" wrapText="1"/>
    </xf>
    <xf numFmtId="0" fontId="13" fillId="68" borderId="115" xfId="0" applyNumberFormat="1" applyFont="1" applyFill="1" applyBorder="1" applyAlignment="1">
      <alignment horizontal="center" vertical="center" wrapText="1"/>
    </xf>
    <xf numFmtId="0" fontId="13" fillId="68" borderId="131" xfId="0" applyNumberFormat="1" applyFont="1" applyFill="1" applyBorder="1" applyAlignment="1">
      <alignment horizontal="center" vertical="center" wrapText="1"/>
    </xf>
    <xf numFmtId="0" fontId="13" fillId="4" borderId="48" xfId="0" applyNumberFormat="1" applyFont="1" applyFill="1" applyBorder="1" applyAlignment="1">
      <alignment horizontal="center" vertical="center" wrapText="1"/>
    </xf>
    <xf numFmtId="3" fontId="13" fillId="68" borderId="119" xfId="0" applyNumberFormat="1" applyFont="1" applyFill="1" applyBorder="1" applyAlignment="1">
      <alignment horizontal="center" vertical="center" wrapText="1"/>
    </xf>
    <xf numFmtId="3" fontId="13" fillId="68" borderId="52" xfId="0" applyNumberFormat="1" applyFont="1" applyFill="1" applyBorder="1" applyAlignment="1">
      <alignment horizontal="center" vertical="center" wrapText="1"/>
    </xf>
    <xf numFmtId="3" fontId="49" fillId="0" borderId="112" xfId="0" applyNumberFormat="1" applyFont="1" applyFill="1" applyBorder="1" applyAlignment="1">
      <alignment horizontal="center" vertical="center"/>
    </xf>
    <xf numFmtId="3" fontId="13" fillId="0" borderId="49" xfId="0" applyNumberFormat="1" applyFont="1" applyFill="1" applyBorder="1" applyAlignment="1">
      <alignment horizontal="center" vertical="center" wrapText="1"/>
    </xf>
    <xf numFmtId="0" fontId="0" fillId="0" borderId="0" xfId="0" applyBorder="1" applyAlignment="1">
      <alignment wrapText="1"/>
    </xf>
    <xf numFmtId="0" fontId="10" fillId="0" borderId="64" xfId="0" applyFont="1" applyBorder="1" applyAlignment="1">
      <alignment horizontal="left" vertical="top"/>
    </xf>
    <xf numFmtId="0" fontId="10" fillId="0" borderId="112" xfId="0" applyFont="1" applyBorder="1" applyAlignment="1">
      <alignment horizontal="center"/>
    </xf>
    <xf numFmtId="0" fontId="0" fillId="0" borderId="112" xfId="0" applyBorder="1" applyAlignment="1">
      <alignment horizontal="center"/>
    </xf>
    <xf numFmtId="0" fontId="13" fillId="0" borderId="112" xfId="0" applyFont="1" applyBorder="1" applyAlignment="1">
      <alignment horizontal="center"/>
    </xf>
    <xf numFmtId="173" fontId="10" fillId="4" borderId="0" xfId="0" applyNumberFormat="1" applyFont="1" applyFill="1"/>
    <xf numFmtId="3" fontId="13" fillId="0" borderId="17" xfId="0" applyNumberFormat="1" applyFont="1" applyFill="1" applyBorder="1" applyAlignment="1">
      <alignment horizontal="center" vertical="center"/>
    </xf>
    <xf numFmtId="3" fontId="13" fillId="0" borderId="118" xfId="0" applyNumberFormat="1" applyFont="1" applyFill="1" applyBorder="1" applyAlignment="1">
      <alignment horizontal="center" vertical="center"/>
    </xf>
    <xf numFmtId="170" fontId="0" fillId="4" borderId="0" xfId="0" applyNumberFormat="1" applyFill="1"/>
    <xf numFmtId="3" fontId="13" fillId="0" borderId="22" xfId="0" applyNumberFormat="1" applyFont="1" applyFill="1" applyBorder="1" applyAlignment="1">
      <alignment horizontal="center" vertical="center"/>
    </xf>
    <xf numFmtId="170" fontId="13" fillId="0" borderId="38" xfId="0"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170" fontId="10" fillId="0" borderId="10" xfId="0" applyNumberFormat="1" applyFont="1" applyFill="1" applyBorder="1" applyAlignment="1">
      <alignment horizontal="center" vertical="center"/>
    </xf>
    <xf numFmtId="170" fontId="0" fillId="0" borderId="60" xfId="0" applyNumberFormat="1" applyFill="1" applyBorder="1" applyAlignment="1">
      <alignment horizontal="center" vertical="center"/>
    </xf>
    <xf numFmtId="3" fontId="13" fillId="0" borderId="17" xfId="0" applyNumberFormat="1" applyFont="1" applyFill="1" applyBorder="1" applyAlignment="1">
      <alignment horizontal="center"/>
    </xf>
    <xf numFmtId="170" fontId="13" fillId="0" borderId="17" xfId="0" applyNumberFormat="1" applyFont="1" applyFill="1" applyBorder="1" applyAlignment="1">
      <alignment horizontal="center"/>
    </xf>
    <xf numFmtId="4" fontId="0" fillId="0" borderId="60" xfId="0" applyNumberFormat="1" applyFill="1" applyBorder="1" applyAlignment="1">
      <alignment horizontal="center" vertical="center"/>
    </xf>
    <xf numFmtId="170" fontId="0" fillId="0" borderId="58" xfId="0" applyNumberFormat="1" applyFill="1" applyBorder="1" applyAlignment="1">
      <alignment horizontal="center" vertical="center"/>
    </xf>
    <xf numFmtId="170" fontId="10" fillId="0" borderId="63" xfId="0" applyNumberFormat="1" applyFont="1" applyFill="1" applyBorder="1" applyAlignment="1">
      <alignment horizontal="center" vertical="center"/>
    </xf>
    <xf numFmtId="4" fontId="10" fillId="0" borderId="62" xfId="0" applyNumberFormat="1" applyFont="1" applyFill="1" applyBorder="1" applyAlignment="1">
      <alignment horizontal="center" vertical="center"/>
    </xf>
    <xf numFmtId="171" fontId="10" fillId="0" borderId="62" xfId="0" applyNumberFormat="1" applyFont="1" applyFill="1" applyBorder="1" applyAlignment="1">
      <alignment horizontal="center" vertical="center"/>
    </xf>
    <xf numFmtId="3" fontId="10" fillId="0" borderId="112" xfId="1" applyNumberFormat="1" applyFont="1" applyFill="1" applyBorder="1" applyAlignment="1">
      <alignment horizontal="center" vertical="center"/>
    </xf>
    <xf numFmtId="170" fontId="10" fillId="0" borderId="114" xfId="1" applyNumberFormat="1" applyFont="1" applyFill="1" applyBorder="1" applyAlignment="1">
      <alignment horizontal="center" vertical="center"/>
    </xf>
    <xf numFmtId="0" fontId="10" fillId="0" borderId="112" xfId="4" applyFont="1" applyFill="1" applyBorder="1" applyAlignment="1">
      <alignment horizontal="center" vertical="center" wrapText="1"/>
    </xf>
    <xf numFmtId="0" fontId="10" fillId="0" borderId="118" xfId="4" applyFont="1" applyFill="1" applyBorder="1" applyAlignment="1">
      <alignment horizontal="center" vertical="center" wrapText="1"/>
    </xf>
    <xf numFmtId="0" fontId="13" fillId="4" borderId="0" xfId="0" applyNumberFormat="1" applyFont="1" applyFill="1" applyAlignment="1">
      <alignment vertical="top" wrapText="1"/>
    </xf>
    <xf numFmtId="4" fontId="69" fillId="61" borderId="16" xfId="0" applyNumberFormat="1" applyFont="1" applyFill="1" applyBorder="1" applyAlignment="1">
      <alignment horizontal="center" vertical="center" wrapText="1"/>
    </xf>
    <xf numFmtId="0" fontId="69" fillId="61" borderId="16" xfId="110" applyFont="1" applyFill="1" applyBorder="1" applyAlignment="1">
      <alignment horizontal="center" vertical="center" wrapText="1"/>
    </xf>
    <xf numFmtId="0" fontId="69" fillId="61" borderId="10" xfId="110" applyFont="1" applyFill="1" applyBorder="1" applyAlignment="1">
      <alignment horizontal="center" vertical="center" wrapText="1"/>
    </xf>
    <xf numFmtId="3" fontId="13" fillId="4" borderId="11" xfId="0" applyNumberFormat="1" applyFont="1" applyFill="1" applyBorder="1" applyAlignment="1">
      <alignment horizontal="center" vertical="center"/>
    </xf>
    <xf numFmtId="3" fontId="13" fillId="4" borderId="70" xfId="0" applyNumberFormat="1" applyFont="1" applyFill="1" applyBorder="1" applyAlignment="1">
      <alignment horizontal="center" vertical="center"/>
    </xf>
    <xf numFmtId="166" fontId="28" fillId="0" borderId="0" xfId="110" applyNumberFormat="1" applyFont="1" applyFill="1" applyBorder="1" applyAlignment="1">
      <alignment horizontal="center" vertical="center" wrapText="1"/>
    </xf>
    <xf numFmtId="0" fontId="18" fillId="4" borderId="5" xfId="2" applyFill="1" applyBorder="1" applyAlignment="1" applyProtection="1">
      <alignment horizontal="center" vertical="center"/>
    </xf>
    <xf numFmtId="0" fontId="28" fillId="0" borderId="9" xfId="10" applyFont="1" applyBorder="1" applyAlignment="1">
      <alignment horizontal="center" vertical="center"/>
    </xf>
    <xf numFmtId="0" fontId="28" fillId="0" borderId="11" xfId="10" applyFont="1" applyBorder="1" applyAlignment="1">
      <alignment horizontal="center" vertical="center"/>
    </xf>
    <xf numFmtId="182" fontId="45" fillId="0" borderId="112" xfId="110" applyNumberFormat="1" applyFont="1" applyFill="1" applyBorder="1" applyAlignment="1">
      <alignment horizontal="center" vertical="center" wrapText="1"/>
    </xf>
    <xf numFmtId="181" fontId="45" fillId="0" borderId="117" xfId="110" applyNumberFormat="1" applyFont="1" applyFill="1" applyBorder="1" applyAlignment="1">
      <alignment horizontal="center" vertical="center" wrapText="1"/>
    </xf>
    <xf numFmtId="187" fontId="45" fillId="0" borderId="114" xfId="110" applyNumberFormat="1" applyFont="1" applyFill="1" applyBorder="1" applyAlignment="1">
      <alignment horizontal="center" vertical="center" wrapText="1"/>
    </xf>
    <xf numFmtId="181" fontId="45" fillId="0" borderId="120" xfId="110" applyNumberFormat="1" applyFont="1" applyFill="1" applyBorder="1" applyAlignment="1">
      <alignment horizontal="center" vertical="center" wrapText="1"/>
    </xf>
    <xf numFmtId="0" fontId="28" fillId="0" borderId="71" xfId="110" applyFont="1" applyFill="1" applyBorder="1" applyAlignment="1">
      <alignment horizontal="center" vertical="center" wrapText="1"/>
    </xf>
    <xf numFmtId="167" fontId="28" fillId="0" borderId="72" xfId="0" applyNumberFormat="1" applyFont="1" applyFill="1" applyBorder="1" applyAlignment="1">
      <alignment horizontal="center" vertical="center"/>
    </xf>
    <xf numFmtId="185" fontId="28" fillId="0" borderId="73" xfId="0" applyNumberFormat="1" applyFont="1" applyFill="1" applyBorder="1" applyAlignment="1">
      <alignment horizontal="center" vertical="center"/>
    </xf>
    <xf numFmtId="166" fontId="28" fillId="0" borderId="73" xfId="110" applyNumberFormat="1" applyFont="1" applyFill="1" applyBorder="1" applyAlignment="1">
      <alignment horizontal="center" vertical="center" wrapText="1"/>
    </xf>
    <xf numFmtId="181" fontId="28" fillId="0" borderId="122" xfId="110" applyNumberFormat="1" applyFont="1" applyFill="1" applyBorder="1" applyAlignment="1">
      <alignment horizontal="center" vertical="center" wrapText="1"/>
    </xf>
    <xf numFmtId="167" fontId="28" fillId="0" borderId="60" xfId="0" applyNumberFormat="1" applyFont="1" applyFill="1" applyBorder="1" applyAlignment="1">
      <alignment horizontal="center" vertical="center"/>
    </xf>
    <xf numFmtId="185" fontId="28" fillId="0" borderId="61" xfId="0" applyNumberFormat="1" applyFont="1" applyFill="1" applyBorder="1" applyAlignment="1">
      <alignment horizontal="center" vertical="center"/>
    </xf>
    <xf numFmtId="166" fontId="28" fillId="0" borderId="61" xfId="110" applyNumberFormat="1" applyFont="1" applyFill="1" applyBorder="1" applyAlignment="1">
      <alignment horizontal="center" vertical="center" wrapText="1"/>
    </xf>
    <xf numFmtId="181" fontId="28" fillId="0" borderId="121" xfId="110" applyNumberFormat="1" applyFont="1" applyFill="1" applyBorder="1" applyAlignment="1">
      <alignment horizontal="center" vertical="center" wrapText="1"/>
    </xf>
    <xf numFmtId="0" fontId="28" fillId="0" borderId="74" xfId="0" applyFont="1" applyFill="1" applyBorder="1" applyAlignment="1">
      <alignment horizontal="center" vertical="center"/>
    </xf>
    <xf numFmtId="167" fontId="28" fillId="0" borderId="62" xfId="0" applyNumberFormat="1" applyFont="1" applyFill="1" applyBorder="1" applyAlignment="1">
      <alignment horizontal="center" vertical="center"/>
    </xf>
    <xf numFmtId="185" fontId="28" fillId="0" borderId="63" xfId="0" applyNumberFormat="1" applyFont="1" applyFill="1" applyBorder="1" applyAlignment="1">
      <alignment horizontal="center" vertical="center"/>
    </xf>
    <xf numFmtId="166" fontId="28" fillId="0" borderId="74" xfId="110" applyNumberFormat="1" applyFont="1" applyFill="1" applyBorder="1" applyAlignment="1">
      <alignment horizontal="center" vertical="center" wrapText="1"/>
    </xf>
    <xf numFmtId="166" fontId="28" fillId="0" borderId="63" xfId="110" applyNumberFormat="1" applyFont="1" applyFill="1" applyBorder="1" applyAlignment="1">
      <alignment horizontal="center" vertical="center" wrapText="1"/>
    </xf>
    <xf numFmtId="181" fontId="28" fillId="0" borderId="132" xfId="110" applyNumberFormat="1" applyFont="1" applyFill="1" applyBorder="1" applyAlignment="1">
      <alignment horizontal="center" vertical="center" wrapText="1"/>
    </xf>
    <xf numFmtId="0" fontId="28" fillId="0" borderId="75" xfId="10" applyFont="1" applyBorder="1" applyAlignment="1">
      <alignment horizontal="center" vertical="center"/>
    </xf>
    <xf numFmtId="0" fontId="28" fillId="0" borderId="76" xfId="10" applyFont="1" applyBorder="1" applyAlignment="1">
      <alignment horizontal="center" vertical="center"/>
    </xf>
    <xf numFmtId="0" fontId="28" fillId="0" borderId="85" xfId="10" applyFont="1" applyBorder="1" applyAlignment="1">
      <alignment horizontal="center" vertical="center"/>
    </xf>
    <xf numFmtId="0" fontId="28" fillId="0" borderId="71" xfId="10" applyFont="1" applyBorder="1" applyAlignment="1">
      <alignment horizontal="center" vertical="center" wrapText="1"/>
    </xf>
    <xf numFmtId="3" fontId="28" fillId="0" borderId="72" xfId="10" applyNumberFormat="1" applyFont="1" applyBorder="1" applyAlignment="1">
      <alignment horizontal="center" vertical="center" wrapText="1"/>
    </xf>
    <xf numFmtId="4" fontId="28" fillId="0" borderId="72" xfId="10" applyNumberFormat="1" applyFont="1" applyBorder="1" applyAlignment="1">
      <alignment horizontal="center" vertical="center" wrapText="1"/>
    </xf>
    <xf numFmtId="177" fontId="28" fillId="0" borderId="72" xfId="10" applyNumberFormat="1" applyFont="1" applyFill="1" applyBorder="1" applyAlignment="1">
      <alignment horizontal="center" vertical="center" wrapText="1"/>
    </xf>
    <xf numFmtId="177" fontId="28" fillId="0" borderId="73" xfId="10" applyNumberFormat="1" applyFont="1" applyFill="1" applyBorder="1" applyAlignment="1">
      <alignment horizontal="center" vertical="center" wrapText="1"/>
    </xf>
    <xf numFmtId="0" fontId="28" fillId="0" borderId="85" xfId="10" applyFont="1" applyBorder="1" applyAlignment="1">
      <alignment horizontal="center" vertical="center" wrapText="1"/>
    </xf>
    <xf numFmtId="3" fontId="28" fillId="0" borderId="86" xfId="10" applyNumberFormat="1" applyFont="1" applyBorder="1" applyAlignment="1">
      <alignment horizontal="center" vertical="center" wrapText="1"/>
    </xf>
    <xf numFmtId="4" fontId="28" fillId="0" borderId="86" xfId="10" applyNumberFormat="1" applyFont="1" applyBorder="1" applyAlignment="1">
      <alignment horizontal="center" vertical="center" wrapText="1"/>
    </xf>
    <xf numFmtId="177" fontId="28" fillId="0" borderId="86" xfId="10" applyNumberFormat="1" applyFont="1" applyFill="1" applyBorder="1" applyAlignment="1">
      <alignment horizontal="center" vertical="center" wrapText="1"/>
    </xf>
    <xf numFmtId="177" fontId="28" fillId="0" borderId="88" xfId="10" applyNumberFormat="1" applyFont="1" applyFill="1" applyBorder="1" applyAlignment="1">
      <alignment horizontal="center" vertical="center" wrapText="1"/>
    </xf>
    <xf numFmtId="0" fontId="28" fillId="0" borderId="71" xfId="110" applyFont="1" applyFill="1" applyBorder="1" applyAlignment="1">
      <alignment horizontal="center" vertical="center"/>
    </xf>
    <xf numFmtId="0" fontId="28" fillId="0" borderId="72" xfId="110" applyFont="1" applyFill="1" applyBorder="1" applyAlignment="1">
      <alignment horizontal="center" vertical="center"/>
    </xf>
    <xf numFmtId="0" fontId="18" fillId="0" borderId="73" xfId="2" applyFont="1" applyFill="1" applyBorder="1" applyAlignment="1" applyProtection="1">
      <alignment horizontal="center" vertical="center"/>
    </xf>
    <xf numFmtId="0" fontId="28" fillId="0" borderId="76" xfId="110" applyFont="1" applyFill="1" applyBorder="1" applyAlignment="1">
      <alignment horizontal="center" vertical="center"/>
    </xf>
    <xf numFmtId="0" fontId="28" fillId="0" borderId="60" xfId="110" applyFont="1" applyFill="1" applyBorder="1" applyAlignment="1">
      <alignment horizontal="center" vertical="center"/>
    </xf>
    <xf numFmtId="0" fontId="18" fillId="0" borderId="61" xfId="2" applyFont="1" applyFill="1" applyBorder="1" applyAlignment="1" applyProtection="1">
      <alignment horizontal="center" vertical="center"/>
    </xf>
    <xf numFmtId="0" fontId="28" fillId="0" borderId="85" xfId="110" applyFont="1" applyFill="1" applyBorder="1" applyAlignment="1">
      <alignment horizontal="center" vertical="center"/>
    </xf>
    <xf numFmtId="0" fontId="28" fillId="0" borderId="86" xfId="110" applyFont="1" applyFill="1" applyBorder="1" applyAlignment="1">
      <alignment horizontal="center" vertical="center"/>
    </xf>
    <xf numFmtId="0" fontId="18" fillId="0" borderId="88" xfId="2" applyFont="1" applyFill="1" applyBorder="1" applyAlignment="1" applyProtection="1">
      <alignment horizontal="center" vertical="center"/>
    </xf>
    <xf numFmtId="0" fontId="28" fillId="4" borderId="71" xfId="0" applyFont="1" applyFill="1" applyBorder="1" applyAlignment="1">
      <alignment horizontal="center" vertical="center"/>
    </xf>
    <xf numFmtId="0" fontId="28" fillId="0" borderId="72" xfId="0" applyFont="1" applyFill="1" applyBorder="1" applyAlignment="1">
      <alignment horizontal="center" vertical="center"/>
    </xf>
    <xf numFmtId="0" fontId="28" fillId="0" borderId="76" xfId="110" applyFont="1" applyBorder="1" applyAlignment="1">
      <alignment horizontal="center" vertical="center" wrapText="1"/>
    </xf>
    <xf numFmtId="0" fontId="28" fillId="0" borderId="60" xfId="110" applyFont="1" applyFill="1" applyBorder="1" applyAlignment="1">
      <alignment horizontal="center" vertical="center" wrapText="1"/>
    </xf>
    <xf numFmtId="0" fontId="28" fillId="4" borderId="61" xfId="0" applyFont="1" applyFill="1" applyBorder="1" applyAlignment="1">
      <alignment horizontal="center" vertical="center"/>
    </xf>
    <xf numFmtId="0" fontId="28" fillId="0" borderId="76" xfId="110" applyFont="1" applyBorder="1" applyAlignment="1">
      <alignment horizontal="center" vertical="center"/>
    </xf>
    <xf numFmtId="0" fontId="28" fillId="0" borderId="60" xfId="110" applyFont="1" applyBorder="1" applyAlignment="1">
      <alignment horizontal="center" vertical="center"/>
    </xf>
    <xf numFmtId="0" fontId="28" fillId="4" borderId="76" xfId="0" applyFont="1" applyFill="1" applyBorder="1" applyAlignment="1">
      <alignment horizontal="center" vertical="center"/>
    </xf>
    <xf numFmtId="0" fontId="28" fillId="4" borderId="60" xfId="0" applyFont="1" applyFill="1" applyBorder="1" applyAlignment="1">
      <alignment horizontal="center" vertical="center"/>
    </xf>
    <xf numFmtId="0" fontId="28" fillId="4" borderId="76" xfId="0" applyNumberFormat="1" applyFont="1" applyFill="1" applyBorder="1" applyAlignment="1">
      <alignment horizontal="center" vertical="center" wrapText="1"/>
    </xf>
    <xf numFmtId="0" fontId="28" fillId="4" borderId="60" xfId="0" applyNumberFormat="1" applyFont="1" applyFill="1" applyBorder="1" applyAlignment="1">
      <alignment horizontal="center" vertical="center" wrapText="1"/>
    </xf>
    <xf numFmtId="0" fontId="28" fillId="0" borderId="60" xfId="110" applyFont="1" applyBorder="1" applyAlignment="1">
      <alignment horizontal="center" vertical="center" wrapText="1"/>
    </xf>
    <xf numFmtId="0" fontId="28" fillId="4" borderId="85" xfId="0" applyFont="1" applyFill="1" applyBorder="1" applyAlignment="1">
      <alignment horizontal="center" vertical="center"/>
    </xf>
    <xf numFmtId="0" fontId="28" fillId="0" borderId="86" xfId="110" applyFont="1" applyBorder="1" applyAlignment="1">
      <alignment horizontal="center" vertical="center" wrapText="1"/>
    </xf>
    <xf numFmtId="0" fontId="28" fillId="4" borderId="88" xfId="0" applyFont="1" applyFill="1" applyBorder="1" applyAlignment="1">
      <alignment horizontal="center" vertical="center"/>
    </xf>
    <xf numFmtId="0" fontId="45" fillId="0" borderId="9" xfId="0" applyFont="1" applyFill="1" applyBorder="1" applyAlignment="1">
      <alignment horizontal="center" vertical="center"/>
    </xf>
    <xf numFmtId="0" fontId="83" fillId="0" borderId="113" xfId="0" applyFont="1" applyFill="1" applyBorder="1" applyAlignment="1">
      <alignment horizontal="center" vertical="center"/>
    </xf>
    <xf numFmtId="0" fontId="83" fillId="0" borderId="11" xfId="0" applyFont="1" applyFill="1" applyBorder="1" applyAlignment="1">
      <alignment horizontal="center" vertical="center"/>
    </xf>
    <xf numFmtId="0" fontId="45" fillId="0" borderId="9" xfId="0" applyFont="1" applyFill="1" applyBorder="1" applyAlignment="1">
      <alignment horizontal="center" vertical="center" wrapText="1"/>
    </xf>
    <xf numFmtId="3" fontId="28" fillId="36" borderId="114" xfId="0" applyNumberFormat="1" applyFont="1" applyFill="1" applyBorder="1" applyAlignment="1">
      <alignment horizontal="center" vertical="center"/>
    </xf>
    <xf numFmtId="4" fontId="50" fillId="0" borderId="80" xfId="0" applyNumberFormat="1" applyFont="1" applyFill="1" applyBorder="1" applyAlignment="1">
      <alignment horizontal="center" vertical="center"/>
    </xf>
    <xf numFmtId="4" fontId="50" fillId="0" borderId="60" xfId="0" applyNumberFormat="1" applyFont="1" applyFill="1" applyBorder="1" applyAlignment="1">
      <alignment horizontal="center" vertical="center"/>
    </xf>
    <xf numFmtId="4" fontId="50" fillId="0" borderId="78" xfId="0" applyNumberFormat="1" applyFont="1" applyFill="1" applyBorder="1" applyAlignment="1">
      <alignment horizontal="center" vertical="center"/>
    </xf>
    <xf numFmtId="175" fontId="50" fillId="0" borderId="78" xfId="0" applyNumberFormat="1" applyFont="1" applyFill="1" applyBorder="1" applyAlignment="1">
      <alignment horizontal="center" vertical="center"/>
    </xf>
    <xf numFmtId="170" fontId="50" fillId="0" borderId="78" xfId="0" applyNumberFormat="1" applyFont="1" applyFill="1" applyBorder="1" applyAlignment="1">
      <alignment horizontal="center" vertical="center"/>
    </xf>
    <xf numFmtId="4" fontId="50" fillId="0" borderId="58" xfId="0" applyNumberFormat="1" applyFont="1" applyFill="1" applyBorder="1" applyAlignment="1">
      <alignment horizontal="center" vertical="center"/>
    </xf>
    <xf numFmtId="181" fontId="50" fillId="0" borderId="62" xfId="0" applyNumberFormat="1" applyFont="1" applyFill="1" applyBorder="1" applyAlignment="1">
      <alignment horizontal="center" vertical="center"/>
    </xf>
    <xf numFmtId="170" fontId="50" fillId="0" borderId="62" xfId="0" applyNumberFormat="1" applyFont="1" applyFill="1" applyBorder="1" applyAlignment="1">
      <alignment horizontal="center" vertical="center"/>
    </xf>
    <xf numFmtId="3" fontId="28" fillId="0" borderId="59" xfId="0" applyNumberFormat="1" applyFont="1" applyFill="1" applyBorder="1" applyAlignment="1">
      <alignment horizontal="center" vertical="center"/>
    </xf>
    <xf numFmtId="170" fontId="10" fillId="0" borderId="90" xfId="0" applyNumberFormat="1" applyFont="1" applyFill="1" applyBorder="1" applyAlignment="1">
      <alignment horizontal="center" vertical="center"/>
    </xf>
    <xf numFmtId="3" fontId="10" fillId="0" borderId="90" xfId="0" applyNumberFormat="1" applyFont="1" applyFill="1" applyBorder="1" applyAlignment="1">
      <alignment horizontal="center" vertical="center"/>
    </xf>
    <xf numFmtId="170" fontId="10" fillId="0" borderId="84" xfId="0" applyNumberFormat="1" applyFont="1" applyFill="1" applyBorder="1" applyAlignment="1">
      <alignment horizontal="center" vertical="center"/>
    </xf>
    <xf numFmtId="3" fontId="10" fillId="0" borderId="84" xfId="0" applyNumberFormat="1" applyFont="1" applyFill="1" applyBorder="1" applyAlignment="1">
      <alignment horizontal="center" vertical="center"/>
    </xf>
    <xf numFmtId="170" fontId="10" fillId="0" borderId="110" xfId="0" applyNumberFormat="1" applyFont="1" applyFill="1" applyBorder="1" applyAlignment="1">
      <alignment horizontal="center" vertical="center"/>
    </xf>
    <xf numFmtId="3" fontId="10" fillId="0" borderId="110" xfId="0" applyNumberFormat="1" applyFont="1" applyFill="1" applyBorder="1" applyAlignment="1">
      <alignment horizontal="center" vertical="center"/>
    </xf>
    <xf numFmtId="4" fontId="10" fillId="0" borderId="73" xfId="0" applyNumberFormat="1" applyFont="1" applyFill="1" applyBorder="1" applyAlignment="1">
      <alignment horizontal="center" vertical="center"/>
    </xf>
    <xf numFmtId="4" fontId="10" fillId="0" borderId="61" xfId="0" applyNumberFormat="1" applyFont="1" applyFill="1" applyBorder="1" applyAlignment="1">
      <alignment horizontal="center" vertical="center"/>
    </xf>
    <xf numFmtId="3" fontId="0" fillId="0" borderId="107" xfId="0" applyNumberFormat="1" applyFill="1" applyBorder="1" applyAlignment="1">
      <alignment horizontal="center" vertical="center"/>
    </xf>
    <xf numFmtId="170" fontId="0" fillId="0" borderId="81" xfId="0" applyNumberFormat="1" applyFill="1" applyBorder="1" applyAlignment="1">
      <alignment horizontal="center" vertical="center"/>
    </xf>
    <xf numFmtId="170" fontId="0" fillId="0" borderId="38" xfId="0" applyNumberFormat="1" applyFill="1" applyBorder="1" applyAlignment="1">
      <alignment horizontal="center" vertical="center"/>
    </xf>
    <xf numFmtId="3" fontId="0" fillId="0" borderId="81" xfId="0" applyNumberFormat="1" applyFill="1" applyBorder="1" applyAlignment="1">
      <alignment horizontal="center" vertical="center"/>
    </xf>
    <xf numFmtId="3" fontId="0" fillId="0" borderId="38" xfId="0" applyNumberFormat="1" applyFill="1" applyBorder="1" applyAlignment="1">
      <alignment horizontal="center" vertical="center"/>
    </xf>
    <xf numFmtId="3" fontId="0" fillId="0" borderId="76" xfId="0" applyNumberFormat="1" applyFill="1" applyBorder="1" applyAlignment="1">
      <alignment horizontal="center" vertical="center"/>
    </xf>
    <xf numFmtId="4" fontId="0" fillId="0" borderId="84" xfId="0" applyNumberFormat="1" applyFill="1" applyBorder="1" applyAlignment="1">
      <alignment horizontal="center" vertical="center"/>
    </xf>
    <xf numFmtId="3" fontId="0" fillId="0" borderId="84" xfId="0" applyNumberFormat="1" applyFill="1" applyBorder="1" applyAlignment="1">
      <alignment horizontal="center" vertical="center"/>
    </xf>
    <xf numFmtId="3" fontId="0" fillId="0" borderId="85" xfId="0" applyNumberFormat="1" applyFill="1" applyBorder="1" applyAlignment="1">
      <alignment horizontal="center" vertical="center"/>
    </xf>
    <xf numFmtId="4" fontId="0" fillId="0" borderId="87" xfId="0" applyNumberFormat="1" applyFill="1" applyBorder="1" applyAlignment="1">
      <alignment horizontal="center" vertical="center"/>
    </xf>
    <xf numFmtId="3" fontId="0" fillId="0" borderId="87" xfId="0" applyNumberFormat="1" applyFill="1" applyBorder="1" applyAlignment="1">
      <alignment horizontal="center" vertical="center"/>
    </xf>
    <xf numFmtId="171" fontId="0" fillId="0" borderId="88" xfId="0" applyNumberFormat="1" applyFill="1" applyBorder="1" applyAlignment="1">
      <alignment horizontal="center" vertical="center"/>
    </xf>
    <xf numFmtId="168" fontId="10" fillId="0" borderId="122" xfId="0" applyNumberFormat="1" applyFont="1" applyFill="1" applyBorder="1" applyAlignment="1">
      <alignment horizontal="center" vertical="center"/>
    </xf>
    <xf numFmtId="171" fontId="0" fillId="0" borderId="110" xfId="0" applyNumberFormat="1" applyFill="1" applyBorder="1" applyAlignment="1">
      <alignment horizontal="center" vertical="center"/>
    </xf>
    <xf numFmtId="3" fontId="0" fillId="0" borderId="110" xfId="0" applyNumberFormat="1" applyFill="1" applyBorder="1" applyAlignment="1">
      <alignment horizontal="center" vertical="center"/>
    </xf>
    <xf numFmtId="180" fontId="0" fillId="0" borderId="73" xfId="0" applyNumberFormat="1" applyFill="1" applyBorder="1" applyAlignment="1">
      <alignment horizontal="center" vertical="center"/>
    </xf>
    <xf numFmtId="168" fontId="10" fillId="0" borderId="121" xfId="0" applyNumberFormat="1" applyFont="1" applyFill="1" applyBorder="1" applyAlignment="1">
      <alignment horizontal="center" vertical="center"/>
    </xf>
    <xf numFmtId="171" fontId="0" fillId="0" borderId="84" xfId="0" applyNumberFormat="1" applyFill="1" applyBorder="1" applyAlignment="1">
      <alignment horizontal="center" vertical="center"/>
    </xf>
    <xf numFmtId="180" fontId="0" fillId="0" borderId="61" xfId="0" applyNumberFormat="1" applyFill="1" applyBorder="1" applyAlignment="1">
      <alignment horizontal="center" vertical="center"/>
    </xf>
    <xf numFmtId="168" fontId="10" fillId="0" borderId="123" xfId="0" applyNumberFormat="1" applyFont="1" applyFill="1" applyBorder="1" applyAlignment="1">
      <alignment horizontal="center" vertical="center"/>
    </xf>
    <xf numFmtId="171" fontId="0" fillId="0" borderId="87" xfId="0" applyNumberFormat="1" applyFill="1" applyBorder="1" applyAlignment="1">
      <alignment horizontal="center" vertical="center"/>
    </xf>
    <xf numFmtId="180" fontId="0" fillId="0" borderId="88" xfId="0" applyNumberFormat="1" applyFill="1" applyBorder="1" applyAlignment="1">
      <alignment horizontal="center" vertical="center"/>
    </xf>
    <xf numFmtId="3" fontId="10" fillId="68" borderId="60" xfId="0" applyNumberFormat="1" applyFont="1" applyFill="1" applyBorder="1" applyAlignment="1">
      <alignment horizontal="center" vertical="center"/>
    </xf>
    <xf numFmtId="3" fontId="10" fillId="68" borderId="72" xfId="0" applyNumberFormat="1" applyFont="1" applyFill="1" applyBorder="1" applyAlignment="1">
      <alignment horizontal="center" vertical="center"/>
    </xf>
    <xf numFmtId="3" fontId="10" fillId="68" borderId="62" xfId="0" applyNumberFormat="1" applyFont="1" applyFill="1" applyBorder="1" applyAlignment="1">
      <alignment horizontal="center" vertical="center"/>
    </xf>
    <xf numFmtId="3" fontId="0" fillId="68" borderId="58" xfId="0" applyNumberFormat="1" applyFill="1" applyBorder="1" applyAlignment="1">
      <alignment horizontal="center" vertical="center"/>
    </xf>
    <xf numFmtId="3" fontId="0" fillId="68" borderId="60" xfId="0" applyNumberFormat="1" applyFill="1" applyBorder="1" applyAlignment="1">
      <alignment horizontal="center" vertical="center"/>
    </xf>
    <xf numFmtId="3" fontId="0" fillId="68" borderId="62" xfId="0" applyNumberFormat="1" applyFill="1" applyBorder="1" applyAlignment="1">
      <alignment horizontal="center" vertical="center"/>
    </xf>
    <xf numFmtId="3" fontId="0" fillId="68" borderId="16" xfId="0" applyNumberFormat="1" applyFill="1" applyBorder="1" applyAlignment="1">
      <alignment horizontal="center" vertical="center"/>
    </xf>
    <xf numFmtId="3" fontId="10" fillId="68" borderId="16" xfId="0" applyNumberFormat="1" applyFont="1" applyFill="1" applyBorder="1" applyAlignment="1">
      <alignment horizontal="center" vertical="center"/>
    </xf>
    <xf numFmtId="3" fontId="10" fillId="68" borderId="58" xfId="0" applyNumberFormat="1" applyFont="1" applyFill="1" applyBorder="1" applyAlignment="1">
      <alignment horizontal="center" vertical="center"/>
    </xf>
    <xf numFmtId="3" fontId="10" fillId="68" borderId="84" xfId="0" applyNumberFormat="1" applyFont="1" applyFill="1" applyBorder="1" applyAlignment="1">
      <alignment horizontal="center" vertical="center"/>
    </xf>
    <xf numFmtId="3" fontId="10" fillId="68" borderId="79" xfId="0" applyNumberFormat="1" applyFont="1" applyFill="1" applyBorder="1" applyAlignment="1">
      <alignment horizontal="center" vertical="center"/>
    </xf>
    <xf numFmtId="3" fontId="10" fillId="68" borderId="104" xfId="0" applyNumberFormat="1" applyFont="1" applyFill="1" applyBorder="1" applyAlignment="1">
      <alignment horizontal="center" vertical="center"/>
    </xf>
    <xf numFmtId="0" fontId="69" fillId="2" borderId="67" xfId="0" applyFont="1" applyFill="1" applyBorder="1" applyAlignment="1">
      <alignment horizontal="center" vertical="center" wrapText="1"/>
    </xf>
    <xf numFmtId="3" fontId="10" fillId="68" borderId="122" xfId="0" applyNumberFormat="1" applyFont="1" applyFill="1" applyBorder="1" applyAlignment="1">
      <alignment horizontal="center" vertical="center"/>
    </xf>
    <xf numFmtId="3" fontId="10" fillId="68" borderId="121" xfId="0" applyNumberFormat="1" applyFont="1" applyFill="1" applyBorder="1" applyAlignment="1">
      <alignment horizontal="center" vertical="center"/>
    </xf>
    <xf numFmtId="3" fontId="10" fillId="68" borderId="132" xfId="0" applyNumberFormat="1" applyFont="1" applyFill="1" applyBorder="1" applyAlignment="1">
      <alignment horizontal="center" vertical="center"/>
    </xf>
    <xf numFmtId="3" fontId="13" fillId="0" borderId="133" xfId="0" applyNumberFormat="1" applyFont="1" applyFill="1" applyBorder="1" applyAlignment="1">
      <alignment horizontal="center" vertical="center"/>
    </xf>
    <xf numFmtId="3" fontId="10" fillId="68" borderId="134" xfId="0" applyNumberFormat="1" applyFont="1" applyFill="1" applyBorder="1" applyAlignment="1">
      <alignment horizontal="center" vertical="center"/>
    </xf>
    <xf numFmtId="3" fontId="0" fillId="68" borderId="121" xfId="0" applyNumberFormat="1" applyFill="1" applyBorder="1" applyAlignment="1">
      <alignment horizontal="center" vertical="center"/>
    </xf>
    <xf numFmtId="170" fontId="10" fillId="0" borderId="132" xfId="0" applyNumberFormat="1" applyFont="1" applyFill="1" applyBorder="1" applyAlignment="1">
      <alignment horizontal="center" vertical="center"/>
    </xf>
    <xf numFmtId="170" fontId="10" fillId="0" borderId="67" xfId="0" applyNumberFormat="1" applyFont="1" applyFill="1" applyBorder="1" applyAlignment="1">
      <alignment horizontal="center" vertical="center"/>
    </xf>
    <xf numFmtId="170" fontId="13" fillId="4" borderId="35" xfId="0" applyNumberFormat="1" applyFont="1" applyFill="1" applyBorder="1" applyAlignment="1">
      <alignment horizontal="center"/>
    </xf>
    <xf numFmtId="170" fontId="10" fillId="0" borderId="71" xfId="0" applyNumberFormat="1" applyFont="1" applyFill="1" applyBorder="1" applyAlignment="1">
      <alignment horizontal="center" vertical="center"/>
    </xf>
    <xf numFmtId="170" fontId="10" fillId="0" borderId="74" xfId="0" applyNumberFormat="1" applyFont="1" applyFill="1" applyBorder="1" applyAlignment="1">
      <alignment horizontal="center" vertical="center"/>
    </xf>
    <xf numFmtId="170" fontId="13" fillId="0" borderId="23" xfId="0" applyNumberFormat="1" applyFont="1" applyFill="1" applyBorder="1" applyAlignment="1">
      <alignment horizontal="center" vertical="center"/>
    </xf>
    <xf numFmtId="170" fontId="10" fillId="0" borderId="75" xfId="0" applyNumberFormat="1" applyFont="1" applyFill="1" applyBorder="1" applyAlignment="1">
      <alignment horizontal="center" vertical="center"/>
    </xf>
    <xf numFmtId="170" fontId="13" fillId="0" borderId="66" xfId="0" applyNumberFormat="1" applyFont="1" applyFill="1" applyBorder="1" applyAlignment="1">
      <alignment horizontal="center" vertical="center"/>
    </xf>
    <xf numFmtId="170" fontId="10" fillId="0" borderId="9" xfId="0" applyNumberFormat="1" applyFont="1" applyFill="1" applyBorder="1" applyAlignment="1">
      <alignment horizontal="center" vertical="center"/>
    </xf>
    <xf numFmtId="170" fontId="13" fillId="0" borderId="4" xfId="0" applyNumberFormat="1" applyFont="1" applyFill="1" applyBorder="1" applyAlignment="1">
      <alignment horizontal="center" vertical="center"/>
    </xf>
    <xf numFmtId="0" fontId="69" fillId="65" borderId="10" xfId="0" applyFont="1" applyFill="1" applyBorder="1" applyAlignment="1">
      <alignment horizontal="center" vertical="center" wrapText="1"/>
    </xf>
    <xf numFmtId="3" fontId="10" fillId="68" borderId="73" xfId="0" applyNumberFormat="1" applyFont="1" applyFill="1" applyBorder="1" applyAlignment="1">
      <alignment horizontal="center" vertical="center"/>
    </xf>
    <xf numFmtId="3" fontId="10" fillId="68" borderId="76" xfId="0" applyNumberFormat="1" applyFont="1" applyFill="1" applyBorder="1" applyAlignment="1">
      <alignment horizontal="center" vertical="center"/>
    </xf>
    <xf numFmtId="3" fontId="10" fillId="68" borderId="61" xfId="0" applyNumberFormat="1" applyFont="1" applyFill="1" applyBorder="1" applyAlignment="1">
      <alignment horizontal="center" vertical="center"/>
    </xf>
    <xf numFmtId="3" fontId="10" fillId="0" borderId="76" xfId="0" applyNumberFormat="1" applyFont="1" applyFill="1" applyBorder="1" applyAlignment="1">
      <alignment horizontal="center" vertical="center"/>
    </xf>
    <xf numFmtId="3" fontId="10" fillId="68" borderId="74" xfId="0" applyNumberFormat="1" applyFont="1" applyFill="1" applyBorder="1" applyAlignment="1">
      <alignment horizontal="center" vertical="center"/>
    </xf>
    <xf numFmtId="3" fontId="10" fillId="68" borderId="63" xfId="0" applyNumberFormat="1" applyFont="1" applyFill="1" applyBorder="1" applyAlignment="1">
      <alignment horizontal="center" vertical="center"/>
    </xf>
    <xf numFmtId="3" fontId="13" fillId="0" borderId="38" xfId="0" applyNumberFormat="1" applyFont="1" applyFill="1" applyBorder="1" applyAlignment="1">
      <alignment horizontal="center" vertical="center"/>
    </xf>
    <xf numFmtId="3" fontId="0" fillId="68" borderId="59" xfId="0" applyNumberFormat="1" applyFill="1" applyBorder="1" applyAlignment="1">
      <alignment horizontal="center" vertical="center"/>
    </xf>
    <xf numFmtId="3" fontId="0" fillId="68" borderId="76" xfId="0" applyNumberFormat="1" applyFill="1" applyBorder="1" applyAlignment="1">
      <alignment horizontal="center" vertical="center"/>
    </xf>
    <xf numFmtId="3" fontId="0" fillId="68" borderId="61" xfId="0" applyNumberFormat="1" applyFill="1" applyBorder="1" applyAlignment="1">
      <alignment horizontal="center" vertical="center"/>
    </xf>
    <xf numFmtId="3" fontId="10" fillId="68" borderId="10" xfId="0" applyNumberFormat="1" applyFont="1" applyFill="1" applyBorder="1" applyAlignment="1">
      <alignment horizontal="center" vertical="center"/>
    </xf>
    <xf numFmtId="3" fontId="13" fillId="0" borderId="4" xfId="0" applyNumberFormat="1" applyFont="1" applyFill="1" applyBorder="1" applyAlignment="1">
      <alignment horizontal="center"/>
    </xf>
    <xf numFmtId="4" fontId="13" fillId="0" borderId="5" xfId="0" applyNumberFormat="1" applyFont="1" applyFill="1" applyBorder="1" applyAlignment="1">
      <alignment horizontal="center"/>
    </xf>
    <xf numFmtId="0" fontId="69" fillId="61" borderId="18" xfId="0" applyFont="1" applyFill="1" applyBorder="1" applyAlignment="1">
      <alignment horizontal="center" vertical="center"/>
    </xf>
    <xf numFmtId="0" fontId="10" fillId="0" borderId="92" xfId="0" applyFont="1" applyFill="1" applyBorder="1" applyAlignment="1">
      <alignment horizontal="center" vertical="center" wrapText="1"/>
    </xf>
    <xf numFmtId="0" fontId="10" fillId="0" borderId="93"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69" fillId="65" borderId="67" xfId="0" applyFont="1" applyFill="1" applyBorder="1" applyAlignment="1">
      <alignment horizontal="center" vertical="center" wrapText="1"/>
    </xf>
    <xf numFmtId="3" fontId="10" fillId="0" borderId="121" xfId="0" applyNumberFormat="1" applyFont="1" applyFill="1" applyBorder="1" applyAlignment="1">
      <alignment horizontal="center" vertical="center"/>
    </xf>
    <xf numFmtId="3" fontId="0" fillId="68" borderId="134" xfId="0" applyNumberFormat="1" applyFill="1" applyBorder="1" applyAlignment="1">
      <alignment horizontal="center" vertical="center"/>
    </xf>
    <xf numFmtId="3" fontId="10" fillId="68" borderId="67" xfId="0" applyNumberFormat="1" applyFont="1" applyFill="1" applyBorder="1" applyAlignment="1">
      <alignment horizontal="center" vertical="center"/>
    </xf>
    <xf numFmtId="3" fontId="13" fillId="0" borderId="35" xfId="0" applyNumberFormat="1" applyFont="1" applyFill="1" applyBorder="1" applyAlignment="1">
      <alignment horizontal="center"/>
    </xf>
    <xf numFmtId="3" fontId="0" fillId="0" borderId="121" xfId="0" applyNumberFormat="1" applyFill="1" applyBorder="1" applyAlignment="1">
      <alignment horizontal="center" vertical="center"/>
    </xf>
    <xf numFmtId="0" fontId="69" fillId="64" borderId="9" xfId="0" applyFont="1" applyFill="1" applyBorder="1" applyAlignment="1">
      <alignment horizontal="center" vertical="center" wrapText="1"/>
    </xf>
    <xf numFmtId="0" fontId="69" fillId="64" borderId="10" xfId="0" applyFont="1" applyFill="1" applyBorder="1" applyAlignment="1">
      <alignment horizontal="center" vertical="center" wrapText="1"/>
    </xf>
    <xf numFmtId="3" fontId="10" fillId="0" borderId="71" xfId="0" applyNumberFormat="1" applyFont="1" applyFill="1" applyBorder="1" applyAlignment="1">
      <alignment horizontal="center" vertical="center"/>
    </xf>
    <xf numFmtId="3" fontId="10" fillId="0" borderId="74" xfId="0" applyNumberFormat="1" applyFont="1" applyFill="1" applyBorder="1" applyAlignment="1">
      <alignment horizontal="center" vertical="center"/>
    </xf>
    <xf numFmtId="3" fontId="0" fillId="0" borderId="75" xfId="0" applyNumberFormat="1" applyFill="1" applyBorder="1" applyAlignment="1">
      <alignment horizontal="center" vertical="center"/>
    </xf>
    <xf numFmtId="3" fontId="0" fillId="68" borderId="74" xfId="0" applyNumberFormat="1" applyFill="1" applyBorder="1" applyAlignment="1">
      <alignment horizontal="center" vertical="center"/>
    </xf>
    <xf numFmtId="3" fontId="0" fillId="68" borderId="63" xfId="0" applyNumberFormat="1" applyFill="1" applyBorder="1" applyAlignment="1">
      <alignment horizontal="center" vertical="center"/>
    </xf>
    <xf numFmtId="3" fontId="0" fillId="68" borderId="9" xfId="0" applyNumberFormat="1" applyFill="1" applyBorder="1" applyAlignment="1">
      <alignment horizontal="center" vertical="center"/>
    </xf>
    <xf numFmtId="3" fontId="0" fillId="68" borderId="10" xfId="0" applyNumberFormat="1" applyFill="1" applyBorder="1" applyAlignment="1">
      <alignment horizontal="center" vertical="center"/>
    </xf>
    <xf numFmtId="3" fontId="13" fillId="0" borderId="5" xfId="0" applyNumberFormat="1" applyFont="1" applyFill="1" applyBorder="1" applyAlignment="1">
      <alignment horizontal="center"/>
    </xf>
    <xf numFmtId="0" fontId="69" fillId="63" borderId="9" xfId="0" applyFont="1" applyFill="1" applyBorder="1" applyAlignment="1">
      <alignment horizontal="center" vertical="center" wrapText="1"/>
    </xf>
    <xf numFmtId="0" fontId="69" fillId="63" borderId="10" xfId="0" applyFont="1" applyFill="1" applyBorder="1" applyAlignment="1">
      <alignment horizontal="center" vertical="center" wrapText="1"/>
    </xf>
    <xf numFmtId="3" fontId="10" fillId="0" borderId="73" xfId="0" applyNumberFormat="1" applyFont="1" applyFill="1" applyBorder="1" applyAlignment="1">
      <alignment horizontal="center" vertical="center"/>
    </xf>
    <xf numFmtId="3" fontId="0" fillId="0" borderId="59" xfId="0" applyNumberFormat="1" applyFill="1" applyBorder="1" applyAlignment="1">
      <alignment horizontal="center" vertical="center"/>
    </xf>
    <xf numFmtId="3" fontId="50" fillId="42" borderId="80" xfId="0" applyNumberFormat="1" applyFont="1" applyFill="1" applyBorder="1" applyAlignment="1">
      <alignment horizontal="center" vertical="center"/>
    </xf>
    <xf numFmtId="3" fontId="50" fillId="42" borderId="60" xfId="0" applyNumberFormat="1" applyFont="1" applyFill="1" applyBorder="1" applyAlignment="1">
      <alignment horizontal="center" vertical="center"/>
    </xf>
    <xf numFmtId="3" fontId="50" fillId="42" borderId="78" xfId="0" applyNumberFormat="1" applyFont="1" applyFill="1" applyBorder="1" applyAlignment="1">
      <alignment horizontal="center" vertical="center"/>
    </xf>
    <xf numFmtId="3" fontId="50" fillId="42" borderId="58" xfId="0" applyNumberFormat="1" applyFont="1" applyFill="1" applyBorder="1" applyAlignment="1">
      <alignment horizontal="center" vertical="center"/>
    </xf>
    <xf numFmtId="3" fontId="45" fillId="68" borderId="38" xfId="0" applyNumberFormat="1" applyFont="1" applyFill="1" applyBorder="1" applyAlignment="1">
      <alignment horizontal="center" vertical="center"/>
    </xf>
    <xf numFmtId="3" fontId="45" fillId="68" borderId="89" xfId="0" applyNumberFormat="1" applyFont="1" applyFill="1" applyBorder="1" applyAlignment="1">
      <alignment horizontal="center" vertical="center"/>
    </xf>
    <xf numFmtId="3" fontId="45" fillId="68" borderId="63" xfId="0" applyNumberFormat="1" applyFont="1" applyFill="1" applyBorder="1" applyAlignment="1">
      <alignment horizontal="center" vertical="center"/>
    </xf>
    <xf numFmtId="3" fontId="50" fillId="68" borderId="78" xfId="0" applyNumberFormat="1" applyFont="1" applyFill="1" applyBorder="1" applyAlignment="1">
      <alignment horizontal="center" vertical="center"/>
    </xf>
    <xf numFmtId="3" fontId="50" fillId="68" borderId="60" xfId="0" applyNumberFormat="1" applyFont="1" applyFill="1" applyBorder="1" applyAlignment="1">
      <alignment horizontal="center" vertical="center"/>
    </xf>
    <xf numFmtId="3" fontId="50" fillId="68" borderId="62" xfId="0" applyNumberFormat="1" applyFont="1" applyFill="1" applyBorder="1" applyAlignment="1">
      <alignment horizontal="center" vertical="center"/>
    </xf>
    <xf numFmtId="3" fontId="28" fillId="42" borderId="60" xfId="0" applyNumberFormat="1" applyFont="1" applyFill="1" applyBorder="1" applyAlignment="1">
      <alignment horizontal="center" vertical="center"/>
    </xf>
    <xf numFmtId="10" fontId="28" fillId="42" borderId="60" xfId="0" applyNumberFormat="1" applyFont="1" applyFill="1" applyBorder="1" applyAlignment="1">
      <alignment horizontal="center" vertical="center"/>
    </xf>
    <xf numFmtId="3" fontId="28" fillId="42" borderId="78" xfId="0" applyNumberFormat="1" applyFont="1" applyFill="1" applyBorder="1" applyAlignment="1">
      <alignment horizontal="center" vertical="center"/>
    </xf>
    <xf numFmtId="3" fontId="0" fillId="0" borderId="124" xfId="0" applyNumberFormat="1" applyFill="1" applyBorder="1" applyAlignment="1">
      <alignment horizontal="center" vertical="center"/>
    </xf>
    <xf numFmtId="171" fontId="0" fillId="0" borderId="97" xfId="0" applyNumberFormat="1" applyFill="1" applyBorder="1" applyAlignment="1">
      <alignment horizontal="center" vertical="center"/>
    </xf>
    <xf numFmtId="3" fontId="0" fillId="0" borderId="97" xfId="0" applyNumberFormat="1" applyFill="1" applyBorder="1" applyAlignment="1">
      <alignment horizontal="center" vertical="center"/>
    </xf>
    <xf numFmtId="171" fontId="0" fillId="0" borderId="89" xfId="0" applyNumberFormat="1" applyFill="1" applyBorder="1" applyAlignment="1">
      <alignment horizontal="center" vertical="center"/>
    </xf>
    <xf numFmtId="0" fontId="18" fillId="0" borderId="5" xfId="2" applyFill="1" applyBorder="1" applyAlignment="1" applyProtection="1">
      <alignment horizontal="center" vertical="center"/>
    </xf>
    <xf numFmtId="3" fontId="10" fillId="68" borderId="75" xfId="0" applyNumberFormat="1" applyFont="1" applyFill="1" applyBorder="1" applyAlignment="1">
      <alignment horizontal="center" vertical="center"/>
    </xf>
    <xf numFmtId="3" fontId="10" fillId="68" borderId="59" xfId="0" applyNumberFormat="1" applyFont="1" applyFill="1" applyBorder="1" applyAlignment="1">
      <alignment horizontal="center" vertical="center"/>
    </xf>
    <xf numFmtId="0" fontId="10" fillId="4" borderId="96" xfId="0" applyFont="1" applyFill="1" applyBorder="1" applyAlignment="1">
      <alignment horizontal="center" vertical="center"/>
    </xf>
    <xf numFmtId="3" fontId="0" fillId="4" borderId="80" xfId="0" applyNumberFormat="1" applyFill="1" applyBorder="1" applyAlignment="1">
      <alignment horizontal="center" vertical="center"/>
    </xf>
    <xf numFmtId="4" fontId="0" fillId="4" borderId="80" xfId="0" applyNumberFormat="1" applyFill="1" applyBorder="1" applyAlignment="1">
      <alignment horizontal="center" vertical="center"/>
    </xf>
    <xf numFmtId="3" fontId="0" fillId="59" borderId="80" xfId="0" applyNumberFormat="1" applyFill="1" applyBorder="1" applyAlignment="1">
      <alignment horizontal="center" vertical="center"/>
    </xf>
    <xf numFmtId="170" fontId="0" fillId="4" borderId="80" xfId="0" applyNumberFormat="1" applyFill="1" applyBorder="1" applyAlignment="1">
      <alignment horizontal="center" vertical="center"/>
    </xf>
    <xf numFmtId="3" fontId="0" fillId="4" borderId="107" xfId="0" applyNumberFormat="1" applyFill="1" applyBorder="1" applyAlignment="1">
      <alignment horizontal="center" vertical="center"/>
    </xf>
    <xf numFmtId="180" fontId="0" fillId="4" borderId="80" xfId="0" applyNumberFormat="1" applyFill="1" applyBorder="1" applyAlignment="1">
      <alignment horizontal="center" vertical="center"/>
    </xf>
    <xf numFmtId="183" fontId="0" fillId="59" borderId="81" xfId="0" applyNumberFormat="1" applyFill="1" applyBorder="1" applyAlignment="1">
      <alignment horizontal="center" vertical="center"/>
    </xf>
    <xf numFmtId="3" fontId="28" fillId="42" borderId="72" xfId="0" applyNumberFormat="1" applyFont="1" applyFill="1" applyBorder="1" applyAlignment="1">
      <alignment horizontal="center" vertical="center"/>
    </xf>
    <xf numFmtId="3" fontId="28" fillId="42" borderId="86" xfId="0" applyNumberFormat="1" applyFont="1" applyFill="1" applyBorder="1" applyAlignment="1">
      <alignment horizontal="center" vertical="center"/>
    </xf>
    <xf numFmtId="170" fontId="28" fillId="42" borderId="72" xfId="0" applyNumberFormat="1" applyFont="1" applyFill="1" applyBorder="1" applyAlignment="1">
      <alignment horizontal="center" vertical="center"/>
    </xf>
    <xf numFmtId="170" fontId="28" fillId="42" borderId="60" xfId="0" applyNumberFormat="1" applyFont="1" applyFill="1" applyBorder="1" applyAlignment="1">
      <alignment horizontal="center" vertical="center"/>
    </xf>
    <xf numFmtId="170" fontId="28" fillId="42" borderId="86" xfId="0" applyNumberFormat="1" applyFont="1" applyFill="1" applyBorder="1" applyAlignment="1">
      <alignment horizontal="center" vertical="center"/>
    </xf>
    <xf numFmtId="4" fontId="28" fillId="42" borderId="72" xfId="0" applyNumberFormat="1" applyFont="1" applyFill="1" applyBorder="1" applyAlignment="1">
      <alignment horizontal="center" vertical="center"/>
    </xf>
    <xf numFmtId="4" fontId="28" fillId="42" borderId="60" xfId="0" applyNumberFormat="1" applyFont="1" applyFill="1" applyBorder="1" applyAlignment="1">
      <alignment horizontal="center" vertical="center"/>
    </xf>
    <xf numFmtId="4" fontId="28" fillId="42" borderId="86" xfId="0" applyNumberFormat="1" applyFont="1" applyFill="1" applyBorder="1" applyAlignment="1">
      <alignment horizontal="center" vertical="center"/>
    </xf>
    <xf numFmtId="4" fontId="28" fillId="0" borderId="72" xfId="0" applyNumberFormat="1" applyFont="1" applyFill="1" applyBorder="1" applyAlignment="1">
      <alignment horizontal="center" vertical="center"/>
    </xf>
    <xf numFmtId="3" fontId="28" fillId="0" borderId="72" xfId="0" applyNumberFormat="1" applyFont="1" applyFill="1" applyBorder="1" applyAlignment="1">
      <alignment horizontal="center" vertical="center"/>
    </xf>
    <xf numFmtId="4" fontId="28" fillId="0" borderId="73" xfId="0" applyNumberFormat="1" applyFont="1" applyFill="1" applyBorder="1" applyAlignment="1">
      <alignment horizontal="center" vertical="center"/>
    </xf>
    <xf numFmtId="4" fontId="28" fillId="0" borderId="78" xfId="0" applyNumberFormat="1" applyFont="1" applyFill="1" applyBorder="1" applyAlignment="1">
      <alignment horizontal="center" vertical="center"/>
    </xf>
    <xf numFmtId="3" fontId="28" fillId="0" borderId="78" xfId="0" applyNumberFormat="1" applyFont="1" applyFill="1" applyBorder="1" applyAlignment="1">
      <alignment horizontal="center" vertical="center"/>
    </xf>
    <xf numFmtId="4" fontId="28" fillId="0" borderId="89" xfId="0" applyNumberFormat="1" applyFont="1" applyFill="1" applyBorder="1" applyAlignment="1">
      <alignment horizontal="center" vertical="center"/>
    </xf>
    <xf numFmtId="4" fontId="28" fillId="0" borderId="61" xfId="0" applyNumberFormat="1" applyFont="1" applyFill="1" applyBorder="1" applyAlignment="1">
      <alignment horizontal="center" vertical="center"/>
    </xf>
    <xf numFmtId="180" fontId="10" fillId="0" borderId="86" xfId="0" applyNumberFormat="1" applyFont="1" applyFill="1" applyBorder="1" applyAlignment="1">
      <alignment horizontal="center" vertical="center"/>
    </xf>
    <xf numFmtId="170" fontId="10" fillId="0" borderId="86" xfId="0" applyNumberFormat="1" applyFont="1" applyFill="1" applyBorder="1" applyAlignment="1">
      <alignment horizontal="center" vertical="center"/>
    </xf>
    <xf numFmtId="181" fontId="10" fillId="0" borderId="88" xfId="0" applyNumberFormat="1" applyFont="1" applyFill="1" applyBorder="1" applyAlignment="1">
      <alignment horizontal="center" vertical="center"/>
    </xf>
    <xf numFmtId="181" fontId="10" fillId="0" borderId="86" xfId="0" applyNumberFormat="1" applyFont="1" applyFill="1" applyBorder="1" applyAlignment="1">
      <alignment horizontal="center" vertical="center"/>
    </xf>
    <xf numFmtId="4" fontId="28" fillId="0" borderId="16" xfId="0" applyNumberFormat="1" applyFont="1" applyFill="1" applyBorder="1" applyAlignment="1">
      <alignment horizontal="center" vertical="center"/>
    </xf>
    <xf numFmtId="171" fontId="28" fillId="0" borderId="10" xfId="0" applyNumberFormat="1" applyFont="1" applyFill="1" applyBorder="1" applyAlignment="1">
      <alignment horizontal="center" vertical="center"/>
    </xf>
    <xf numFmtId="37" fontId="10" fillId="0" borderId="59" xfId="1" applyNumberFormat="1" applyFont="1" applyFill="1" applyBorder="1" applyAlignment="1">
      <alignment horizontal="center" vertical="center" wrapText="1"/>
    </xf>
    <xf numFmtId="37" fontId="10" fillId="0" borderId="63" xfId="1" applyNumberFormat="1" applyFont="1" applyFill="1" applyBorder="1" applyAlignment="1">
      <alignment horizontal="center" vertical="center" wrapText="1"/>
    </xf>
    <xf numFmtId="0" fontId="10" fillId="68" borderId="114" xfId="0" applyFont="1" applyFill="1" applyBorder="1" applyAlignment="1">
      <alignment horizontal="center" vertical="center" wrapText="1"/>
    </xf>
    <xf numFmtId="0" fontId="10" fillId="0" borderId="71" xfId="0" applyFont="1" applyFill="1" applyBorder="1" applyAlignment="1">
      <alignment horizontal="center" wrapText="1"/>
    </xf>
    <xf numFmtId="37" fontId="10" fillId="42" borderId="72" xfId="1" applyNumberFormat="1" applyFont="1" applyFill="1" applyBorder="1" applyAlignment="1">
      <alignment horizontal="center" wrapText="1"/>
    </xf>
    <xf numFmtId="37" fontId="10" fillId="0" borderId="72" xfId="1" applyNumberFormat="1" applyFont="1" applyFill="1" applyBorder="1" applyAlignment="1">
      <alignment horizontal="center" wrapText="1"/>
    </xf>
    <xf numFmtId="37" fontId="10" fillId="0" borderId="73" xfId="1" applyNumberFormat="1" applyFont="1" applyFill="1" applyBorder="1" applyAlignment="1">
      <alignment horizontal="center" wrapText="1"/>
    </xf>
    <xf numFmtId="0" fontId="10" fillId="0" borderId="74" xfId="0" applyFont="1" applyFill="1" applyBorder="1" applyAlignment="1">
      <alignment horizontal="center" wrapText="1"/>
    </xf>
    <xf numFmtId="37" fontId="10" fillId="42" borderId="62" xfId="1" applyNumberFormat="1" applyFont="1" applyFill="1" applyBorder="1" applyAlignment="1">
      <alignment horizontal="center" wrapText="1"/>
    </xf>
    <xf numFmtId="37" fontId="10" fillId="0" borderId="62" xfId="1" applyNumberFormat="1" applyFont="1" applyFill="1" applyBorder="1" applyAlignment="1">
      <alignment horizontal="center" wrapText="1"/>
    </xf>
    <xf numFmtId="37" fontId="10" fillId="0" borderId="63" xfId="1" applyNumberFormat="1" applyFont="1" applyFill="1" applyBorder="1" applyAlignment="1">
      <alignment horizontal="center" wrapText="1"/>
    </xf>
    <xf numFmtId="166" fontId="10" fillId="0" borderId="112" xfId="0" applyNumberFormat="1" applyFont="1" applyFill="1" applyBorder="1" applyAlignment="1">
      <alignment horizontal="center" vertical="center"/>
    </xf>
    <xf numFmtId="166" fontId="10" fillId="42" borderId="112" xfId="0" applyNumberFormat="1" applyFont="1" applyFill="1" applyBorder="1" applyAlignment="1">
      <alignment horizontal="center" vertical="center"/>
    </xf>
    <xf numFmtId="166" fontId="10" fillId="0" borderId="72" xfId="0" applyNumberFormat="1" applyFont="1" applyFill="1" applyBorder="1" applyAlignment="1">
      <alignment horizontal="center" vertical="center"/>
    </xf>
    <xf numFmtId="10" fontId="10" fillId="0" borderId="73" xfId="3" applyNumberFormat="1" applyFont="1" applyFill="1" applyBorder="1" applyAlignment="1">
      <alignment horizontal="center" vertical="center"/>
    </xf>
    <xf numFmtId="10" fontId="10" fillId="0" borderId="61" xfId="3" applyNumberFormat="1" applyFont="1" applyFill="1" applyBorder="1" applyAlignment="1">
      <alignment horizontal="center" vertical="center"/>
    </xf>
    <xf numFmtId="0" fontId="10" fillId="4" borderId="86" xfId="0" applyFont="1" applyFill="1" applyBorder="1" applyAlignment="1">
      <alignment horizontal="center" vertical="center"/>
    </xf>
    <xf numFmtId="166" fontId="10" fillId="0" borderId="86" xfId="0" applyNumberFormat="1" applyFont="1" applyFill="1" applyBorder="1" applyAlignment="1">
      <alignment horizontal="center" vertical="center"/>
    </xf>
    <xf numFmtId="10" fontId="10" fillId="0" borderId="88" xfId="3" applyNumberFormat="1" applyFont="1" applyFill="1" applyBorder="1" applyAlignment="1">
      <alignment horizontal="center" vertical="center"/>
    </xf>
    <xf numFmtId="0" fontId="10" fillId="68" borderId="72" xfId="0" applyFont="1" applyFill="1" applyBorder="1" applyAlignment="1">
      <alignment horizontal="center" vertical="center"/>
    </xf>
    <xf numFmtId="0" fontId="10" fillId="68" borderId="60" xfId="0" applyFont="1" applyFill="1" applyBorder="1" applyAlignment="1">
      <alignment horizontal="center" vertical="center"/>
    </xf>
    <xf numFmtId="0" fontId="10" fillId="68" borderId="86" xfId="0" applyFont="1" applyFill="1" applyBorder="1" applyAlignment="1">
      <alignment horizontal="center" vertical="center"/>
    </xf>
    <xf numFmtId="3" fontId="0" fillId="36" borderId="5" xfId="0" applyNumberFormat="1" applyFill="1" applyBorder="1" applyAlignment="1">
      <alignment horizontal="center" vertical="center"/>
    </xf>
    <xf numFmtId="174" fontId="28" fillId="0" borderId="114" xfId="0" applyNumberFormat="1" applyFont="1" applyFill="1" applyBorder="1" applyAlignment="1">
      <alignment horizontal="center" vertical="center" wrapText="1"/>
    </xf>
    <xf numFmtId="165" fontId="28" fillId="0" borderId="114" xfId="0" applyNumberFormat="1" applyFont="1" applyFill="1" applyBorder="1" applyAlignment="1">
      <alignment horizontal="center" vertical="center" wrapText="1"/>
    </xf>
    <xf numFmtId="191" fontId="28" fillId="0" borderId="114" xfId="0" applyNumberFormat="1" applyFont="1" applyFill="1" applyBorder="1" applyAlignment="1">
      <alignment horizontal="center" vertical="center" wrapText="1"/>
    </xf>
    <xf numFmtId="174" fontId="28" fillId="42" borderId="114" xfId="0" applyNumberFormat="1" applyFont="1" applyFill="1" applyBorder="1" applyAlignment="1">
      <alignment horizontal="center" vertical="center" wrapText="1"/>
    </xf>
    <xf numFmtId="165" fontId="45" fillId="0" borderId="113" xfId="0" applyNumberFormat="1" applyFont="1" applyFill="1" applyBorder="1" applyAlignment="1">
      <alignment horizontal="right" vertical="center" wrapText="1"/>
    </xf>
    <xf numFmtId="165" fontId="45" fillId="0" borderId="11" xfId="0" applyNumberFormat="1" applyFont="1" applyFill="1" applyBorder="1" applyAlignment="1">
      <alignment horizontal="right" vertical="center" wrapText="1"/>
    </xf>
    <xf numFmtId="164" fontId="18" fillId="4" borderId="5" xfId="2" applyNumberFormat="1" applyFill="1" applyBorder="1" applyAlignment="1" applyProtection="1">
      <alignment horizontal="center" vertical="center" wrapText="1"/>
    </xf>
    <xf numFmtId="170" fontId="10" fillId="0" borderId="11" xfId="0" applyNumberFormat="1" applyFont="1" applyFill="1" applyBorder="1" applyAlignment="1">
      <alignment horizontal="center" vertical="center"/>
    </xf>
    <xf numFmtId="164" fontId="75" fillId="4" borderId="21" xfId="2" applyNumberFormat="1" applyFont="1" applyFill="1" applyBorder="1" applyAlignment="1" applyProtection="1">
      <alignment horizontal="center" vertical="center" wrapText="1"/>
    </xf>
    <xf numFmtId="2" fontId="13" fillId="4" borderId="114" xfId="0" applyNumberFormat="1" applyFont="1" applyFill="1" applyBorder="1" applyAlignment="1">
      <alignment horizontal="center" vertical="center"/>
    </xf>
    <xf numFmtId="168" fontId="10" fillId="0" borderId="62" xfId="0" applyNumberFormat="1" applyFont="1" applyFill="1" applyBorder="1" applyAlignment="1">
      <alignment horizontal="center" vertical="center" wrapText="1"/>
    </xf>
    <xf numFmtId="3" fontId="10" fillId="4" borderId="61" xfId="0" applyNumberFormat="1" applyFont="1" applyFill="1" applyBorder="1" applyAlignment="1">
      <alignment horizontal="center" vertical="center" wrapText="1"/>
    </xf>
    <xf numFmtId="0" fontId="18" fillId="4" borderId="5" xfId="2" applyFill="1" applyBorder="1" applyAlignment="1" applyProtection="1">
      <alignment horizontal="center" vertical="top" wrapText="1"/>
    </xf>
    <xf numFmtId="0" fontId="28" fillId="42" borderId="72" xfId="110" applyFont="1" applyFill="1" applyBorder="1" applyAlignment="1">
      <alignment horizontal="center" vertical="center" wrapText="1"/>
    </xf>
    <xf numFmtId="0" fontId="28" fillId="42" borderId="60" xfId="110" applyFont="1" applyFill="1" applyBorder="1" applyAlignment="1">
      <alignment horizontal="center" vertical="center" wrapText="1"/>
    </xf>
    <xf numFmtId="0" fontId="28" fillId="42" borderId="62" xfId="110" applyFont="1" applyFill="1" applyBorder="1" applyAlignment="1">
      <alignment horizontal="center" vertical="center" wrapText="1"/>
    </xf>
    <xf numFmtId="166" fontId="28" fillId="42" borderId="72" xfId="110" applyNumberFormat="1" applyFont="1" applyFill="1" applyBorder="1" applyAlignment="1">
      <alignment horizontal="center" vertical="center" wrapText="1"/>
    </xf>
    <xf numFmtId="166" fontId="28" fillId="42" borderId="60" xfId="0" applyNumberFormat="1" applyFont="1" applyFill="1" applyBorder="1" applyAlignment="1">
      <alignment horizontal="center" vertical="center"/>
    </xf>
    <xf numFmtId="9" fontId="28" fillId="42" borderId="62" xfId="0" applyNumberFormat="1" applyFont="1" applyFill="1" applyBorder="1" applyAlignment="1">
      <alignment horizontal="center" vertical="center"/>
    </xf>
    <xf numFmtId="0" fontId="69" fillId="61" borderId="109" xfId="110" applyFont="1" applyFill="1" applyBorder="1" applyAlignment="1">
      <alignment horizontal="center" vertical="center" wrapText="1"/>
    </xf>
    <xf numFmtId="182" fontId="28" fillId="0" borderId="122" xfId="110" applyNumberFormat="1" applyFont="1" applyFill="1" applyBorder="1" applyAlignment="1">
      <alignment horizontal="center" vertical="center" wrapText="1"/>
    </xf>
    <xf numFmtId="182" fontId="28" fillId="0" borderId="121" xfId="110" applyNumberFormat="1" applyFont="1" applyFill="1" applyBorder="1" applyAlignment="1">
      <alignment horizontal="center" vertical="center" wrapText="1"/>
    </xf>
    <xf numFmtId="182" fontId="28" fillId="0" borderId="132" xfId="110" applyNumberFormat="1" applyFont="1" applyFill="1" applyBorder="1" applyAlignment="1">
      <alignment horizontal="center" vertical="center" wrapText="1"/>
    </xf>
    <xf numFmtId="9" fontId="28" fillId="42" borderId="92" xfId="110" applyNumberFormat="1" applyFont="1" applyFill="1" applyBorder="1" applyAlignment="1">
      <alignment horizontal="center" vertical="center" wrapText="1"/>
    </xf>
    <xf numFmtId="9" fontId="28" fillId="42" borderId="73" xfId="110" applyNumberFormat="1" applyFont="1" applyFill="1" applyBorder="1" applyAlignment="1">
      <alignment horizontal="center" vertical="center" wrapText="1"/>
    </xf>
    <xf numFmtId="9" fontId="28" fillId="42" borderId="93" xfId="110" applyNumberFormat="1" applyFont="1" applyFill="1" applyBorder="1" applyAlignment="1">
      <alignment horizontal="center" vertical="center" wrapText="1"/>
    </xf>
    <xf numFmtId="9" fontId="28" fillId="42" borderId="61" xfId="110" applyNumberFormat="1" applyFont="1" applyFill="1" applyBorder="1" applyAlignment="1">
      <alignment horizontal="center" vertical="center" wrapText="1"/>
    </xf>
    <xf numFmtId="9" fontId="28" fillId="42" borderId="106" xfId="110" applyNumberFormat="1" applyFont="1" applyFill="1" applyBorder="1" applyAlignment="1">
      <alignment horizontal="center" vertical="center" wrapText="1"/>
    </xf>
    <xf numFmtId="9" fontId="28" fillId="42" borderId="63" xfId="110" applyNumberFormat="1" applyFont="1" applyFill="1" applyBorder="1" applyAlignment="1">
      <alignment horizontal="center" vertical="center" wrapText="1"/>
    </xf>
    <xf numFmtId="0" fontId="27" fillId="0" borderId="0" xfId="10" applyFont="1" applyFill="1"/>
    <xf numFmtId="169" fontId="28" fillId="0" borderId="121" xfId="110" applyNumberFormat="1" applyFont="1" applyFill="1" applyBorder="1" applyAlignment="1">
      <alignment horizontal="center" vertical="center"/>
    </xf>
    <xf numFmtId="0" fontId="28" fillId="68" borderId="121" xfId="110" applyFont="1" applyFill="1" applyBorder="1" applyAlignment="1">
      <alignment horizontal="center" vertical="center"/>
    </xf>
    <xf numFmtId="0" fontId="28" fillId="68" borderId="123" xfId="110" applyFont="1" applyFill="1" applyBorder="1" applyAlignment="1">
      <alignment horizontal="center" vertical="center"/>
    </xf>
    <xf numFmtId="171" fontId="10" fillId="0" borderId="112" xfId="0" applyNumberFormat="1" applyFont="1" applyFill="1" applyBorder="1" applyAlignment="1">
      <alignment horizontal="center" vertical="center"/>
    </xf>
    <xf numFmtId="170" fontId="10" fillId="0" borderId="112" xfId="0" applyNumberFormat="1" applyFont="1" applyFill="1" applyBorder="1" applyAlignment="1">
      <alignment horizontal="center" vertical="center"/>
    </xf>
    <xf numFmtId="0" fontId="49" fillId="68" borderId="112" xfId="0" applyFont="1" applyFill="1" applyBorder="1" applyAlignment="1">
      <alignment horizontal="center" vertical="center" wrapText="1"/>
    </xf>
    <xf numFmtId="0" fontId="50" fillId="68" borderId="112" xfId="0" applyFont="1" applyFill="1" applyBorder="1" applyAlignment="1">
      <alignment horizontal="center" vertical="center" wrapText="1"/>
    </xf>
    <xf numFmtId="0" fontId="49" fillId="68" borderId="114" xfId="0" applyFont="1" applyFill="1" applyBorder="1" applyAlignment="1">
      <alignment horizontal="center" vertical="center"/>
    </xf>
    <xf numFmtId="0" fontId="50" fillId="68" borderId="114" xfId="0" applyFont="1" applyFill="1" applyBorder="1" applyAlignment="1">
      <alignment horizontal="center" vertical="center"/>
    </xf>
    <xf numFmtId="0" fontId="50" fillId="68" borderId="63" xfId="0" applyFont="1" applyFill="1" applyBorder="1" applyAlignment="1">
      <alignment horizontal="center" vertical="center"/>
    </xf>
    <xf numFmtId="0" fontId="51" fillId="61" borderId="113" xfId="0" applyFont="1" applyFill="1" applyBorder="1" applyAlignment="1">
      <alignment horizontal="right" wrapText="1"/>
    </xf>
    <xf numFmtId="165" fontId="51" fillId="61" borderId="113" xfId="0" applyNumberFormat="1" applyFont="1" applyFill="1" applyBorder="1" applyAlignment="1">
      <alignment horizontal="right" wrapText="1"/>
    </xf>
    <xf numFmtId="0" fontId="28" fillId="0" borderId="11" xfId="0" applyFont="1" applyFill="1" applyBorder="1" applyAlignment="1">
      <alignment horizontal="center" vertical="center" wrapText="1"/>
    </xf>
    <xf numFmtId="0" fontId="28" fillId="0" borderId="9" xfId="0" applyFont="1" applyFill="1" applyBorder="1" applyAlignment="1">
      <alignment horizontal="center" vertical="center"/>
    </xf>
    <xf numFmtId="3" fontId="28" fillId="42" borderId="16" xfId="0" applyNumberFormat="1" applyFont="1" applyFill="1" applyBorder="1" applyAlignment="1">
      <alignment horizontal="center" vertical="center"/>
    </xf>
    <xf numFmtId="166" fontId="28" fillId="0" borderId="10" xfId="0" applyNumberFormat="1" applyFont="1" applyFill="1" applyBorder="1" applyAlignment="1">
      <alignment horizontal="center" vertical="center"/>
    </xf>
    <xf numFmtId="3" fontId="28" fillId="0" borderId="112" xfId="0" applyNumberFormat="1" applyFont="1" applyFill="1" applyBorder="1" applyAlignment="1">
      <alignment horizontal="center" vertical="center"/>
    </xf>
    <xf numFmtId="3" fontId="28" fillId="42" borderId="112" xfId="0" applyNumberFormat="1" applyFont="1" applyFill="1" applyBorder="1" applyAlignment="1">
      <alignment horizontal="center" vertical="center"/>
    </xf>
    <xf numFmtId="166" fontId="28" fillId="0" borderId="114" xfId="0" applyNumberFormat="1" applyFont="1" applyFill="1" applyBorder="1" applyAlignment="1">
      <alignment horizontal="center" vertical="center"/>
    </xf>
    <xf numFmtId="4" fontId="28" fillId="0" borderId="112" xfId="0" applyNumberFormat="1" applyFont="1" applyFill="1" applyBorder="1" applyAlignment="1">
      <alignment horizontal="center" vertical="center"/>
    </xf>
    <xf numFmtId="171" fontId="28" fillId="0" borderId="114" xfId="0" applyNumberFormat="1" applyFont="1" applyFill="1" applyBorder="1" applyAlignment="1">
      <alignment horizontal="center" vertical="center"/>
    </xf>
    <xf numFmtId="0" fontId="10" fillId="0" borderId="71" xfId="0" applyFont="1" applyFill="1" applyBorder="1" applyAlignment="1">
      <alignment horizontal="center"/>
    </xf>
    <xf numFmtId="0" fontId="28" fillId="0" borderId="71" xfId="0" applyFont="1" applyBorder="1" applyAlignment="1">
      <alignment horizontal="center" vertical="center"/>
    </xf>
    <xf numFmtId="0" fontId="28" fillId="0" borderId="76" xfId="0" applyFont="1" applyBorder="1" applyAlignment="1">
      <alignment horizontal="center" vertical="center"/>
    </xf>
    <xf numFmtId="0" fontId="28" fillId="0" borderId="85" xfId="0" applyFont="1" applyBorder="1" applyAlignment="1">
      <alignment horizontal="center" vertical="center"/>
    </xf>
    <xf numFmtId="166" fontId="0" fillId="4" borderId="0" xfId="0" applyNumberFormat="1" applyFill="1"/>
    <xf numFmtId="3" fontId="45" fillId="59" borderId="72" xfId="0" applyNumberFormat="1" applyFont="1" applyFill="1" applyBorder="1" applyAlignment="1">
      <alignment horizontal="center" vertical="center"/>
    </xf>
    <xf numFmtId="166" fontId="45" fillId="59" borderId="72" xfId="3" applyNumberFormat="1" applyFont="1" applyFill="1" applyBorder="1" applyAlignment="1">
      <alignment horizontal="center" vertical="center"/>
    </xf>
    <xf numFmtId="3" fontId="45" fillId="59" borderId="72" xfId="3" applyNumberFormat="1" applyFont="1" applyFill="1" applyBorder="1" applyAlignment="1">
      <alignment horizontal="center" vertical="center"/>
    </xf>
    <xf numFmtId="4" fontId="45" fillId="0" borderId="23" xfId="0" applyNumberFormat="1" applyFont="1" applyBorder="1"/>
    <xf numFmtId="3" fontId="45" fillId="42" borderId="22" xfId="0" applyNumberFormat="1" applyFont="1" applyFill="1" applyBorder="1" applyAlignment="1">
      <alignment horizontal="center" vertical="center"/>
    </xf>
    <xf numFmtId="3" fontId="45" fillId="59" borderId="22" xfId="0" applyNumberFormat="1" applyFont="1" applyFill="1" applyBorder="1" applyAlignment="1">
      <alignment horizontal="center" vertical="center"/>
    </xf>
    <xf numFmtId="166" fontId="45" fillId="59" borderId="22" xfId="3" applyNumberFormat="1" applyFont="1" applyFill="1" applyBorder="1" applyAlignment="1">
      <alignment horizontal="center" vertical="center"/>
    </xf>
    <xf numFmtId="3" fontId="45" fillId="0" borderId="22" xfId="3" applyNumberFormat="1" applyFont="1" applyFill="1" applyBorder="1" applyAlignment="1">
      <alignment horizontal="center" vertical="center"/>
    </xf>
    <xf numFmtId="170" fontId="45" fillId="59" borderId="118" xfId="0" applyNumberFormat="1" applyFont="1" applyFill="1" applyBorder="1" applyAlignment="1">
      <alignment horizontal="center" vertical="center"/>
    </xf>
    <xf numFmtId="4" fontId="45" fillId="0" borderId="118" xfId="0" applyNumberFormat="1" applyFont="1" applyFill="1" applyBorder="1" applyAlignment="1">
      <alignment horizontal="center" vertical="center"/>
    </xf>
    <xf numFmtId="4" fontId="45" fillId="59" borderId="118" xfId="0" applyNumberFormat="1" applyFont="1" applyFill="1" applyBorder="1" applyAlignment="1">
      <alignment horizontal="center" vertical="center"/>
    </xf>
    <xf numFmtId="4" fontId="45" fillId="59" borderId="22" xfId="0" applyNumberFormat="1" applyFont="1" applyFill="1" applyBorder="1" applyAlignment="1">
      <alignment horizontal="center" vertical="center"/>
    </xf>
    <xf numFmtId="4" fontId="45" fillId="59" borderId="38" xfId="0" applyNumberFormat="1" applyFont="1" applyFill="1" applyBorder="1" applyAlignment="1">
      <alignment horizontal="center" vertical="center"/>
    </xf>
    <xf numFmtId="3" fontId="45" fillId="59" borderId="118" xfId="0" applyNumberFormat="1" applyFont="1" applyFill="1" applyBorder="1" applyAlignment="1">
      <alignment horizontal="center" vertical="center"/>
    </xf>
    <xf numFmtId="3" fontId="45" fillId="0" borderId="118" xfId="0" applyNumberFormat="1" applyFont="1" applyFill="1" applyBorder="1" applyAlignment="1">
      <alignment horizontal="center" vertical="center"/>
    </xf>
    <xf numFmtId="0" fontId="0" fillId="59" borderId="135" xfId="0" applyFill="1" applyBorder="1"/>
    <xf numFmtId="4" fontId="45" fillId="0" borderId="113" xfId="0" applyNumberFormat="1" applyFont="1" applyBorder="1"/>
    <xf numFmtId="3" fontId="45" fillId="0" borderId="112" xfId="0" applyNumberFormat="1" applyFont="1" applyFill="1" applyBorder="1" applyAlignment="1">
      <alignment horizontal="center" vertical="center"/>
    </xf>
    <xf numFmtId="3" fontId="45" fillId="59" borderId="112" xfId="0" applyNumberFormat="1" applyFont="1" applyFill="1" applyBorder="1" applyAlignment="1">
      <alignment horizontal="center" vertical="center"/>
    </xf>
    <xf numFmtId="166" fontId="45" fillId="59" borderId="112" xfId="3" applyNumberFormat="1" applyFont="1" applyFill="1" applyBorder="1" applyAlignment="1">
      <alignment horizontal="center" vertical="center"/>
    </xf>
    <xf numFmtId="3" fontId="45" fillId="59" borderId="112" xfId="3" applyNumberFormat="1" applyFont="1" applyFill="1" applyBorder="1" applyAlignment="1">
      <alignment horizontal="center" vertical="center"/>
    </xf>
    <xf numFmtId="170" fontId="45" fillId="59" borderId="112" xfId="0" applyNumberFormat="1" applyFont="1" applyFill="1" applyBorder="1" applyAlignment="1">
      <alignment horizontal="center" vertical="center"/>
    </xf>
    <xf numFmtId="0" fontId="28" fillId="0" borderId="75" xfId="0" applyFont="1" applyFill="1" applyBorder="1" applyAlignment="1">
      <alignment horizontal="center" vertical="center"/>
    </xf>
    <xf numFmtId="3" fontId="28" fillId="42" borderId="134" xfId="0" applyNumberFormat="1" applyFont="1" applyFill="1" applyBorder="1" applyAlignment="1">
      <alignment horizontal="center" vertical="center"/>
    </xf>
    <xf numFmtId="166" fontId="28" fillId="0" borderId="59" xfId="0" applyNumberFormat="1" applyFont="1" applyFill="1" applyBorder="1" applyAlignment="1">
      <alignment horizontal="center" vertical="center"/>
    </xf>
    <xf numFmtId="0" fontId="28" fillId="59" borderId="75" xfId="0" applyFont="1" applyFill="1" applyBorder="1" applyAlignment="1">
      <alignment horizontal="center" vertical="center"/>
    </xf>
    <xf numFmtId="0" fontId="28" fillId="59" borderId="58" xfId="0" applyFont="1" applyFill="1" applyBorder="1" applyAlignment="1">
      <alignment horizontal="center" vertical="center"/>
    </xf>
    <xf numFmtId="0" fontId="28" fillId="59" borderId="59" xfId="0" applyFont="1" applyFill="1" applyBorder="1" applyAlignment="1">
      <alignment horizontal="center" vertical="center"/>
    </xf>
    <xf numFmtId="3" fontId="28" fillId="0" borderId="58" xfId="0" applyNumberFormat="1" applyFont="1" applyFill="1" applyBorder="1" applyAlignment="1">
      <alignment horizontal="center" vertical="center"/>
    </xf>
    <xf numFmtId="180" fontId="10" fillId="0" borderId="58" xfId="0" applyNumberFormat="1" applyFont="1" applyFill="1" applyBorder="1" applyAlignment="1">
      <alignment horizontal="center" vertical="center"/>
    </xf>
    <xf numFmtId="170" fontId="10" fillId="0" borderId="58" xfId="0" applyNumberFormat="1" applyFont="1" applyFill="1" applyBorder="1" applyAlignment="1">
      <alignment horizontal="center" vertical="center"/>
    </xf>
    <xf numFmtId="181" fontId="10" fillId="0" borderId="59" xfId="0" applyNumberFormat="1" applyFont="1" applyFill="1" applyBorder="1" applyAlignment="1">
      <alignment horizontal="center" vertical="center"/>
    </xf>
    <xf numFmtId="3" fontId="28" fillId="42" borderId="121" xfId="0" applyNumberFormat="1" applyFont="1" applyFill="1" applyBorder="1" applyAlignment="1">
      <alignment horizontal="center" vertical="center"/>
    </xf>
    <xf numFmtId="166" fontId="28" fillId="0" borderId="61" xfId="0" applyNumberFormat="1" applyFont="1" applyFill="1" applyBorder="1" applyAlignment="1">
      <alignment horizontal="center" vertical="center"/>
    </xf>
    <xf numFmtId="2" fontId="28" fillId="59" borderId="76" xfId="0" applyNumberFormat="1" applyFont="1" applyFill="1" applyBorder="1" applyAlignment="1">
      <alignment horizontal="center" vertical="center"/>
    </xf>
    <xf numFmtId="2" fontId="28" fillId="59" borderId="60" xfId="0" applyNumberFormat="1" applyFont="1" applyFill="1" applyBorder="1" applyAlignment="1">
      <alignment horizontal="center" vertical="center"/>
    </xf>
    <xf numFmtId="2" fontId="28" fillId="59" borderId="84" xfId="0" applyNumberFormat="1" applyFont="1" applyFill="1" applyBorder="1" applyAlignment="1">
      <alignment horizontal="center" vertical="center"/>
    </xf>
    <xf numFmtId="2" fontId="28" fillId="59" borderId="61" xfId="0" applyNumberFormat="1" applyFont="1" applyFill="1" applyBorder="1" applyAlignment="1">
      <alignment horizontal="center" vertical="center"/>
    </xf>
    <xf numFmtId="0" fontId="28" fillId="59" borderId="76" xfId="0" applyFont="1" applyFill="1" applyBorder="1" applyAlignment="1">
      <alignment horizontal="center" vertical="center"/>
    </xf>
    <xf numFmtId="0" fontId="28" fillId="59" borderId="60" xfId="0" applyFont="1" applyFill="1" applyBorder="1" applyAlignment="1">
      <alignment horizontal="center" vertical="center"/>
    </xf>
    <xf numFmtId="0" fontId="28" fillId="59" borderId="61" xfId="0" applyFont="1" applyFill="1" applyBorder="1" applyAlignment="1">
      <alignment horizontal="center" vertical="center"/>
    </xf>
    <xf numFmtId="180" fontId="10" fillId="0" borderId="60" xfId="0" applyNumberFormat="1" applyFont="1" applyFill="1" applyBorder="1" applyAlignment="1">
      <alignment horizontal="center" vertical="center"/>
    </xf>
    <xf numFmtId="181" fontId="10" fillId="0" borderId="61" xfId="0" applyNumberFormat="1" applyFont="1" applyFill="1" applyBorder="1" applyAlignment="1">
      <alignment horizontal="center" vertical="center"/>
    </xf>
    <xf numFmtId="0" fontId="28" fillId="0" borderId="85" xfId="0" applyFont="1" applyFill="1" applyBorder="1" applyAlignment="1">
      <alignment horizontal="center" vertical="center"/>
    </xf>
    <xf numFmtId="3" fontId="28" fillId="42" borderId="123" xfId="0" applyNumberFormat="1" applyFont="1" applyFill="1" applyBorder="1" applyAlignment="1">
      <alignment horizontal="center" vertical="center"/>
    </xf>
    <xf numFmtId="166" fontId="28" fillId="0" borderId="88" xfId="0" applyNumberFormat="1" applyFont="1" applyFill="1" applyBorder="1" applyAlignment="1">
      <alignment horizontal="center" vertical="center"/>
    </xf>
    <xf numFmtId="3" fontId="28" fillId="0" borderId="87" xfId="0" applyNumberFormat="1" applyFont="1" applyFill="1" applyBorder="1" applyAlignment="1">
      <alignment horizontal="center" vertical="center"/>
    </xf>
    <xf numFmtId="3" fontId="28" fillId="0" borderId="88" xfId="0" applyNumberFormat="1" applyFont="1" applyFill="1" applyBorder="1" applyAlignment="1">
      <alignment horizontal="center" vertical="center"/>
    </xf>
    <xf numFmtId="0" fontId="28" fillId="59" borderId="85" xfId="0" applyFont="1" applyFill="1" applyBorder="1" applyAlignment="1">
      <alignment horizontal="center" vertical="center"/>
    </xf>
    <xf numFmtId="0" fontId="28" fillId="59" borderId="86" xfId="0" applyFont="1" applyFill="1" applyBorder="1" applyAlignment="1">
      <alignment horizontal="center" vertical="center"/>
    </xf>
    <xf numFmtId="0" fontId="28" fillId="59" borderId="88" xfId="0" applyFont="1" applyFill="1" applyBorder="1" applyAlignment="1">
      <alignment horizontal="center" vertical="center"/>
    </xf>
    <xf numFmtId="2" fontId="28" fillId="0" borderId="60" xfId="0" applyNumberFormat="1" applyFont="1" applyFill="1" applyBorder="1" applyAlignment="1">
      <alignment horizontal="center" vertical="center"/>
    </xf>
    <xf numFmtId="3" fontId="28" fillId="0" borderId="84" xfId="0" applyNumberFormat="1" applyFont="1" applyFill="1" applyBorder="1" applyAlignment="1">
      <alignment horizontal="center" vertical="center"/>
    </xf>
    <xf numFmtId="4" fontId="28" fillId="0" borderId="87" xfId="0" applyNumberFormat="1" applyFont="1" applyFill="1" applyBorder="1" applyAlignment="1">
      <alignment horizontal="center" vertical="center"/>
    </xf>
    <xf numFmtId="4" fontId="28" fillId="0" borderId="84" xfId="0" applyNumberFormat="1" applyFont="1" applyFill="1" applyBorder="1" applyAlignment="1">
      <alignment horizontal="center" vertical="center"/>
    </xf>
    <xf numFmtId="4" fontId="28" fillId="0" borderId="88" xfId="0" applyNumberFormat="1" applyFont="1" applyFill="1" applyBorder="1" applyAlignment="1">
      <alignment horizontal="center" vertical="center"/>
    </xf>
    <xf numFmtId="3" fontId="88" fillId="42" borderId="76" xfId="0" applyNumberFormat="1" applyFont="1" applyFill="1" applyBorder="1" applyAlignment="1">
      <alignment horizontal="center" vertical="center"/>
    </xf>
    <xf numFmtId="0" fontId="88" fillId="0" borderId="93" xfId="0" applyFont="1" applyFill="1" applyBorder="1" applyAlignment="1">
      <alignment horizontal="center" vertical="center"/>
    </xf>
    <xf numFmtId="3" fontId="0" fillId="59" borderId="72" xfId="0" applyNumberFormat="1" applyFill="1" applyBorder="1" applyAlignment="1">
      <alignment horizontal="center" vertical="center"/>
    </xf>
    <xf numFmtId="0" fontId="91" fillId="61" borderId="113" xfId="0" applyFont="1" applyFill="1" applyBorder="1" applyAlignment="1">
      <alignment horizontal="center" vertical="center" wrapText="1"/>
    </xf>
    <xf numFmtId="0" fontId="91" fillId="61" borderId="112" xfId="0" applyFont="1" applyFill="1" applyBorder="1" applyAlignment="1">
      <alignment horizontal="center" vertical="center" wrapText="1"/>
    </xf>
    <xf numFmtId="0" fontId="91" fillId="61" borderId="114" xfId="0" applyFont="1" applyFill="1" applyBorder="1" applyAlignment="1">
      <alignment horizontal="center" vertical="center" wrapText="1"/>
    </xf>
    <xf numFmtId="0" fontId="91" fillId="61" borderId="115" xfId="0" applyFont="1" applyFill="1" applyBorder="1" applyAlignment="1">
      <alignment horizontal="center" vertical="center" wrapText="1"/>
    </xf>
    <xf numFmtId="0" fontId="91" fillId="61" borderId="57" xfId="0" applyFont="1" applyFill="1" applyBorder="1" applyAlignment="1">
      <alignment horizontal="center" vertical="center" wrapText="1"/>
    </xf>
    <xf numFmtId="0" fontId="91" fillId="61" borderId="117" xfId="0" applyFont="1" applyFill="1" applyBorder="1" applyAlignment="1">
      <alignment horizontal="center" vertical="center" wrapText="1"/>
    </xf>
    <xf numFmtId="0" fontId="89" fillId="0" borderId="70" xfId="0" applyFont="1" applyFill="1" applyBorder="1" applyAlignment="1">
      <alignment horizontal="center" vertical="center"/>
    </xf>
    <xf numFmtId="3" fontId="89" fillId="42" borderId="11" xfId="0" applyNumberFormat="1" applyFont="1" applyFill="1" applyBorder="1" applyAlignment="1">
      <alignment horizontal="center" vertical="center"/>
    </xf>
    <xf numFmtId="3" fontId="89" fillId="42" borderId="120" xfId="0" applyNumberFormat="1" applyFont="1" applyFill="1" applyBorder="1" applyAlignment="1">
      <alignment horizontal="center" vertical="center"/>
    </xf>
    <xf numFmtId="3" fontId="89" fillId="0" borderId="116" xfId="0" applyNumberFormat="1" applyFont="1" applyFill="1" applyBorder="1" applyAlignment="1">
      <alignment horizontal="center" vertical="center"/>
    </xf>
    <xf numFmtId="0" fontId="88" fillId="0" borderId="92" xfId="0" applyFont="1" applyFill="1" applyBorder="1" applyAlignment="1">
      <alignment horizontal="center" vertical="center"/>
    </xf>
    <xf numFmtId="3" fontId="88" fillId="42" borderId="71" xfId="0" applyNumberFormat="1" applyFont="1" applyFill="1" applyBorder="1" applyAlignment="1">
      <alignment horizontal="center" vertical="center"/>
    </xf>
    <xf numFmtId="3" fontId="88" fillId="42" borderId="122" xfId="0" applyNumberFormat="1" applyFont="1" applyFill="1" applyBorder="1" applyAlignment="1">
      <alignment horizontal="center" vertical="center"/>
    </xf>
    <xf numFmtId="3" fontId="28" fillId="0" borderId="110" xfId="0" applyNumberFormat="1" applyFont="1" applyFill="1" applyBorder="1" applyAlignment="1">
      <alignment horizontal="center" vertical="center"/>
    </xf>
    <xf numFmtId="180" fontId="10" fillId="0" borderId="72" xfId="0" applyNumberFormat="1" applyFont="1" applyFill="1" applyBorder="1" applyAlignment="1">
      <alignment horizontal="center" vertical="center"/>
    </xf>
    <xf numFmtId="181" fontId="10" fillId="0" borderId="73" xfId="0" applyNumberFormat="1" applyFont="1" applyFill="1" applyBorder="1" applyAlignment="1">
      <alignment horizontal="center" vertical="center"/>
    </xf>
    <xf numFmtId="3" fontId="88" fillId="42" borderId="121" xfId="0" applyNumberFormat="1" applyFont="1" applyFill="1" applyBorder="1" applyAlignment="1">
      <alignment horizontal="center" vertical="center"/>
    </xf>
    <xf numFmtId="0" fontId="88" fillId="0" borderId="106" xfId="0" applyFont="1" applyFill="1" applyBorder="1" applyAlignment="1">
      <alignment horizontal="center" vertical="center"/>
    </xf>
    <xf numFmtId="3" fontId="88" fillId="42" borderId="74" xfId="0" applyNumberFormat="1" applyFont="1" applyFill="1" applyBorder="1" applyAlignment="1">
      <alignment horizontal="center" vertical="center"/>
    </xf>
    <xf numFmtId="4" fontId="28" fillId="0" borderId="62" xfId="0" applyNumberFormat="1" applyFont="1" applyFill="1" applyBorder="1" applyAlignment="1">
      <alignment horizontal="center" vertical="center"/>
    </xf>
    <xf numFmtId="3" fontId="28" fillId="0" borderId="62" xfId="0" applyNumberFormat="1" applyFont="1" applyFill="1" applyBorder="1" applyAlignment="1">
      <alignment horizontal="center" vertical="center"/>
    </xf>
    <xf numFmtId="4" fontId="28" fillId="0" borderId="63" xfId="0" applyNumberFormat="1" applyFont="1" applyFill="1" applyBorder="1" applyAlignment="1">
      <alignment horizontal="center" vertical="center"/>
    </xf>
    <xf numFmtId="3" fontId="88" fillId="42" borderId="132" xfId="0" applyNumberFormat="1" applyFont="1" applyFill="1" applyBorder="1" applyAlignment="1">
      <alignment horizontal="center" vertical="center"/>
    </xf>
    <xf numFmtId="3" fontId="28" fillId="0" borderId="79" xfId="0" applyNumberFormat="1" applyFont="1" applyFill="1" applyBorder="1" applyAlignment="1">
      <alignment horizontal="center" vertical="center"/>
    </xf>
    <xf numFmtId="180" fontId="10" fillId="0" borderId="62" xfId="0" applyNumberFormat="1" applyFont="1" applyFill="1" applyBorder="1" applyAlignment="1">
      <alignment horizontal="center" vertical="center"/>
    </xf>
    <xf numFmtId="170" fontId="10" fillId="0" borderId="62" xfId="0" applyNumberFormat="1" applyFont="1" applyFill="1" applyBorder="1" applyAlignment="1">
      <alignment horizontal="center" vertical="center"/>
    </xf>
    <xf numFmtId="181" fontId="10" fillId="0" borderId="63" xfId="0" applyNumberFormat="1" applyFont="1" applyFill="1" applyBorder="1" applyAlignment="1">
      <alignment horizontal="center" vertical="center"/>
    </xf>
    <xf numFmtId="3" fontId="10" fillId="0" borderId="107" xfId="0" applyNumberFormat="1" applyFont="1" applyFill="1" applyBorder="1" applyAlignment="1">
      <alignment horizontal="center" vertical="center"/>
    </xf>
    <xf numFmtId="37" fontId="0" fillId="0" borderId="84" xfId="0" applyNumberFormat="1" applyFill="1" applyBorder="1" applyAlignment="1">
      <alignment horizontal="center" vertical="center"/>
    </xf>
    <xf numFmtId="0" fontId="18" fillId="4" borderId="0" xfId="2" applyFill="1" applyBorder="1" applyAlignment="1" applyProtection="1">
      <alignment horizontal="center" vertical="center" wrapText="1"/>
    </xf>
    <xf numFmtId="10" fontId="13" fillId="0" borderId="17" xfId="0" applyNumberFormat="1" applyFont="1" applyFill="1" applyBorder="1" applyAlignment="1">
      <alignment horizontal="center" vertical="center"/>
    </xf>
    <xf numFmtId="170" fontId="45" fillId="0" borderId="17" xfId="0" applyNumberFormat="1" applyFont="1" applyFill="1" applyBorder="1" applyAlignment="1">
      <alignment horizontal="center" vertical="center" wrapText="1"/>
    </xf>
    <xf numFmtId="170" fontId="45" fillId="0" borderId="5" xfId="0" applyNumberFormat="1" applyFont="1" applyFill="1" applyBorder="1" applyAlignment="1">
      <alignment horizontal="center" vertical="center" wrapText="1"/>
    </xf>
    <xf numFmtId="0" fontId="10" fillId="0" borderId="76" xfId="0" applyFont="1" applyFill="1" applyBorder="1" applyAlignment="1">
      <alignment horizontal="center"/>
    </xf>
    <xf numFmtId="3" fontId="28" fillId="0" borderId="86" xfId="0" applyNumberFormat="1" applyFont="1" applyFill="1" applyBorder="1" applyAlignment="1">
      <alignment horizontal="center" vertical="center" wrapText="1"/>
    </xf>
    <xf numFmtId="10" fontId="10" fillId="0" borderId="86" xfId="0" applyNumberFormat="1" applyFont="1" applyFill="1" applyBorder="1" applyAlignment="1">
      <alignment horizontal="center" vertical="center"/>
    </xf>
    <xf numFmtId="4" fontId="10" fillId="0" borderId="88" xfId="0" applyNumberFormat="1" applyFont="1" applyFill="1" applyBorder="1" applyAlignment="1">
      <alignment horizontal="center" vertical="center"/>
    </xf>
    <xf numFmtId="0" fontId="10" fillId="0" borderId="0" xfId="19"/>
    <xf numFmtId="0" fontId="10" fillId="4" borderId="0" xfId="19" applyFill="1"/>
    <xf numFmtId="0" fontId="10" fillId="4" borderId="0" xfId="19" applyFont="1" applyFill="1"/>
    <xf numFmtId="0" fontId="10" fillId="0" borderId="78" xfId="19" applyFont="1" applyFill="1" applyBorder="1" applyAlignment="1">
      <alignment horizontal="center" vertical="center"/>
    </xf>
    <xf numFmtId="0" fontId="10" fillId="0" borderId="77" xfId="19" applyFont="1" applyFill="1" applyBorder="1" applyAlignment="1">
      <alignment horizontal="center" vertical="center"/>
    </xf>
    <xf numFmtId="0" fontId="10" fillId="0" borderId="60" xfId="19" applyFont="1" applyFill="1" applyBorder="1" applyAlignment="1">
      <alignment horizontal="center" vertical="center"/>
    </xf>
    <xf numFmtId="0" fontId="10" fillId="0" borderId="76" xfId="19" applyFont="1" applyFill="1" applyBorder="1" applyAlignment="1">
      <alignment horizontal="center" vertical="center"/>
    </xf>
    <xf numFmtId="0" fontId="10" fillId="0" borderId="72" xfId="19" applyFont="1" applyFill="1" applyBorder="1" applyAlignment="1">
      <alignment horizontal="center" vertical="center"/>
    </xf>
    <xf numFmtId="0" fontId="10" fillId="0" borderId="71" xfId="19" applyFont="1" applyFill="1" applyBorder="1" applyAlignment="1">
      <alignment horizontal="center" vertical="center"/>
    </xf>
    <xf numFmtId="0" fontId="13" fillId="4" borderId="10" xfId="19" applyFont="1" applyFill="1" applyBorder="1" applyAlignment="1">
      <alignment horizontal="center" vertical="center" wrapText="1"/>
    </xf>
    <xf numFmtId="0" fontId="13" fillId="4" borderId="16" xfId="19" applyFont="1" applyFill="1" applyBorder="1" applyAlignment="1">
      <alignment horizontal="center" vertical="center" wrapText="1"/>
    </xf>
    <xf numFmtId="0" fontId="13" fillId="4" borderId="9" xfId="19" applyFont="1" applyFill="1" applyBorder="1" applyAlignment="1">
      <alignment horizontal="center" vertical="center" wrapText="1"/>
    </xf>
    <xf numFmtId="3" fontId="10" fillId="4" borderId="0" xfId="19" applyNumberFormat="1" applyFont="1" applyFill="1"/>
    <xf numFmtId="0" fontId="69" fillId="61" borderId="10" xfId="19" applyFont="1" applyFill="1" applyBorder="1" applyAlignment="1">
      <alignment horizontal="center" vertical="center" wrapText="1"/>
    </xf>
    <xf numFmtId="0" fontId="69" fillId="61" borderId="9" xfId="19" applyFont="1" applyFill="1" applyBorder="1" applyAlignment="1">
      <alignment horizontal="center" vertical="center"/>
    </xf>
    <xf numFmtId="0" fontId="13" fillId="4" borderId="11" xfId="19" applyNumberFormat="1" applyFont="1" applyFill="1" applyBorder="1" applyAlignment="1">
      <alignment horizontal="left" vertical="top" wrapText="1"/>
    </xf>
    <xf numFmtId="0" fontId="13" fillId="4" borderId="9" xfId="19" applyNumberFormat="1" applyFont="1" applyFill="1" applyBorder="1" applyAlignment="1">
      <alignment horizontal="left" vertical="top" wrapText="1"/>
    </xf>
    <xf numFmtId="0" fontId="14" fillId="4" borderId="0" xfId="19" applyFont="1" applyFill="1" applyAlignment="1"/>
    <xf numFmtId="0" fontId="10" fillId="36" borderId="5" xfId="0" applyFont="1" applyFill="1" applyBorder="1" applyAlignment="1">
      <alignment horizontal="center" vertical="center"/>
    </xf>
    <xf numFmtId="49" fontId="10" fillId="0" borderId="72" xfId="19" applyNumberFormat="1" applyFont="1" applyFill="1" applyBorder="1" applyAlignment="1">
      <alignment horizontal="center" vertical="center"/>
    </xf>
    <xf numFmtId="49" fontId="10" fillId="0" borderId="60" xfId="19" applyNumberFormat="1" applyFont="1" applyFill="1" applyBorder="1" applyAlignment="1">
      <alignment horizontal="center" vertical="center"/>
    </xf>
    <xf numFmtId="49" fontId="10" fillId="0" borderId="78" xfId="19" applyNumberFormat="1" applyFont="1" applyFill="1" applyBorder="1" applyAlignment="1">
      <alignment horizontal="center" vertical="center"/>
    </xf>
    <xf numFmtId="49" fontId="10" fillId="42" borderId="11" xfId="19" applyNumberFormat="1" applyFont="1" applyFill="1" applyBorder="1" applyAlignment="1">
      <alignment horizontal="center" vertical="center" wrapText="1"/>
    </xf>
    <xf numFmtId="168" fontId="10" fillId="0" borderId="60" xfId="0" applyNumberFormat="1" applyFont="1" applyFill="1" applyBorder="1" applyAlignment="1">
      <alignment horizontal="center" vertical="center"/>
    </xf>
    <xf numFmtId="168" fontId="10" fillId="0" borderId="78" xfId="0" applyNumberFormat="1" applyFont="1" applyFill="1" applyBorder="1" applyAlignment="1">
      <alignment horizontal="center" vertical="center"/>
    </xf>
    <xf numFmtId="37" fontId="28" fillId="0" borderId="60" xfId="1" applyNumberFormat="1" applyFont="1" applyFill="1" applyBorder="1" applyAlignment="1">
      <alignment horizontal="center" vertical="center"/>
    </xf>
    <xf numFmtId="9" fontId="28" fillId="0" borderId="60" xfId="3" applyFont="1" applyFill="1" applyBorder="1" applyAlignment="1">
      <alignment horizontal="center" vertical="center"/>
    </xf>
    <xf numFmtId="37" fontId="28" fillId="0" borderId="78" xfId="1" applyNumberFormat="1" applyFont="1" applyFill="1" applyBorder="1" applyAlignment="1">
      <alignment horizontal="center" vertical="center"/>
    </xf>
    <xf numFmtId="9" fontId="28" fillId="0" borderId="78" xfId="3" applyFont="1" applyFill="1" applyBorder="1" applyAlignment="1">
      <alignment horizontal="center" vertical="center"/>
    </xf>
    <xf numFmtId="37" fontId="28" fillId="0" borderId="114" xfId="0" applyNumberFormat="1" applyFont="1" applyFill="1" applyBorder="1" applyAlignment="1">
      <alignment horizontal="center" vertical="center"/>
    </xf>
    <xf numFmtId="3" fontId="28" fillId="0" borderId="60" xfId="1" applyNumberFormat="1" applyFont="1" applyFill="1" applyBorder="1" applyAlignment="1">
      <alignment horizontal="center" vertical="center"/>
    </xf>
    <xf numFmtId="3" fontId="28" fillId="0" borderId="86" xfId="1" applyNumberFormat="1" applyFont="1" applyFill="1" applyBorder="1" applyAlignment="1">
      <alignment horizontal="center" vertical="center"/>
    </xf>
    <xf numFmtId="10" fontId="28" fillId="0" borderId="60" xfId="0" applyNumberFormat="1" applyFont="1" applyFill="1" applyBorder="1" applyAlignment="1">
      <alignment horizontal="center" vertical="center"/>
    </xf>
    <xf numFmtId="10" fontId="28" fillId="0" borderId="86" xfId="0" applyNumberFormat="1" applyFont="1" applyFill="1" applyBorder="1" applyAlignment="1">
      <alignment horizontal="center" vertical="center"/>
    </xf>
    <xf numFmtId="166" fontId="0" fillId="0" borderId="80" xfId="3" applyNumberFormat="1" applyFont="1" applyFill="1" applyBorder="1" applyAlignment="1">
      <alignment horizontal="center" vertical="center"/>
    </xf>
    <xf numFmtId="166" fontId="0" fillId="0" borderId="60" xfId="3" applyNumberFormat="1" applyFont="1" applyFill="1" applyBorder="1" applyAlignment="1">
      <alignment horizontal="center" vertical="center"/>
    </xf>
    <xf numFmtId="9" fontId="0" fillId="0" borderId="80" xfId="3" applyNumberFormat="1" applyFont="1" applyFill="1" applyBorder="1" applyAlignment="1">
      <alignment horizontal="center" vertical="center"/>
    </xf>
    <xf numFmtId="9" fontId="0" fillId="0" borderId="78" xfId="3"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0" borderId="73" xfId="19" applyNumberFormat="1" applyFont="1" applyFill="1" applyBorder="1" applyAlignment="1">
      <alignment horizontal="center" vertical="center"/>
    </xf>
    <xf numFmtId="3" fontId="10" fillId="0" borderId="61" xfId="19" applyNumberFormat="1" applyFont="1" applyFill="1" applyBorder="1" applyAlignment="1">
      <alignment horizontal="center" vertical="center"/>
    </xf>
    <xf numFmtId="3" fontId="10" fillId="0" borderId="89" xfId="19" applyNumberFormat="1" applyFont="1" applyFill="1" applyBorder="1" applyAlignment="1">
      <alignment horizontal="center" vertical="center"/>
    </xf>
    <xf numFmtId="2" fontId="28" fillId="68" borderId="9" xfId="0" applyNumberFormat="1" applyFont="1" applyFill="1" applyBorder="1" applyAlignment="1">
      <alignment horizontal="center" vertical="center"/>
    </xf>
    <xf numFmtId="2" fontId="28" fillId="68" borderId="16" xfId="0" applyNumberFormat="1" applyFont="1" applyFill="1" applyBorder="1" applyAlignment="1">
      <alignment horizontal="center" vertical="center"/>
    </xf>
    <xf numFmtId="2" fontId="28" fillId="68" borderId="34" xfId="0" applyNumberFormat="1" applyFont="1" applyFill="1" applyBorder="1" applyAlignment="1">
      <alignment horizontal="center" vertical="center"/>
    </xf>
    <xf numFmtId="2" fontId="28" fillId="68" borderId="113" xfId="0" applyNumberFormat="1" applyFont="1" applyFill="1" applyBorder="1" applyAlignment="1">
      <alignment horizontal="center" vertical="center"/>
    </xf>
    <xf numFmtId="2" fontId="28" fillId="68" borderId="112" xfId="0" applyNumberFormat="1" applyFont="1" applyFill="1" applyBorder="1" applyAlignment="1">
      <alignment horizontal="center" vertical="center"/>
    </xf>
    <xf numFmtId="2" fontId="28" fillId="68" borderId="115" xfId="0" applyNumberFormat="1" applyFont="1" applyFill="1" applyBorder="1" applyAlignment="1">
      <alignment horizontal="center" vertical="center"/>
    </xf>
    <xf numFmtId="0" fontId="28" fillId="68" borderId="11" xfId="0" applyFont="1" applyFill="1" applyBorder="1" applyAlignment="1">
      <alignment horizontal="center" vertical="center"/>
    </xf>
    <xf numFmtId="3" fontId="28" fillId="70" borderId="16" xfId="0" applyNumberFormat="1" applyFont="1" applyFill="1" applyBorder="1" applyAlignment="1">
      <alignment horizontal="center" vertical="center"/>
    </xf>
    <xf numFmtId="3" fontId="28" fillId="70" borderId="112" xfId="0" applyNumberFormat="1" applyFont="1" applyFill="1" applyBorder="1" applyAlignment="1">
      <alignment horizontal="center" vertical="center"/>
    </xf>
    <xf numFmtId="3" fontId="28" fillId="70" borderId="11" xfId="0" applyNumberFormat="1" applyFont="1" applyFill="1" applyBorder="1" applyAlignment="1">
      <alignment horizontal="center" vertical="center"/>
    </xf>
    <xf numFmtId="3" fontId="28" fillId="70" borderId="9" xfId="0" applyNumberFormat="1" applyFont="1" applyFill="1" applyBorder="1" applyAlignment="1">
      <alignment horizontal="center" vertical="center"/>
    </xf>
    <xf numFmtId="3" fontId="28" fillId="70" borderId="113" xfId="0" applyNumberFormat="1" applyFont="1" applyFill="1" applyBorder="1" applyAlignment="1">
      <alignment horizontal="center" vertical="center"/>
    </xf>
    <xf numFmtId="3" fontId="28" fillId="70" borderId="134" xfId="0" applyNumberFormat="1" applyFont="1" applyFill="1" applyBorder="1" applyAlignment="1">
      <alignment horizontal="center" vertical="center"/>
    </xf>
    <xf numFmtId="3" fontId="28" fillId="70" borderId="121" xfId="0" applyNumberFormat="1" applyFont="1" applyFill="1" applyBorder="1" applyAlignment="1">
      <alignment horizontal="center" vertical="center"/>
    </xf>
    <xf numFmtId="3" fontId="28" fillId="70" borderId="123" xfId="0" applyNumberFormat="1" applyFont="1" applyFill="1" applyBorder="1" applyAlignment="1">
      <alignment horizontal="center" vertical="center"/>
    </xf>
    <xf numFmtId="3" fontId="28" fillId="70" borderId="85" xfId="0" applyNumberFormat="1" applyFont="1" applyFill="1" applyBorder="1" applyAlignment="1">
      <alignment horizontal="center" vertical="center"/>
    </xf>
    <xf numFmtId="3" fontId="28" fillId="70" borderId="76" xfId="0" applyNumberFormat="1" applyFont="1" applyFill="1" applyBorder="1" applyAlignment="1">
      <alignment horizontal="center" vertical="center"/>
    </xf>
    <xf numFmtId="3" fontId="28" fillId="70" borderId="75" xfId="0" applyNumberFormat="1" applyFont="1" applyFill="1" applyBorder="1" applyAlignment="1">
      <alignment horizontal="center" vertical="center"/>
    </xf>
    <xf numFmtId="0" fontId="10" fillId="0" borderId="83" xfId="0" applyNumberFormat="1" applyFont="1" applyFill="1" applyBorder="1" applyAlignment="1">
      <alignment horizontal="center" vertical="center" wrapText="1"/>
    </xf>
    <xf numFmtId="0" fontId="28" fillId="0" borderId="112" xfId="0" applyFont="1" applyFill="1" applyBorder="1" applyAlignment="1">
      <alignment horizontal="center" vertical="center"/>
    </xf>
    <xf numFmtId="166" fontId="28" fillId="0" borderId="10" xfId="10" applyNumberFormat="1" applyFont="1" applyFill="1" applyBorder="1" applyAlignment="1">
      <alignment horizontal="center" vertical="center"/>
    </xf>
    <xf numFmtId="166" fontId="28" fillId="0" borderId="59" xfId="10" applyNumberFormat="1" applyFont="1" applyFill="1" applyBorder="1" applyAlignment="1">
      <alignment horizontal="center" vertical="center"/>
    </xf>
    <xf numFmtId="166" fontId="28" fillId="0" borderId="61" xfId="10" applyNumberFormat="1" applyFont="1" applyFill="1" applyBorder="1" applyAlignment="1">
      <alignment horizontal="center" vertical="center"/>
    </xf>
    <xf numFmtId="0" fontId="10" fillId="0" borderId="11" xfId="0" applyFont="1" applyFill="1" applyBorder="1" applyAlignment="1">
      <alignment horizontal="center" vertical="center"/>
    </xf>
    <xf numFmtId="176" fontId="28" fillId="0" borderId="122" xfId="110" applyNumberFormat="1" applyFont="1" applyFill="1" applyBorder="1" applyAlignment="1">
      <alignment horizontal="center" vertical="center"/>
    </xf>
    <xf numFmtId="176" fontId="28" fillId="0" borderId="121" xfId="110" applyNumberFormat="1" applyFont="1" applyFill="1" applyBorder="1" applyAlignment="1">
      <alignment horizontal="center" vertical="center"/>
    </xf>
    <xf numFmtId="2" fontId="28" fillId="0" borderId="122" xfId="110" applyNumberFormat="1" applyFont="1" applyFill="1" applyBorder="1" applyAlignment="1">
      <alignment horizontal="center" vertical="center"/>
    </xf>
    <xf numFmtId="2" fontId="28" fillId="0" borderId="121" xfId="110" applyNumberFormat="1" applyFont="1" applyFill="1" applyBorder="1" applyAlignment="1">
      <alignment horizontal="center" vertical="center"/>
    </xf>
    <xf numFmtId="0" fontId="28" fillId="0" borderId="123" xfId="110" applyFont="1" applyFill="1" applyBorder="1" applyAlignment="1">
      <alignment horizontal="center" vertical="center"/>
    </xf>
    <xf numFmtId="0" fontId="28" fillId="0" borderId="60" xfId="0" applyFont="1" applyFill="1" applyBorder="1" applyAlignment="1">
      <alignment horizontal="center" vertical="center"/>
    </xf>
    <xf numFmtId="0" fontId="28" fillId="0" borderId="60" xfId="0" applyNumberFormat="1" applyFont="1" applyFill="1" applyBorder="1" applyAlignment="1">
      <alignment horizontal="center" vertical="center" wrapText="1"/>
    </xf>
    <xf numFmtId="172" fontId="28" fillId="0" borderId="60" xfId="0" applyNumberFormat="1" applyFont="1" applyFill="1" applyBorder="1" applyAlignment="1">
      <alignment horizontal="center" vertical="center"/>
    </xf>
    <xf numFmtId="168" fontId="10" fillId="0" borderId="116" xfId="0" applyNumberFormat="1" applyFont="1" applyFill="1" applyBorder="1" applyAlignment="1">
      <alignment horizontal="center" vertical="center"/>
    </xf>
    <xf numFmtId="2" fontId="10" fillId="0" borderId="114" xfId="0" applyNumberFormat="1" applyFont="1" applyFill="1" applyBorder="1" applyAlignment="1">
      <alignment horizontal="center" vertical="center"/>
    </xf>
    <xf numFmtId="166" fontId="50" fillId="0" borderId="72" xfId="3" applyNumberFormat="1" applyFont="1" applyFill="1" applyBorder="1" applyAlignment="1">
      <alignment horizontal="center" vertical="center" wrapText="1"/>
    </xf>
    <xf numFmtId="166" fontId="50" fillId="0" borderId="60" xfId="3" applyNumberFormat="1" applyFont="1" applyFill="1" applyBorder="1" applyAlignment="1">
      <alignment horizontal="center" vertical="center" wrapText="1"/>
    </xf>
    <xf numFmtId="166" fontId="50" fillId="0" borderId="62" xfId="3" applyNumberFormat="1" applyFont="1" applyFill="1" applyBorder="1" applyAlignment="1">
      <alignment horizontal="center" vertical="center" wrapText="1"/>
    </xf>
    <xf numFmtId="9" fontId="50" fillId="0" borderId="118" xfId="3" applyNumberFormat="1" applyFont="1" applyFill="1" applyBorder="1" applyAlignment="1">
      <alignment horizontal="center" vertical="center" wrapText="1"/>
    </xf>
    <xf numFmtId="0" fontId="10" fillId="0" borderId="112" xfId="0" applyFont="1" applyFill="1" applyBorder="1" applyAlignment="1">
      <alignment horizontal="center" vertical="center" wrapText="1"/>
    </xf>
    <xf numFmtId="9" fontId="10" fillId="0" borderId="112" xfId="0" applyNumberFormat="1" applyFont="1" applyFill="1" applyBorder="1" applyAlignment="1">
      <alignment horizontal="center" vertical="center" wrapText="1"/>
    </xf>
    <xf numFmtId="9" fontId="10" fillId="0" borderId="72" xfId="0" applyNumberFormat="1" applyFont="1" applyFill="1" applyBorder="1" applyAlignment="1">
      <alignment horizontal="center" vertical="center"/>
    </xf>
    <xf numFmtId="9" fontId="10" fillId="0" borderId="60" xfId="0" applyNumberFormat="1" applyFont="1" applyFill="1" applyBorder="1" applyAlignment="1">
      <alignment horizontal="center" vertical="center"/>
    </xf>
    <xf numFmtId="9" fontId="10" fillId="0" borderId="86" xfId="0" applyNumberFormat="1" applyFont="1" applyFill="1" applyBorder="1" applyAlignment="1">
      <alignment horizontal="center" vertical="center"/>
    </xf>
    <xf numFmtId="190" fontId="28" fillId="0" borderId="114" xfId="0" applyNumberFormat="1" applyFont="1" applyFill="1" applyBorder="1" applyAlignment="1">
      <alignment horizontal="center" vertical="center" wrapText="1"/>
    </xf>
    <xf numFmtId="188" fontId="28" fillId="0" borderId="114" xfId="0" applyNumberFormat="1" applyFont="1" applyFill="1" applyBorder="1" applyAlignment="1">
      <alignment horizontal="center" vertical="center" wrapText="1"/>
    </xf>
    <xf numFmtId="189" fontId="28" fillId="0" borderId="114" xfId="0" applyNumberFormat="1" applyFont="1" applyFill="1" applyBorder="1" applyAlignment="1">
      <alignment horizontal="center" vertical="center" wrapText="1"/>
    </xf>
    <xf numFmtId="3" fontId="13" fillId="68" borderId="11" xfId="0" applyNumberFormat="1" applyFont="1" applyFill="1" applyBorder="1" applyAlignment="1">
      <alignment horizontal="center" vertical="center"/>
    </xf>
    <xf numFmtId="3" fontId="13" fillId="68" borderId="120" xfId="0" applyNumberFormat="1" applyFont="1" applyFill="1" applyBorder="1" applyAlignment="1">
      <alignment horizontal="center" vertical="center"/>
    </xf>
    <xf numFmtId="0" fontId="10" fillId="39" borderId="86" xfId="19" applyFont="1" applyFill="1" applyBorder="1" applyAlignment="1">
      <alignment horizontal="center" vertical="center" wrapText="1"/>
    </xf>
    <xf numFmtId="170" fontId="10" fillId="39" borderId="86" xfId="19" applyNumberFormat="1" applyFont="1" applyFill="1" applyBorder="1" applyAlignment="1">
      <alignment horizontal="center" vertical="center" wrapText="1"/>
    </xf>
    <xf numFmtId="3" fontId="10" fillId="39" borderId="86" xfId="19" applyNumberFormat="1" applyFont="1" applyFill="1" applyBorder="1" applyAlignment="1">
      <alignment horizontal="center" vertical="center" wrapText="1"/>
    </xf>
    <xf numFmtId="0" fontId="10" fillId="41" borderId="7" xfId="19" applyFont="1" applyFill="1" applyBorder="1" applyAlignment="1">
      <alignment horizontal="center" vertical="center"/>
    </xf>
    <xf numFmtId="0" fontId="10" fillId="41" borderId="7" xfId="19" applyFont="1" applyFill="1" applyBorder="1" applyAlignment="1">
      <alignment horizontal="center" wrapText="1"/>
    </xf>
    <xf numFmtId="3" fontId="10" fillId="39" borderId="59" xfId="19" applyNumberFormat="1" applyFont="1" applyFill="1" applyBorder="1" applyAlignment="1">
      <alignment horizontal="center" vertical="center" wrapText="1"/>
    </xf>
    <xf numFmtId="3" fontId="10" fillId="39" borderId="61" xfId="19" applyNumberFormat="1" applyFont="1" applyFill="1" applyBorder="1" applyAlignment="1">
      <alignment horizontal="center" vertical="center" wrapText="1"/>
    </xf>
    <xf numFmtId="3" fontId="10" fillId="39" borderId="63" xfId="19" applyNumberFormat="1" applyFont="1" applyFill="1" applyBorder="1" applyAlignment="1">
      <alignment horizontal="center" vertical="center" wrapText="1"/>
    </xf>
    <xf numFmtId="3" fontId="10" fillId="39" borderId="73" xfId="19" applyNumberFormat="1" applyFont="1" applyFill="1" applyBorder="1" applyAlignment="1">
      <alignment horizontal="center" vertical="center" wrapText="1"/>
    </xf>
    <xf numFmtId="3" fontId="10" fillId="39" borderId="89" xfId="19" applyNumberFormat="1" applyFont="1" applyFill="1" applyBorder="1" applyAlignment="1">
      <alignment horizontal="center" vertical="center" wrapText="1"/>
    </xf>
    <xf numFmtId="3" fontId="10" fillId="39" borderId="88" xfId="19" applyNumberFormat="1" applyFont="1" applyFill="1" applyBorder="1" applyAlignment="1">
      <alignment horizontal="center" vertical="center" wrapText="1"/>
    </xf>
    <xf numFmtId="3" fontId="10" fillId="36" borderId="81" xfId="15" applyNumberFormat="1" applyFont="1" applyFill="1" applyBorder="1" applyAlignment="1">
      <alignment horizontal="center" vertical="center" wrapText="1"/>
    </xf>
    <xf numFmtId="3" fontId="10" fillId="36" borderId="8" xfId="15" applyNumberFormat="1" applyFont="1" applyFill="1" applyBorder="1" applyAlignment="1">
      <alignment horizontal="center" vertical="center" wrapText="1"/>
    </xf>
    <xf numFmtId="3" fontId="10" fillId="36" borderId="61" xfId="15" applyNumberFormat="1" applyFont="1" applyFill="1" applyBorder="1" applyAlignment="1">
      <alignment horizontal="center" vertical="center" wrapText="1"/>
    </xf>
    <xf numFmtId="3" fontId="10" fillId="36" borderId="63" xfId="15" applyNumberFormat="1" applyFont="1" applyFill="1" applyBorder="1" applyAlignment="1">
      <alignment horizontal="center" vertical="center" wrapText="1"/>
    </xf>
    <xf numFmtId="3" fontId="10" fillId="37" borderId="10" xfId="15" applyNumberFormat="1" applyFont="1" applyFill="1" applyBorder="1" applyAlignment="1">
      <alignment horizontal="center" vertical="center" wrapText="1"/>
    </xf>
    <xf numFmtId="3" fontId="10" fillId="37" borderId="114" xfId="15" applyNumberFormat="1" applyFont="1" applyFill="1" applyBorder="1" applyAlignment="1">
      <alignment horizontal="center" vertical="center" wrapText="1"/>
    </xf>
    <xf numFmtId="0" fontId="10" fillId="41" borderId="112" xfId="19" applyFont="1" applyFill="1" applyBorder="1" applyAlignment="1">
      <alignment horizontal="center" vertical="center"/>
    </xf>
    <xf numFmtId="3" fontId="13" fillId="0" borderId="5" xfId="19" applyNumberFormat="1" applyFont="1" applyFill="1" applyBorder="1" applyAlignment="1">
      <alignment horizontal="center" wrapText="1"/>
    </xf>
    <xf numFmtId="37" fontId="10" fillId="36" borderId="81" xfId="15" applyNumberFormat="1" applyFont="1" applyFill="1" applyBorder="1" applyAlignment="1">
      <alignment horizontal="center" vertical="center" wrapText="1"/>
    </xf>
    <xf numFmtId="170" fontId="10" fillId="39" borderId="58" xfId="19" applyNumberFormat="1" applyFont="1" applyFill="1" applyBorder="1" applyAlignment="1">
      <alignment horizontal="center" vertical="center" wrapText="1"/>
    </xf>
    <xf numFmtId="170" fontId="10" fillId="39" borderId="78" xfId="19" applyNumberFormat="1" applyFont="1" applyFill="1" applyBorder="1" applyAlignment="1">
      <alignment horizontal="center" vertical="center" wrapText="1"/>
    </xf>
    <xf numFmtId="4" fontId="10" fillId="39" borderId="78" xfId="19" applyNumberFormat="1" applyFont="1" applyFill="1" applyBorder="1" applyAlignment="1">
      <alignment horizontal="center" vertical="center" wrapText="1"/>
    </xf>
    <xf numFmtId="37" fontId="10" fillId="37" borderId="8" xfId="15" applyNumberFormat="1" applyFont="1" applyFill="1" applyBorder="1" applyAlignment="1">
      <alignment horizontal="center" vertical="center" wrapText="1"/>
    </xf>
    <xf numFmtId="3" fontId="27" fillId="4" borderId="0" xfId="10" applyNumberFormat="1" applyFont="1" applyFill="1"/>
    <xf numFmtId="170" fontId="10" fillId="0" borderId="112" xfId="0" applyNumberFormat="1" applyFont="1" applyFill="1" applyBorder="1" applyAlignment="1">
      <alignment horizontal="center" vertical="center" wrapText="1"/>
    </xf>
    <xf numFmtId="2" fontId="10" fillId="0" borderId="114" xfId="0" applyNumberFormat="1" applyFont="1" applyFill="1" applyBorder="1" applyAlignment="1">
      <alignment horizontal="center" vertical="center" wrapText="1"/>
    </xf>
    <xf numFmtId="9" fontId="28" fillId="41" borderId="80" xfId="3" applyFont="1" applyFill="1" applyBorder="1" applyAlignment="1">
      <alignment horizontal="center" vertical="center"/>
    </xf>
    <xf numFmtId="3" fontId="28" fillId="41" borderId="80" xfId="3" applyNumberFormat="1" applyFont="1" applyFill="1" applyBorder="1" applyAlignment="1">
      <alignment horizontal="center" vertical="center"/>
    </xf>
    <xf numFmtId="3" fontId="28" fillId="41" borderId="81" xfId="3" applyNumberFormat="1" applyFont="1" applyFill="1" applyBorder="1" applyAlignment="1">
      <alignment horizontal="center" vertical="center"/>
    </xf>
    <xf numFmtId="9" fontId="28" fillId="38" borderId="9" xfId="3" applyFont="1" applyFill="1" applyBorder="1" applyAlignment="1">
      <alignment horizontal="center" vertical="center"/>
    </xf>
    <xf numFmtId="166" fontId="10" fillId="35" borderId="10" xfId="19" applyNumberFormat="1" applyFont="1" applyFill="1" applyBorder="1" applyAlignment="1">
      <alignment horizontal="center" wrapText="1"/>
    </xf>
    <xf numFmtId="9" fontId="28" fillId="38" borderId="113" xfId="3" applyFont="1" applyFill="1" applyBorder="1" applyAlignment="1">
      <alignment horizontal="center" vertical="center"/>
    </xf>
    <xf numFmtId="166" fontId="10" fillId="35" borderId="114" xfId="19" applyNumberFormat="1" applyFont="1" applyFill="1" applyBorder="1" applyAlignment="1">
      <alignment horizontal="center" wrapText="1"/>
    </xf>
    <xf numFmtId="9" fontId="28" fillId="40" borderId="113" xfId="3" applyFont="1" applyFill="1" applyBorder="1" applyAlignment="1">
      <alignment horizontal="center" vertical="center"/>
    </xf>
    <xf numFmtId="0" fontId="28" fillId="40" borderId="113" xfId="19" applyFont="1" applyFill="1" applyBorder="1" applyAlignment="1">
      <alignment horizontal="center" vertical="center"/>
    </xf>
    <xf numFmtId="9" fontId="28" fillId="41" borderId="113" xfId="3" applyFont="1" applyFill="1" applyBorder="1" applyAlignment="1">
      <alignment horizontal="center" vertical="center"/>
    </xf>
    <xf numFmtId="0" fontId="69" fillId="60" borderId="9" xfId="19" applyFont="1" applyFill="1" applyBorder="1" applyAlignment="1">
      <alignment horizontal="center" vertical="center" wrapText="1"/>
    </xf>
    <xf numFmtId="0" fontId="69" fillId="60" borderId="16" xfId="19" applyFont="1" applyFill="1" applyBorder="1" applyAlignment="1">
      <alignment horizontal="center" vertical="center" wrapText="1"/>
    </xf>
    <xf numFmtId="0" fontId="69" fillId="60" borderId="10" xfId="19" applyFont="1" applyFill="1" applyBorder="1" applyAlignment="1">
      <alignment horizontal="center" vertical="center" wrapText="1"/>
    </xf>
    <xf numFmtId="0" fontId="10" fillId="39" borderId="113" xfId="19" applyFont="1" applyFill="1" applyBorder="1" applyAlignment="1">
      <alignment horizontal="center" vertical="center" wrapText="1"/>
    </xf>
    <xf numFmtId="0" fontId="10" fillId="39" borderId="112" xfId="19" applyFont="1" applyFill="1" applyBorder="1" applyAlignment="1">
      <alignment horizontal="center" vertical="center" wrapText="1"/>
    </xf>
    <xf numFmtId="3" fontId="10" fillId="39" borderId="114" xfId="19" applyNumberFormat="1" applyFont="1" applyFill="1" applyBorder="1" applyAlignment="1">
      <alignment horizontal="center" vertical="center" wrapText="1"/>
    </xf>
    <xf numFmtId="3" fontId="10" fillId="68" borderId="60" xfId="19" applyNumberFormat="1" applyFont="1" applyFill="1" applyBorder="1" applyAlignment="1">
      <alignment horizontal="center" vertical="center" wrapText="1"/>
    </xf>
    <xf numFmtId="3" fontId="10" fillId="68" borderId="86" xfId="19" applyNumberFormat="1" applyFont="1" applyFill="1" applyBorder="1" applyAlignment="1">
      <alignment horizontal="center" vertical="center" wrapText="1"/>
    </xf>
    <xf numFmtId="3" fontId="10" fillId="68" borderId="80" xfId="15" applyNumberFormat="1" applyFont="1" applyFill="1" applyBorder="1" applyAlignment="1">
      <alignment horizontal="center" vertical="center" wrapText="1"/>
    </xf>
    <xf numFmtId="3" fontId="10" fillId="68" borderId="62" xfId="19" applyNumberFormat="1" applyFont="1" applyFill="1" applyBorder="1" applyAlignment="1">
      <alignment horizontal="center" vertical="center" wrapText="1"/>
    </xf>
    <xf numFmtId="3" fontId="10" fillId="71" borderId="16" xfId="19" applyNumberFormat="1" applyFont="1" applyFill="1" applyBorder="1" applyAlignment="1">
      <alignment horizontal="center" wrapText="1"/>
    </xf>
    <xf numFmtId="3" fontId="10" fillId="68" borderId="16" xfId="15" applyNumberFormat="1" applyFont="1" applyFill="1" applyBorder="1" applyAlignment="1">
      <alignment horizontal="center" vertical="center" wrapText="1"/>
    </xf>
    <xf numFmtId="3" fontId="10" fillId="71" borderId="112" xfId="19" applyNumberFormat="1" applyFont="1" applyFill="1" applyBorder="1" applyAlignment="1">
      <alignment horizontal="center" wrapText="1"/>
    </xf>
    <xf numFmtId="3" fontId="10" fillId="71" borderId="80" xfId="19" applyNumberFormat="1" applyFont="1" applyFill="1" applyBorder="1" applyAlignment="1">
      <alignment horizontal="center" wrapText="1"/>
    </xf>
    <xf numFmtId="0" fontId="10" fillId="39" borderId="67" xfId="19" applyFont="1" applyFill="1" applyBorder="1" applyAlignment="1">
      <alignment horizontal="center" vertical="center"/>
    </xf>
    <xf numFmtId="3" fontId="10" fillId="39" borderId="16" xfId="19" applyNumberFormat="1" applyFont="1" applyFill="1" applyBorder="1" applyAlignment="1">
      <alignment horizontal="center" vertical="center" wrapText="1"/>
    </xf>
    <xf numFmtId="166" fontId="10" fillId="39" borderId="10" xfId="19" applyNumberFormat="1" applyFont="1" applyFill="1" applyBorder="1" applyAlignment="1">
      <alignment horizontal="center" vertical="center" wrapText="1"/>
    </xf>
    <xf numFmtId="0" fontId="10" fillId="39" borderId="117" xfId="19" applyFont="1" applyFill="1" applyBorder="1" applyAlignment="1">
      <alignment horizontal="center" vertical="center"/>
    </xf>
    <xf numFmtId="0" fontId="10" fillId="39" borderId="83" xfId="19" applyFont="1" applyFill="1" applyBorder="1" applyAlignment="1">
      <alignment horizontal="center" vertical="center"/>
    </xf>
    <xf numFmtId="166" fontId="10" fillId="39" borderId="53" xfId="19" applyNumberFormat="1" applyFont="1" applyFill="1" applyBorder="1" applyAlignment="1">
      <alignment horizontal="center" vertical="center" wrapText="1"/>
    </xf>
    <xf numFmtId="0" fontId="10" fillId="39" borderId="120" xfId="19" applyFont="1" applyFill="1" applyBorder="1" applyAlignment="1">
      <alignment horizontal="center" vertical="center"/>
    </xf>
    <xf numFmtId="0" fontId="10" fillId="39" borderId="67" xfId="19" applyFont="1" applyFill="1" applyBorder="1" applyAlignment="1">
      <alignment horizontal="center" vertical="center" wrapText="1"/>
    </xf>
    <xf numFmtId="0" fontId="10" fillId="39" borderId="117" xfId="19" applyFont="1" applyFill="1" applyBorder="1" applyAlignment="1">
      <alignment horizontal="center" vertical="center" wrapText="1"/>
    </xf>
    <xf numFmtId="3" fontId="10" fillId="39" borderId="112" xfId="19" applyNumberFormat="1" applyFont="1" applyFill="1" applyBorder="1" applyAlignment="1">
      <alignment horizontal="center" vertical="center" wrapText="1"/>
    </xf>
    <xf numFmtId="0" fontId="10" fillId="39" borderId="120" xfId="19" applyFont="1" applyFill="1" applyBorder="1" applyAlignment="1">
      <alignment horizontal="center" vertical="center" wrapText="1"/>
    </xf>
    <xf numFmtId="9" fontId="28" fillId="41" borderId="11" xfId="3" applyFont="1" applyFill="1" applyBorder="1" applyAlignment="1">
      <alignment horizontal="center" vertical="center"/>
    </xf>
    <xf numFmtId="3" fontId="13" fillId="0" borderId="11" xfId="0" applyNumberFormat="1" applyFont="1" applyFill="1" applyBorder="1" applyAlignment="1">
      <alignment horizontal="center" vertical="center"/>
    </xf>
    <xf numFmtId="3" fontId="13" fillId="0" borderId="120" xfId="0" applyNumberFormat="1" applyFont="1" applyFill="1" applyBorder="1" applyAlignment="1">
      <alignment horizontal="center" vertical="center"/>
    </xf>
    <xf numFmtId="170" fontId="13" fillId="0" borderId="120" xfId="0" applyNumberFormat="1" applyFont="1" applyFill="1" applyBorder="1" applyAlignment="1">
      <alignment horizontal="center" vertical="center"/>
    </xf>
    <xf numFmtId="3" fontId="13" fillId="0" borderId="116" xfId="0" applyNumberFormat="1" applyFont="1" applyFill="1" applyBorder="1" applyAlignment="1">
      <alignment horizontal="center" vertical="center"/>
    </xf>
    <xf numFmtId="3" fontId="13" fillId="0" borderId="23" xfId="0" applyNumberFormat="1" applyFont="1" applyFill="1" applyBorder="1" applyAlignment="1">
      <alignment horizontal="center" vertical="center"/>
    </xf>
    <xf numFmtId="3" fontId="0" fillId="0" borderId="61" xfId="0" applyNumberFormat="1" applyFill="1" applyBorder="1" applyAlignment="1">
      <alignment horizontal="center" vertical="center"/>
    </xf>
    <xf numFmtId="3" fontId="10" fillId="39" borderId="80" xfId="0" applyNumberFormat="1" applyFont="1" applyFill="1" applyBorder="1" applyAlignment="1">
      <alignment horizontal="center" vertical="center" wrapText="1"/>
    </xf>
    <xf numFmtId="3" fontId="10" fillId="39" borderId="60" xfId="0" applyNumberFormat="1" applyFont="1" applyFill="1" applyBorder="1" applyAlignment="1">
      <alignment horizontal="center" vertical="center" wrapText="1"/>
    </xf>
    <xf numFmtId="9" fontId="10" fillId="39" borderId="127" xfId="0" applyNumberFormat="1" applyFont="1" applyFill="1" applyBorder="1" applyAlignment="1">
      <alignment horizontal="center" vertical="center" wrapText="1"/>
    </xf>
    <xf numFmtId="0" fontId="10" fillId="39" borderId="79" xfId="0" applyNumberFormat="1" applyFont="1" applyFill="1" applyBorder="1" applyAlignment="1">
      <alignment horizontal="center" vertical="center" wrapText="1"/>
    </xf>
    <xf numFmtId="3" fontId="10" fillId="39" borderId="62" xfId="0" applyNumberFormat="1" applyFont="1" applyFill="1" applyBorder="1" applyAlignment="1">
      <alignment horizontal="center" vertical="center" wrapText="1"/>
    </xf>
    <xf numFmtId="9" fontId="10" fillId="39" borderId="128" xfId="0" applyNumberFormat="1" applyFont="1" applyFill="1" applyBorder="1" applyAlignment="1">
      <alignment horizontal="center" vertical="center" wrapText="1"/>
    </xf>
    <xf numFmtId="3" fontId="50" fillId="39" borderId="72" xfId="0" applyNumberFormat="1" applyFont="1" applyFill="1" applyBorder="1" applyAlignment="1">
      <alignment horizontal="center" vertical="center"/>
    </xf>
    <xf numFmtId="9" fontId="10" fillId="39" borderId="126" xfId="0" applyNumberFormat="1" applyFont="1" applyFill="1" applyBorder="1" applyAlignment="1">
      <alignment horizontal="center" vertical="center" wrapText="1"/>
    </xf>
    <xf numFmtId="3" fontId="50" fillId="39" borderId="60" xfId="0" applyNumberFormat="1" applyFont="1" applyFill="1" applyBorder="1" applyAlignment="1">
      <alignment horizontal="center" vertical="center"/>
    </xf>
    <xf numFmtId="0" fontId="10" fillId="39" borderId="97" xfId="0" applyNumberFormat="1" applyFont="1" applyFill="1" applyBorder="1" applyAlignment="1">
      <alignment horizontal="center" vertical="center" wrapText="1"/>
    </xf>
    <xf numFmtId="3" fontId="50" fillId="39" borderId="78" xfId="0" applyNumberFormat="1" applyFont="1" applyFill="1" applyBorder="1" applyAlignment="1">
      <alignment horizontal="center" vertical="center"/>
    </xf>
    <xf numFmtId="9" fontId="10" fillId="39" borderId="129" xfId="0" applyNumberFormat="1" applyFont="1" applyFill="1" applyBorder="1" applyAlignment="1">
      <alignment horizontal="center" vertical="center" wrapText="1"/>
    </xf>
    <xf numFmtId="3" fontId="88" fillId="39" borderId="72" xfId="0" applyNumberFormat="1" applyFont="1" applyFill="1" applyBorder="1" applyAlignment="1">
      <alignment horizontal="center" vertical="center"/>
    </xf>
    <xf numFmtId="3" fontId="88" fillId="39" borderId="73" xfId="0" applyNumberFormat="1" applyFont="1" applyFill="1" applyBorder="1" applyAlignment="1">
      <alignment horizontal="center" vertical="center"/>
    </xf>
    <xf numFmtId="3" fontId="88" fillId="39" borderId="60" xfId="0" applyNumberFormat="1" applyFont="1" applyFill="1" applyBorder="1" applyAlignment="1">
      <alignment horizontal="center" vertical="center"/>
    </xf>
    <xf numFmtId="3" fontId="88" fillId="39" borderId="61" xfId="0" applyNumberFormat="1" applyFont="1" applyFill="1" applyBorder="1" applyAlignment="1">
      <alignment horizontal="center" vertical="center"/>
    </xf>
    <xf numFmtId="3" fontId="88" fillId="39" borderId="86" xfId="0" applyNumberFormat="1" applyFont="1" applyFill="1" applyBorder="1" applyAlignment="1">
      <alignment horizontal="center" vertical="center"/>
    </xf>
    <xf numFmtId="3" fontId="88" fillId="39" borderId="88" xfId="0" applyNumberFormat="1" applyFont="1" applyFill="1" applyBorder="1" applyAlignment="1">
      <alignment horizontal="center" vertical="center"/>
    </xf>
    <xf numFmtId="9" fontId="50" fillId="39" borderId="73" xfId="0" applyNumberFormat="1" applyFont="1" applyFill="1" applyBorder="1" applyAlignment="1">
      <alignment horizontal="center" vertical="center"/>
    </xf>
    <xf numFmtId="9" fontId="10" fillId="39" borderId="88" xfId="0" applyNumberFormat="1" applyFont="1" applyFill="1" applyBorder="1" applyAlignment="1">
      <alignment horizontal="center" vertical="center" wrapText="1"/>
    </xf>
    <xf numFmtId="9" fontId="28" fillId="39" borderId="88" xfId="0" applyNumberFormat="1" applyFont="1" applyFill="1" applyBorder="1" applyAlignment="1">
      <alignment horizontal="center" vertical="center" wrapText="1"/>
    </xf>
    <xf numFmtId="9" fontId="28" fillId="39" borderId="73" xfId="0" applyNumberFormat="1" applyFont="1" applyFill="1" applyBorder="1" applyAlignment="1">
      <alignment horizontal="center" vertical="center" wrapText="1"/>
    </xf>
    <xf numFmtId="166" fontId="10" fillId="39" borderId="114" xfId="0" applyNumberFormat="1" applyFont="1" applyFill="1" applyBorder="1" applyAlignment="1">
      <alignment horizontal="center" vertical="center"/>
    </xf>
    <xf numFmtId="3" fontId="10" fillId="59" borderId="22" xfId="0" applyNumberFormat="1" applyFont="1" applyFill="1" applyBorder="1" applyAlignment="1">
      <alignment horizontal="center" vertical="center"/>
    </xf>
    <xf numFmtId="3" fontId="10" fillId="0" borderId="22" xfId="0" applyNumberFormat="1" applyFont="1" applyFill="1" applyBorder="1" applyAlignment="1">
      <alignment horizontal="center" vertical="center"/>
    </xf>
    <xf numFmtId="4" fontId="10" fillId="0" borderId="108" xfId="0" applyNumberFormat="1" applyFont="1" applyFill="1" applyBorder="1" applyAlignment="1">
      <alignment horizontal="center" vertical="center"/>
    </xf>
    <xf numFmtId="3" fontId="10" fillId="0" borderId="108" xfId="0" applyNumberFormat="1" applyFont="1" applyFill="1" applyBorder="1" applyAlignment="1">
      <alignment horizontal="center" vertical="center"/>
    </xf>
    <xf numFmtId="4" fontId="10" fillId="0" borderId="38" xfId="0" applyNumberFormat="1" applyFont="1" applyFill="1" applyBorder="1" applyAlignment="1">
      <alignment horizontal="center" vertical="center"/>
    </xf>
    <xf numFmtId="4" fontId="13" fillId="0" borderId="17" xfId="0" applyNumberFormat="1" applyFont="1" applyBorder="1" applyAlignment="1">
      <alignment horizontal="center" vertical="center" wrapText="1"/>
    </xf>
    <xf numFmtId="3" fontId="13" fillId="0" borderId="17" xfId="0" applyNumberFormat="1" applyFont="1" applyBorder="1" applyAlignment="1">
      <alignment horizontal="center" vertical="center" wrapText="1"/>
    </xf>
    <xf numFmtId="4" fontId="13" fillId="0" borderId="5" xfId="0" applyNumberFormat="1" applyFont="1" applyBorder="1" applyAlignment="1">
      <alignment horizontal="center" vertical="center" wrapText="1"/>
    </xf>
    <xf numFmtId="3" fontId="17" fillId="35" borderId="0" xfId="19" applyNumberFormat="1" applyFont="1" applyFill="1" applyBorder="1" applyAlignment="1">
      <alignment wrapText="1"/>
    </xf>
    <xf numFmtId="170" fontId="17" fillId="35" borderId="0" xfId="19" applyNumberFormat="1" applyFont="1" applyFill="1" applyBorder="1" applyAlignment="1">
      <alignment wrapText="1"/>
    </xf>
    <xf numFmtId="181" fontId="10" fillId="0" borderId="76" xfId="0" applyNumberFormat="1" applyFont="1" applyFill="1" applyBorder="1" applyAlignment="1">
      <alignment horizontal="center" vertical="center"/>
    </xf>
    <xf numFmtId="171" fontId="10" fillId="35" borderId="0" xfId="19" applyNumberFormat="1" applyFont="1" applyFill="1" applyBorder="1" applyAlignment="1">
      <alignment horizontal="center" wrapText="1"/>
    </xf>
    <xf numFmtId="4" fontId="0" fillId="4" borderId="0" xfId="0" applyNumberFormat="1" applyFill="1"/>
    <xf numFmtId="0" fontId="10" fillId="36" borderId="4" xfId="0" applyFont="1" applyFill="1" applyBorder="1" applyAlignment="1">
      <alignment horizontal="center" vertical="center"/>
    </xf>
    <xf numFmtId="0" fontId="13" fillId="4" borderId="66" xfId="0" applyNumberFormat="1" applyFont="1" applyFill="1" applyBorder="1" applyAlignment="1">
      <alignment horizontal="left" vertical="top" wrapText="1"/>
    </xf>
    <xf numFmtId="0" fontId="13" fillId="0" borderId="11" xfId="0" applyFont="1" applyBorder="1" applyAlignment="1">
      <alignment horizontal="left" vertical="top"/>
    </xf>
    <xf numFmtId="9" fontId="0" fillId="72" borderId="5" xfId="0" applyNumberFormat="1" applyFill="1" applyBorder="1" applyAlignment="1">
      <alignment horizontal="center" vertical="center"/>
    </xf>
    <xf numFmtId="0" fontId="18" fillId="4" borderId="136" xfId="2" applyFill="1" applyBorder="1" applyAlignment="1" applyProtection="1">
      <alignment horizontal="center" vertical="center" wrapText="1"/>
    </xf>
    <xf numFmtId="170" fontId="10" fillId="0" borderId="113" xfId="0" applyNumberFormat="1" applyFont="1" applyFill="1" applyBorder="1" applyAlignment="1">
      <alignment horizontal="center" vertical="center"/>
    </xf>
    <xf numFmtId="170" fontId="10" fillId="0" borderId="66" xfId="0" applyNumberFormat="1" applyFont="1" applyFill="1" applyBorder="1" applyAlignment="1">
      <alignment horizontal="center" vertical="center"/>
    </xf>
    <xf numFmtId="164" fontId="10" fillId="4" borderId="0" xfId="1" applyNumberFormat="1" applyFont="1" applyFill="1" applyBorder="1"/>
    <xf numFmtId="9" fontId="28" fillId="62" borderId="8" xfId="3" applyNumberFormat="1" applyFont="1" applyFill="1" applyBorder="1" applyAlignment="1">
      <alignment horizontal="center" vertical="center"/>
    </xf>
    <xf numFmtId="3" fontId="28" fillId="40" borderId="112" xfId="3" applyNumberFormat="1" applyFont="1" applyFill="1" applyBorder="1" applyAlignment="1">
      <alignment horizontal="center" vertical="center"/>
    </xf>
    <xf numFmtId="9" fontId="28" fillId="40" borderId="114" xfId="3" applyNumberFormat="1" applyFont="1" applyFill="1" applyBorder="1" applyAlignment="1">
      <alignment horizontal="center" vertical="center"/>
    </xf>
    <xf numFmtId="3" fontId="28" fillId="41" borderId="112" xfId="3" applyNumberFormat="1" applyFont="1" applyFill="1" applyBorder="1" applyAlignment="1">
      <alignment horizontal="center" vertical="center"/>
    </xf>
    <xf numFmtId="9" fontId="28" fillId="41" borderId="114" xfId="3" applyNumberFormat="1" applyFont="1" applyFill="1" applyBorder="1" applyAlignment="1">
      <alignment horizontal="center" vertical="center"/>
    </xf>
    <xf numFmtId="9" fontId="28" fillId="39" borderId="137" xfId="3" applyNumberFormat="1" applyFont="1" applyFill="1" applyBorder="1" applyAlignment="1">
      <alignment horizontal="center" vertical="center"/>
    </xf>
    <xf numFmtId="9" fontId="28" fillId="39" borderId="127" xfId="3" applyNumberFormat="1" applyFont="1" applyFill="1" applyBorder="1" applyAlignment="1">
      <alignment horizontal="center" vertical="center"/>
    </xf>
    <xf numFmtId="9" fontId="28" fillId="40" borderId="126" xfId="3" applyNumberFormat="1" applyFont="1" applyFill="1" applyBorder="1" applyAlignment="1">
      <alignment horizontal="center" vertical="center"/>
    </xf>
    <xf numFmtId="9" fontId="28" fillId="40" borderId="128" xfId="3" applyNumberFormat="1" applyFont="1" applyFill="1" applyBorder="1" applyAlignment="1">
      <alignment horizontal="center" vertical="center"/>
    </xf>
    <xf numFmtId="9" fontId="28" fillId="41" borderId="126" xfId="3" applyNumberFormat="1" applyFont="1" applyFill="1" applyBorder="1" applyAlignment="1">
      <alignment horizontal="center" vertical="center"/>
    </xf>
    <xf numFmtId="9" fontId="28" fillId="41" borderId="130" xfId="3" applyNumberFormat="1" applyFont="1" applyFill="1" applyBorder="1" applyAlignment="1">
      <alignment horizontal="center" vertical="center"/>
    </xf>
    <xf numFmtId="9" fontId="28" fillId="41" borderId="127" xfId="3" applyNumberFormat="1" applyFont="1" applyFill="1" applyBorder="1" applyAlignment="1">
      <alignment horizontal="center" vertical="center"/>
    </xf>
    <xf numFmtId="9" fontId="28" fillId="41" borderId="128" xfId="3" applyNumberFormat="1" applyFont="1" applyFill="1" applyBorder="1" applyAlignment="1">
      <alignment horizontal="center" vertical="center"/>
    </xf>
    <xf numFmtId="9" fontId="45" fillId="35" borderId="119" xfId="3" applyNumberFormat="1" applyFont="1" applyFill="1" applyBorder="1" applyAlignment="1">
      <alignment horizontal="center" vertical="center"/>
    </xf>
    <xf numFmtId="0" fontId="69" fillId="61" borderId="20" xfId="0" applyFont="1" applyFill="1" applyBorder="1" applyAlignment="1">
      <alignment horizontal="center" vertical="center" wrapText="1"/>
    </xf>
    <xf numFmtId="3" fontId="13" fillId="4" borderId="119" xfId="0" applyNumberFormat="1" applyFont="1" applyFill="1" applyBorder="1" applyAlignment="1">
      <alignment horizontal="center" vertical="center" wrapText="1"/>
    </xf>
    <xf numFmtId="3" fontId="28" fillId="0" borderId="61" xfId="0" applyNumberFormat="1" applyFont="1" applyFill="1" applyBorder="1" applyAlignment="1">
      <alignment horizontal="center" vertical="center"/>
    </xf>
    <xf numFmtId="0" fontId="10" fillId="0" borderId="0" xfId="0" applyFont="1"/>
    <xf numFmtId="0" fontId="69" fillId="73" borderId="5" xfId="19"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3" fontId="13" fillId="4" borderId="0" xfId="0" applyNumberFormat="1" applyFont="1" applyFill="1" applyBorder="1" applyAlignment="1">
      <alignment horizontal="center" vertical="center" wrapText="1"/>
    </xf>
    <xf numFmtId="0" fontId="69" fillId="74" borderId="9" xfId="0" applyFont="1" applyFill="1" applyBorder="1" applyAlignment="1">
      <alignment horizontal="center" vertical="center" wrapText="1"/>
    </xf>
    <xf numFmtId="0" fontId="69" fillId="74" borderId="16" xfId="0" applyFont="1" applyFill="1" applyBorder="1" applyAlignment="1">
      <alignment horizontal="center" vertical="center" wrapText="1"/>
    </xf>
    <xf numFmtId="0" fontId="69" fillId="74" borderId="10" xfId="0" applyFont="1" applyFill="1" applyBorder="1" applyAlignment="1">
      <alignment horizontal="center" vertical="center" wrapText="1"/>
    </xf>
    <xf numFmtId="0" fontId="18" fillId="0" borderId="0" xfId="2" applyAlignment="1" applyProtection="1"/>
    <xf numFmtId="4" fontId="69" fillId="74" borderId="9" xfId="0" applyNumberFormat="1" applyFont="1" applyFill="1" applyBorder="1" applyAlignment="1">
      <alignment horizontal="center" vertical="center" wrapText="1"/>
    </xf>
    <xf numFmtId="3" fontId="69" fillId="74" borderId="16" xfId="0" applyNumberFormat="1" applyFont="1" applyFill="1" applyBorder="1" applyAlignment="1">
      <alignment horizontal="center" vertical="center" wrapText="1"/>
    </xf>
    <xf numFmtId="3" fontId="69" fillId="74" borderId="10" xfId="0" applyNumberFormat="1" applyFont="1" applyFill="1" applyBorder="1" applyAlignment="1">
      <alignment horizontal="center" vertical="center" wrapText="1"/>
    </xf>
    <xf numFmtId="3" fontId="50" fillId="39" borderId="112" xfId="0" applyNumberFormat="1" applyFont="1" applyFill="1" applyBorder="1" applyAlignment="1">
      <alignment horizontal="center" vertical="center"/>
    </xf>
    <xf numFmtId="3" fontId="50" fillId="39" borderId="114" xfId="0" applyNumberFormat="1" applyFont="1" applyFill="1" applyBorder="1" applyAlignment="1">
      <alignment horizontal="center" vertical="center"/>
    </xf>
    <xf numFmtId="3" fontId="28" fillId="39" borderId="60" xfId="0" applyNumberFormat="1" applyFont="1" applyFill="1" applyBorder="1" applyAlignment="1">
      <alignment horizontal="center" vertical="center"/>
    </xf>
    <xf numFmtId="3" fontId="28" fillId="39" borderId="86" xfId="0" applyNumberFormat="1" applyFont="1" applyFill="1" applyBorder="1" applyAlignment="1">
      <alignment horizontal="center" vertical="center"/>
    </xf>
    <xf numFmtId="0" fontId="10" fillId="4" borderId="48" xfId="0" applyNumberFormat="1" applyFont="1" applyFill="1" applyBorder="1" applyAlignment="1">
      <alignment horizontal="center" vertical="center" wrapText="1"/>
    </xf>
    <xf numFmtId="0" fontId="69" fillId="61" borderId="39" xfId="110" applyFont="1" applyFill="1" applyBorder="1" applyAlignment="1">
      <alignment horizontal="center" vertical="center" wrapText="1"/>
    </xf>
    <xf numFmtId="3" fontId="10" fillId="39" borderId="112" xfId="0" applyNumberFormat="1" applyFont="1" applyFill="1" applyBorder="1" applyAlignment="1">
      <alignment horizontal="center" vertical="center" wrapText="1"/>
    </xf>
    <xf numFmtId="3" fontId="10" fillId="39" borderId="49" xfId="0" applyNumberFormat="1" applyFont="1" applyFill="1" applyBorder="1" applyAlignment="1">
      <alignment horizontal="center" vertical="center" wrapText="1"/>
    </xf>
    <xf numFmtId="3" fontId="10" fillId="65" borderId="50" xfId="0" applyNumberFormat="1" applyFont="1" applyFill="1" applyBorder="1" applyAlignment="1">
      <alignment horizontal="center" vertical="center" wrapText="1"/>
    </xf>
    <xf numFmtId="3" fontId="28" fillId="38" borderId="8" xfId="3" applyNumberFormat="1" applyFont="1" applyFill="1" applyBorder="1" applyAlignment="1">
      <alignment horizontal="center" vertical="center"/>
    </xf>
    <xf numFmtId="0" fontId="10" fillId="4" borderId="18" xfId="0" applyFont="1" applyFill="1" applyBorder="1" applyAlignment="1">
      <alignment vertical="top"/>
    </xf>
    <xf numFmtId="0" fontId="0" fillId="4" borderId="19" xfId="0" applyFill="1" applyBorder="1" applyAlignment="1">
      <alignment vertical="top"/>
    </xf>
    <xf numFmtId="0" fontId="10" fillId="4" borderId="3" xfId="0" applyFont="1" applyFill="1" applyBorder="1" applyAlignment="1">
      <alignment vertical="top"/>
    </xf>
    <xf numFmtId="0" fontId="0" fillId="4" borderId="0" xfId="0" applyFill="1" applyBorder="1" applyAlignment="1">
      <alignment vertical="top"/>
    </xf>
    <xf numFmtId="0" fontId="10" fillId="4" borderId="57" xfId="0" applyFont="1" applyFill="1" applyBorder="1" applyAlignment="1">
      <alignment vertical="top"/>
    </xf>
    <xf numFmtId="0" fontId="0" fillId="4" borderId="125" xfId="0" applyFill="1" applyBorder="1" applyAlignment="1">
      <alignment vertical="top"/>
    </xf>
    <xf numFmtId="0" fontId="0" fillId="4" borderId="56" xfId="0" applyFill="1" applyBorder="1" applyAlignment="1">
      <alignment vertical="top"/>
    </xf>
    <xf numFmtId="0" fontId="0" fillId="4" borderId="51" xfId="0" applyFill="1" applyBorder="1" applyAlignment="1">
      <alignment vertical="top"/>
    </xf>
    <xf numFmtId="0" fontId="13" fillId="4" borderId="0" xfId="0" applyFont="1" applyFill="1"/>
    <xf numFmtId="0" fontId="69" fillId="76" borderId="1" xfId="0" applyFont="1" applyFill="1" applyBorder="1" applyAlignment="1">
      <alignment vertical="top"/>
    </xf>
    <xf numFmtId="0" fontId="69" fillId="76" borderId="2" xfId="0" applyFont="1" applyFill="1" applyBorder="1" applyAlignment="1">
      <alignment vertical="top"/>
    </xf>
    <xf numFmtId="0" fontId="13" fillId="35" borderId="0" xfId="19" applyFont="1" applyFill="1" applyBorder="1" applyAlignment="1">
      <alignment horizontal="center" vertical="center"/>
    </xf>
    <xf numFmtId="3" fontId="45" fillId="35" borderId="0" xfId="3" applyNumberFormat="1" applyFont="1" applyFill="1" applyBorder="1" applyAlignment="1">
      <alignment horizontal="center" vertical="center"/>
    </xf>
    <xf numFmtId="9" fontId="45" fillId="35" borderId="0" xfId="3" applyNumberFormat="1" applyFont="1" applyFill="1" applyBorder="1" applyAlignment="1">
      <alignment horizontal="center" vertical="center"/>
    </xf>
    <xf numFmtId="0" fontId="18" fillId="0" borderId="21" xfId="2" applyBorder="1" applyAlignment="1" applyProtection="1">
      <alignment horizontal="center" vertical="center"/>
    </xf>
    <xf numFmtId="0" fontId="69" fillId="74" borderId="34" xfId="0" applyFont="1" applyFill="1" applyBorder="1" applyAlignment="1">
      <alignment horizontal="center" vertical="center" wrapText="1"/>
    </xf>
    <xf numFmtId="3" fontId="50" fillId="39" borderId="115" xfId="0" applyNumberFormat="1" applyFont="1" applyFill="1" applyBorder="1" applyAlignment="1">
      <alignment horizontal="center" vertical="center"/>
    </xf>
    <xf numFmtId="3" fontId="10" fillId="39" borderId="115" xfId="0" applyNumberFormat="1" applyFont="1" applyFill="1" applyBorder="1" applyAlignment="1">
      <alignment horizontal="center" vertical="center" wrapText="1"/>
    </xf>
    <xf numFmtId="3" fontId="10" fillId="65" borderId="94" xfId="0" applyNumberFormat="1" applyFont="1" applyFill="1" applyBorder="1" applyAlignment="1">
      <alignment horizontal="center" vertical="center" wrapText="1"/>
    </xf>
    <xf numFmtId="3" fontId="10" fillId="65" borderId="114" xfId="0" applyNumberFormat="1" applyFont="1" applyFill="1" applyBorder="1" applyAlignment="1">
      <alignment horizontal="center" vertical="center" wrapText="1"/>
    </xf>
    <xf numFmtId="0" fontId="0" fillId="0" borderId="0" xfId="0" applyFill="1" applyBorder="1" applyAlignment="1">
      <alignment wrapText="1"/>
    </xf>
    <xf numFmtId="3" fontId="69" fillId="0" borderId="0" xfId="0" applyNumberFormat="1" applyFont="1" applyFill="1" applyBorder="1" applyAlignment="1">
      <alignment horizontal="center" vertical="center" wrapText="1"/>
    </xf>
    <xf numFmtId="170" fontId="28" fillId="0" borderId="0" xfId="0" applyNumberFormat="1" applyFont="1" applyFill="1" applyBorder="1" applyAlignment="1">
      <alignment horizontal="center" vertical="center"/>
    </xf>
    <xf numFmtId="4" fontId="28" fillId="0" borderId="0" xfId="0" applyNumberFormat="1" applyFont="1" applyFill="1" applyBorder="1" applyAlignment="1">
      <alignment horizontal="center" vertical="center"/>
    </xf>
    <xf numFmtId="3" fontId="28" fillId="39" borderId="61" xfId="0" applyNumberFormat="1" applyFont="1" applyFill="1" applyBorder="1" applyAlignment="1">
      <alignment horizontal="center" vertical="center"/>
    </xf>
    <xf numFmtId="3" fontId="28" fillId="39" borderId="88" xfId="0" applyNumberFormat="1" applyFont="1" applyFill="1" applyBorder="1" applyAlignment="1">
      <alignment horizontal="center" vertical="center"/>
    </xf>
    <xf numFmtId="0" fontId="13" fillId="0" borderId="0" xfId="0" applyFont="1" applyAlignment="1">
      <alignment horizontal="center"/>
    </xf>
    <xf numFmtId="0" fontId="28" fillId="0" borderId="66" xfId="10" applyFont="1" applyBorder="1" applyAlignment="1">
      <alignment horizontal="center" vertical="center"/>
    </xf>
    <xf numFmtId="166" fontId="28" fillId="0" borderId="53" xfId="10" applyNumberFormat="1" applyFont="1" applyFill="1" applyBorder="1" applyAlignment="1">
      <alignment horizontal="center" vertical="center"/>
    </xf>
    <xf numFmtId="9" fontId="10" fillId="39" borderId="114" xfId="0" applyNumberFormat="1" applyFont="1" applyFill="1" applyBorder="1" applyAlignment="1">
      <alignment horizontal="center" vertical="center" wrapText="1"/>
    </xf>
    <xf numFmtId="0" fontId="10" fillId="0" borderId="70" xfId="0" applyFont="1" applyBorder="1" applyAlignment="1">
      <alignment horizontal="center" vertical="center"/>
    </xf>
    <xf numFmtId="3" fontId="10" fillId="42" borderId="117" xfId="1" applyNumberFormat="1" applyFont="1" applyFill="1" applyBorder="1" applyAlignment="1">
      <alignment horizontal="center" vertical="center"/>
    </xf>
    <xf numFmtId="3" fontId="10" fillId="42" borderId="112" xfId="4" applyNumberFormat="1" applyFont="1" applyFill="1" applyBorder="1" applyAlignment="1">
      <alignment horizontal="center" vertical="center" wrapText="1"/>
    </xf>
    <xf numFmtId="3" fontId="10" fillId="42" borderId="118" xfId="4" applyNumberFormat="1" applyFont="1" applyFill="1" applyBorder="1" applyAlignment="1">
      <alignment horizontal="center" vertical="center"/>
    </xf>
    <xf numFmtId="3" fontId="10" fillId="42" borderId="118" xfId="4" applyNumberFormat="1" applyFont="1" applyFill="1" applyBorder="1" applyAlignment="1">
      <alignment horizontal="center" vertical="center" wrapText="1"/>
    </xf>
    <xf numFmtId="3" fontId="10" fillId="36" borderId="114" xfId="15" applyNumberFormat="1" applyFont="1" applyFill="1" applyBorder="1" applyAlignment="1">
      <alignment horizontal="center" vertical="center"/>
    </xf>
    <xf numFmtId="3" fontId="10" fillId="36" borderId="113" xfId="15" applyNumberFormat="1" applyFont="1" applyFill="1" applyBorder="1" applyAlignment="1">
      <alignment horizontal="center" vertical="center"/>
    </xf>
    <xf numFmtId="3" fontId="10" fillId="36" borderId="66" xfId="15" applyNumberFormat="1" applyFont="1" applyFill="1" applyBorder="1" applyAlignment="1">
      <alignment horizontal="center" vertical="center"/>
    </xf>
    <xf numFmtId="3" fontId="10" fillId="36" borderId="53" xfId="15" applyNumberFormat="1" applyFont="1" applyFill="1" applyBorder="1" applyAlignment="1">
      <alignment horizontal="center" vertical="center"/>
    </xf>
    <xf numFmtId="3" fontId="10" fillId="36" borderId="11" xfId="15" applyNumberFormat="1" applyFont="1" applyFill="1" applyBorder="1" applyAlignment="1">
      <alignment horizontal="center" vertical="center"/>
    </xf>
    <xf numFmtId="0" fontId="10" fillId="4" borderId="0" xfId="0" applyNumberFormat="1" applyFont="1" applyFill="1" applyBorder="1" applyAlignment="1">
      <alignment horizontal="center" vertical="center" wrapText="1"/>
    </xf>
    <xf numFmtId="0" fontId="74" fillId="4" borderId="0"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10" fillId="0" borderId="3" xfId="0" applyFont="1" applyFill="1" applyBorder="1" applyAlignment="1">
      <alignment horizontal="left" vertical="top" wrapText="1"/>
    </xf>
    <xf numFmtId="0" fontId="69" fillId="61" borderId="12" xfId="0" applyFont="1" applyFill="1" applyBorder="1" applyAlignment="1">
      <alignment horizontal="center" vertical="center" wrapText="1"/>
    </xf>
    <xf numFmtId="0" fontId="50" fillId="0" borderId="112" xfId="0" applyFont="1" applyBorder="1"/>
    <xf numFmtId="0" fontId="28" fillId="0" borderId="66" xfId="0" applyFont="1" applyFill="1" applyBorder="1" applyAlignment="1">
      <alignment horizontal="center" vertical="center"/>
    </xf>
    <xf numFmtId="3" fontId="28" fillId="70" borderId="118" xfId="0" applyNumberFormat="1" applyFont="1" applyFill="1" applyBorder="1" applyAlignment="1">
      <alignment horizontal="center" vertical="center"/>
    </xf>
    <xf numFmtId="3" fontId="28" fillId="42" borderId="118" xfId="0" applyNumberFormat="1" applyFont="1" applyFill="1" applyBorder="1" applyAlignment="1">
      <alignment horizontal="center" vertical="center"/>
    </xf>
    <xf numFmtId="2" fontId="28" fillId="68" borderId="66" xfId="0" applyNumberFormat="1" applyFont="1" applyFill="1" applyBorder="1" applyAlignment="1">
      <alignment horizontal="center" vertical="center"/>
    </xf>
    <xf numFmtId="2" fontId="28" fillId="68" borderId="118" xfId="0" applyNumberFormat="1" applyFont="1" applyFill="1" applyBorder="1" applyAlignment="1">
      <alignment horizontal="center" vertical="center"/>
    </xf>
    <xf numFmtId="2" fontId="28" fillId="68" borderId="90" xfId="0" applyNumberFormat="1" applyFont="1" applyFill="1" applyBorder="1" applyAlignment="1">
      <alignment horizontal="center" vertical="center"/>
    </xf>
    <xf numFmtId="3" fontId="28" fillId="0" borderId="67" xfId="0" applyNumberFormat="1" applyFont="1" applyFill="1" applyBorder="1" applyAlignment="1">
      <alignment horizontal="center" vertical="center"/>
    </xf>
    <xf numFmtId="3" fontId="28" fillId="0" borderId="117" xfId="0" applyNumberFormat="1" applyFont="1" applyFill="1" applyBorder="1" applyAlignment="1">
      <alignment horizontal="center" vertical="center"/>
    </xf>
    <xf numFmtId="0" fontId="28" fillId="0" borderId="77" xfId="0" applyFont="1" applyBorder="1" applyAlignment="1">
      <alignment horizontal="center" vertical="center"/>
    </xf>
    <xf numFmtId="0" fontId="18" fillId="4" borderId="21" xfId="2" applyFill="1" applyBorder="1" applyAlignment="1" applyProtection="1">
      <alignment horizontal="center" vertical="center" wrapText="1"/>
    </xf>
    <xf numFmtId="0" fontId="28" fillId="0" borderId="64" xfId="0" applyFont="1" applyFill="1" applyBorder="1" applyAlignment="1">
      <alignment horizontal="left" vertical="center"/>
    </xf>
    <xf numFmtId="176" fontId="28" fillId="65" borderId="121" xfId="110" applyNumberFormat="1" applyFont="1" applyFill="1" applyBorder="1" applyAlignment="1">
      <alignment horizontal="center" vertical="center"/>
    </xf>
    <xf numFmtId="169" fontId="10" fillId="0" borderId="118" xfId="0" applyNumberFormat="1" applyFont="1" applyFill="1" applyBorder="1" applyAlignment="1">
      <alignment horizontal="center" vertical="center" wrapText="1"/>
    </xf>
    <xf numFmtId="2" fontId="28" fillId="0" borderId="123" xfId="110" applyNumberFormat="1" applyFont="1" applyFill="1" applyBorder="1" applyAlignment="1">
      <alignment horizontal="center" vertical="center"/>
    </xf>
    <xf numFmtId="176" fontId="28" fillId="0" borderId="123" xfId="110" applyNumberFormat="1" applyFont="1" applyFill="1" applyBorder="1" applyAlignment="1">
      <alignment horizontal="center" vertical="center"/>
    </xf>
    <xf numFmtId="0" fontId="18" fillId="4" borderId="88" xfId="2" applyFont="1" applyFill="1" applyBorder="1" applyAlignment="1" applyProtection="1">
      <alignment horizontal="center" vertical="center"/>
    </xf>
    <xf numFmtId="3" fontId="88" fillId="39" borderId="122" xfId="0" applyNumberFormat="1" applyFont="1" applyFill="1" applyBorder="1" applyAlignment="1">
      <alignment horizontal="center" vertical="center"/>
    </xf>
    <xf numFmtId="3" fontId="88" fillId="39" borderId="121" xfId="0" applyNumberFormat="1" applyFont="1" applyFill="1" applyBorder="1" applyAlignment="1">
      <alignment horizontal="center" vertical="center"/>
    </xf>
    <xf numFmtId="3" fontId="88" fillId="39" borderId="123" xfId="0" applyNumberFormat="1" applyFont="1" applyFill="1" applyBorder="1" applyAlignment="1">
      <alignment horizontal="center" vertical="center"/>
    </xf>
    <xf numFmtId="0" fontId="88" fillId="0" borderId="72" xfId="0" applyFont="1" applyFill="1" applyBorder="1" applyAlignment="1">
      <alignment horizontal="center" vertical="center"/>
    </xf>
    <xf numFmtId="0" fontId="88" fillId="0" borderId="60" xfId="0" applyFont="1" applyFill="1" applyBorder="1" applyAlignment="1">
      <alignment horizontal="center" vertical="center"/>
    </xf>
    <xf numFmtId="0" fontId="88" fillId="0" borderId="62" xfId="0" applyFont="1" applyFill="1" applyBorder="1" applyAlignment="1">
      <alignment horizontal="center" vertical="center"/>
    </xf>
    <xf numFmtId="2" fontId="88" fillId="0" borderId="72" xfId="0" applyNumberFormat="1" applyFont="1" applyFill="1" applyBorder="1" applyAlignment="1">
      <alignment horizontal="center" vertical="center"/>
    </xf>
    <xf numFmtId="2" fontId="88" fillId="0" borderId="60" xfId="0" applyNumberFormat="1" applyFont="1" applyFill="1" applyBorder="1" applyAlignment="1">
      <alignment horizontal="center" vertical="center"/>
    </xf>
    <xf numFmtId="2" fontId="88" fillId="0" borderId="139" xfId="0" applyNumberFormat="1" applyFont="1" applyFill="1" applyBorder="1" applyAlignment="1">
      <alignment horizontal="center" vertical="center"/>
    </xf>
    <xf numFmtId="2" fontId="88" fillId="0" borderId="140" xfId="0" applyNumberFormat="1" applyFont="1" applyFill="1" applyBorder="1" applyAlignment="1">
      <alignment horizontal="center" vertical="center"/>
    </xf>
    <xf numFmtId="2" fontId="88" fillId="0" borderId="141" xfId="0" applyNumberFormat="1" applyFont="1" applyFill="1" applyBorder="1" applyAlignment="1">
      <alignment horizontal="center" vertical="center"/>
    </xf>
    <xf numFmtId="0" fontId="28" fillId="68" borderId="120" xfId="0" applyFont="1" applyFill="1" applyBorder="1" applyAlignment="1">
      <alignment horizontal="center" vertical="center"/>
    </xf>
    <xf numFmtId="3" fontId="45" fillId="0" borderId="35" xfId="0" applyNumberFormat="1" applyFont="1" applyFill="1" applyBorder="1" applyAlignment="1">
      <alignment horizontal="center" vertical="center"/>
    </xf>
    <xf numFmtId="0" fontId="69" fillId="61" borderId="131" xfId="0" applyFont="1" applyFill="1" applyBorder="1" applyAlignment="1">
      <alignment horizontal="center" vertical="center" wrapText="1"/>
    </xf>
    <xf numFmtId="0" fontId="0" fillId="4" borderId="68" xfId="0" applyFill="1" applyBorder="1" applyAlignment="1">
      <alignment vertical="top"/>
    </xf>
    <xf numFmtId="0" fontId="0" fillId="4" borderId="135" xfId="0" applyFill="1" applyBorder="1" applyAlignment="1">
      <alignment vertical="top"/>
    </xf>
    <xf numFmtId="0" fontId="91" fillId="61" borderId="109" xfId="0" applyFont="1" applyFill="1" applyBorder="1" applyAlignment="1">
      <alignment horizontal="center" vertical="center" wrapText="1"/>
    </xf>
    <xf numFmtId="0" fontId="91" fillId="61" borderId="7" xfId="0" applyFont="1" applyFill="1" applyBorder="1" applyAlignment="1">
      <alignment horizontal="center" vertical="center" wrapText="1"/>
    </xf>
    <xf numFmtId="0" fontId="91" fillId="61" borderId="8" xfId="0" applyFont="1" applyFill="1" applyBorder="1" applyAlignment="1">
      <alignment horizontal="center" vertical="center" wrapText="1"/>
    </xf>
    <xf numFmtId="0" fontId="28" fillId="0" borderId="113" xfId="110" applyFont="1" applyBorder="1" applyAlignment="1">
      <alignment horizontal="center" vertical="center" wrapText="1"/>
    </xf>
    <xf numFmtId="0" fontId="28" fillId="0" borderId="113" xfId="0" applyFont="1" applyBorder="1" applyAlignment="1">
      <alignment horizontal="center" vertical="center"/>
    </xf>
    <xf numFmtId="0" fontId="18" fillId="0" borderId="14" xfId="2" applyBorder="1" applyAlignment="1" applyProtection="1">
      <alignment horizontal="center" vertical="center" wrapText="1"/>
    </xf>
    <xf numFmtId="0" fontId="10" fillId="4" borderId="68" xfId="0" applyFont="1" applyFill="1" applyBorder="1" applyAlignment="1">
      <alignment vertical="top"/>
    </xf>
    <xf numFmtId="0" fontId="0" fillId="4" borderId="117" xfId="0" applyFill="1" applyBorder="1" applyAlignment="1">
      <alignment vertical="top"/>
    </xf>
    <xf numFmtId="0" fontId="10" fillId="4" borderId="96" xfId="0" applyFont="1" applyFill="1" applyBorder="1" applyAlignment="1">
      <alignment horizontal="center" vertical="center" wrapText="1"/>
    </xf>
    <xf numFmtId="0" fontId="10" fillId="36" borderId="114" xfId="0" applyFont="1" applyFill="1" applyBorder="1" applyAlignment="1">
      <alignment horizontal="center" vertical="center"/>
    </xf>
    <xf numFmtId="37" fontId="10" fillId="36" borderId="112" xfId="15" applyNumberFormat="1" applyFont="1" applyFill="1" applyBorder="1" applyAlignment="1">
      <alignment horizontal="center" wrapText="1"/>
    </xf>
    <xf numFmtId="0" fontId="28" fillId="59" borderId="123" xfId="0" applyFont="1" applyFill="1" applyBorder="1" applyAlignment="1">
      <alignment horizontal="center" vertical="center"/>
    </xf>
    <xf numFmtId="3" fontId="28" fillId="4" borderId="134" xfId="0" applyNumberFormat="1" applyFont="1" applyFill="1" applyBorder="1" applyAlignment="1">
      <alignment horizontal="center" vertical="center"/>
    </xf>
    <xf numFmtId="3" fontId="28" fillId="4" borderId="121" xfId="0" applyNumberFormat="1" applyFont="1" applyFill="1" applyBorder="1" applyAlignment="1">
      <alignment horizontal="center" vertical="center"/>
    </xf>
    <xf numFmtId="3" fontId="28" fillId="36" borderId="84" xfId="0" applyNumberFormat="1" applyFont="1" applyFill="1" applyBorder="1" applyAlignment="1">
      <alignment horizontal="center" vertical="center"/>
    </xf>
    <xf numFmtId="3" fontId="28" fillId="36" borderId="87" xfId="0" applyNumberFormat="1" applyFont="1" applyFill="1" applyBorder="1" applyAlignment="1">
      <alignment horizontal="center" vertical="center"/>
    </xf>
    <xf numFmtId="3" fontId="28" fillId="36" borderId="110" xfId="0" applyNumberFormat="1" applyFont="1" applyFill="1" applyBorder="1" applyAlignment="1">
      <alignment horizontal="center" vertical="center"/>
    </xf>
    <xf numFmtId="0" fontId="28" fillId="68" borderId="116" xfId="0" applyFont="1" applyFill="1" applyBorder="1" applyAlignment="1">
      <alignment horizontal="center" vertical="center"/>
    </xf>
    <xf numFmtId="0" fontId="69" fillId="61" borderId="55" xfId="0" applyFont="1" applyFill="1" applyBorder="1" applyAlignment="1">
      <alignment horizontal="center" vertical="center" wrapText="1"/>
    </xf>
    <xf numFmtId="166" fontId="28" fillId="39" borderId="65" xfId="10" applyNumberFormat="1" applyFont="1" applyFill="1" applyBorder="1" applyAlignment="1">
      <alignment horizontal="center" vertical="center"/>
    </xf>
    <xf numFmtId="166" fontId="28" fillId="39" borderId="61" xfId="10" applyNumberFormat="1" applyFont="1" applyFill="1" applyBorder="1" applyAlignment="1">
      <alignment horizontal="center" vertical="center"/>
    </xf>
    <xf numFmtId="166" fontId="28" fillId="39" borderId="130" xfId="10" applyNumberFormat="1" applyFont="1" applyFill="1" applyBorder="1" applyAlignment="1">
      <alignment horizontal="center" vertical="center"/>
    </xf>
    <xf numFmtId="166" fontId="28" fillId="39" borderId="127" xfId="10" applyNumberFormat="1" applyFont="1" applyFill="1" applyBorder="1" applyAlignment="1">
      <alignment horizontal="center" vertical="center"/>
    </xf>
    <xf numFmtId="166" fontId="28" fillId="39" borderId="143" xfId="10" applyNumberFormat="1" applyFont="1" applyFill="1" applyBorder="1" applyAlignment="1">
      <alignment horizontal="center" vertical="center"/>
    </xf>
    <xf numFmtId="3" fontId="10" fillId="39" borderId="11" xfId="0" applyNumberFormat="1" applyFont="1" applyFill="1" applyBorder="1" applyAlignment="1">
      <alignment horizontal="center" vertical="center"/>
    </xf>
    <xf numFmtId="0" fontId="10" fillId="0" borderId="75"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96" xfId="0" applyFont="1" applyBorder="1" applyAlignment="1">
      <alignment horizontal="center" vertical="center" wrapText="1"/>
    </xf>
    <xf numFmtId="0" fontId="10" fillId="0" borderId="85" xfId="0" applyFont="1" applyBorder="1" applyAlignment="1">
      <alignment horizontal="center" vertical="center" wrapText="1"/>
    </xf>
    <xf numFmtId="3" fontId="10" fillId="39" borderId="59" xfId="0" applyNumberFormat="1" applyFont="1" applyFill="1" applyBorder="1" applyAlignment="1">
      <alignment horizontal="center" vertical="center"/>
    </xf>
    <xf numFmtId="3" fontId="10" fillId="39" borderId="61" xfId="0" applyNumberFormat="1" applyFont="1" applyFill="1" applyBorder="1" applyAlignment="1">
      <alignment horizontal="center" vertical="center"/>
    </xf>
    <xf numFmtId="3" fontId="10" fillId="39" borderId="63" xfId="0" applyNumberFormat="1" applyFont="1" applyFill="1" applyBorder="1" applyAlignment="1">
      <alignment horizontal="center" vertical="center"/>
    </xf>
    <xf numFmtId="3" fontId="10" fillId="39" borderId="81" xfId="0" applyNumberFormat="1" applyFont="1" applyFill="1" applyBorder="1" applyAlignment="1">
      <alignment horizontal="center" vertical="center"/>
    </xf>
    <xf numFmtId="3" fontId="10" fillId="39" borderId="88" xfId="0" applyNumberFormat="1" applyFont="1" applyFill="1" applyBorder="1" applyAlignment="1">
      <alignment horizontal="center" vertical="center"/>
    </xf>
    <xf numFmtId="190" fontId="28" fillId="39" borderId="114" xfId="0" applyNumberFormat="1" applyFont="1" applyFill="1" applyBorder="1" applyAlignment="1">
      <alignment horizontal="center" vertical="center" wrapText="1"/>
    </xf>
    <xf numFmtId="189" fontId="28" fillId="39" borderId="114" xfId="0" applyNumberFormat="1" applyFont="1" applyFill="1" applyBorder="1" applyAlignment="1">
      <alignment horizontal="center" vertical="center" wrapText="1"/>
    </xf>
    <xf numFmtId="174" fontId="28" fillId="39" borderId="114" xfId="0" applyNumberFormat="1" applyFont="1" applyFill="1" applyBorder="1" applyAlignment="1">
      <alignment horizontal="center" vertical="center" wrapText="1"/>
    </xf>
    <xf numFmtId="0" fontId="10" fillId="4" borderId="113" xfId="0" applyFont="1" applyFill="1" applyBorder="1" applyAlignment="1">
      <alignment horizontal="right" wrapText="1"/>
    </xf>
    <xf numFmtId="165" fontId="10" fillId="4" borderId="113" xfId="0" applyNumberFormat="1" applyFont="1" applyFill="1" applyBorder="1" applyAlignment="1">
      <alignment horizontal="right" wrapText="1"/>
    </xf>
    <xf numFmtId="0" fontId="69" fillId="61" borderId="34" xfId="110" applyFont="1" applyFill="1" applyBorder="1" applyAlignment="1">
      <alignment horizontal="center" vertical="center" wrapText="1"/>
    </xf>
    <xf numFmtId="0" fontId="28" fillId="39" borderId="115" xfId="0" applyFont="1" applyFill="1" applyBorder="1" applyAlignment="1">
      <alignment horizontal="center" vertical="center"/>
    </xf>
    <xf numFmtId="0" fontId="28" fillId="65" borderId="114" xfId="0" applyFont="1" applyFill="1" applyBorder="1" applyAlignment="1">
      <alignment horizontal="center" vertical="center"/>
    </xf>
    <xf numFmtId="167" fontId="28" fillId="65" borderId="114" xfId="0" applyNumberFormat="1" applyFont="1" applyFill="1" applyBorder="1" applyAlignment="1">
      <alignment horizontal="center" vertical="center"/>
    </xf>
    <xf numFmtId="0" fontId="10" fillId="39" borderId="113" xfId="0" applyFont="1" applyFill="1" applyBorder="1" applyAlignment="1">
      <alignment horizontal="center" vertical="center"/>
    </xf>
    <xf numFmtId="0" fontId="10" fillId="39" borderId="112" xfId="0" applyFont="1" applyFill="1" applyBorder="1" applyAlignment="1">
      <alignment horizontal="center" vertical="center"/>
    </xf>
    <xf numFmtId="2" fontId="0" fillId="39" borderId="114" xfId="0" applyNumberFormat="1" applyFill="1" applyBorder="1" applyAlignment="1">
      <alignment horizontal="center" vertical="center"/>
    </xf>
    <xf numFmtId="0" fontId="0" fillId="39" borderId="114" xfId="0" applyFill="1" applyBorder="1" applyAlignment="1">
      <alignment horizontal="center" vertical="center"/>
    </xf>
    <xf numFmtId="0" fontId="10" fillId="39" borderId="11" xfId="0" applyFont="1" applyFill="1" applyBorder="1" applyAlignment="1">
      <alignment horizontal="center" vertical="center"/>
    </xf>
    <xf numFmtId="165" fontId="69" fillId="61" borderId="21" xfId="0" applyNumberFormat="1" applyFont="1" applyFill="1" applyBorder="1" applyAlignment="1">
      <alignment vertical="center" wrapText="1"/>
    </xf>
    <xf numFmtId="0" fontId="0" fillId="4" borderId="0" xfId="0" applyFill="1" applyAlignment="1">
      <alignment vertical="center"/>
    </xf>
    <xf numFmtId="1" fontId="28" fillId="0" borderId="114" xfId="0" applyNumberFormat="1" applyFont="1" applyBorder="1" applyAlignment="1">
      <alignment horizontal="center" vertical="center"/>
    </xf>
    <xf numFmtId="167" fontId="28" fillId="0" borderId="114" xfId="0" applyNumberFormat="1" applyFont="1" applyBorder="1" applyAlignment="1">
      <alignment horizontal="center" vertical="center"/>
    </xf>
    <xf numFmtId="0" fontId="69" fillId="61" borderId="9" xfId="110" applyFont="1" applyFill="1" applyBorder="1" applyAlignment="1">
      <alignment horizontal="center" vertical="center" wrapText="1"/>
    </xf>
    <xf numFmtId="0" fontId="28" fillId="0" borderId="11" xfId="0" applyFont="1" applyBorder="1" applyAlignment="1">
      <alignment horizontal="center" vertical="center"/>
    </xf>
    <xf numFmtId="0" fontId="28" fillId="65" borderId="116" xfId="0" applyFont="1" applyFill="1" applyBorder="1" applyAlignment="1">
      <alignment vertical="center"/>
    </xf>
    <xf numFmtId="0" fontId="28" fillId="0" borderId="23" xfId="10" applyFont="1" applyBorder="1" applyAlignment="1">
      <alignment horizontal="center" vertical="center"/>
    </xf>
    <xf numFmtId="166" fontId="28" fillId="0" borderId="38" xfId="10" applyNumberFormat="1" applyFont="1" applyFill="1" applyBorder="1" applyAlignment="1">
      <alignment horizontal="center" vertical="center"/>
    </xf>
    <xf numFmtId="0" fontId="10" fillId="0" borderId="77" xfId="0" applyFont="1" applyFill="1" applyBorder="1" applyAlignment="1">
      <alignment horizontal="center" vertical="center"/>
    </xf>
    <xf numFmtId="3" fontId="10" fillId="0" borderId="78" xfId="0" applyNumberFormat="1" applyFont="1" applyFill="1" applyBorder="1" applyAlignment="1">
      <alignment horizontal="center" vertical="center"/>
    </xf>
    <xf numFmtId="170" fontId="10" fillId="0" borderId="97" xfId="0" applyNumberFormat="1" applyFont="1" applyFill="1" applyBorder="1" applyAlignment="1">
      <alignment horizontal="center" vertical="center"/>
    </xf>
    <xf numFmtId="3" fontId="10" fillId="42" borderId="62" xfId="0" applyNumberFormat="1" applyFont="1" applyFill="1" applyBorder="1" applyAlignment="1">
      <alignment horizontal="center" vertical="center"/>
    </xf>
    <xf numFmtId="3" fontId="50" fillId="36" borderId="72" xfId="0" applyNumberFormat="1" applyFont="1" applyFill="1" applyBorder="1" applyAlignment="1">
      <alignment horizontal="center" vertical="center" wrapText="1"/>
    </xf>
    <xf numFmtId="3" fontId="50" fillId="36" borderId="126" xfId="0" applyNumberFormat="1" applyFont="1" applyFill="1" applyBorder="1" applyAlignment="1">
      <alignment horizontal="center" vertical="center" wrapText="1"/>
    </xf>
    <xf numFmtId="3" fontId="10" fillId="36" borderId="62" xfId="0" applyNumberFormat="1" applyFont="1" applyFill="1" applyBorder="1" applyAlignment="1">
      <alignment horizontal="center" vertical="center" wrapText="1"/>
    </xf>
    <xf numFmtId="3" fontId="10" fillId="36" borderId="128" xfId="0" applyNumberFormat="1" applyFont="1" applyFill="1" applyBorder="1" applyAlignment="1">
      <alignment horizontal="center" vertical="center" wrapText="1"/>
    </xf>
    <xf numFmtId="0" fontId="69" fillId="61" borderId="9" xfId="0" applyFont="1" applyFill="1" applyBorder="1" applyAlignment="1">
      <alignment horizontal="center" vertical="center" wrapText="1"/>
    </xf>
    <xf numFmtId="0" fontId="69" fillId="61" borderId="16" xfId="0" applyFont="1" applyFill="1" applyBorder="1" applyAlignment="1">
      <alignment horizontal="center" vertical="center" wrapText="1"/>
    </xf>
    <xf numFmtId="0" fontId="28" fillId="4" borderId="0" xfId="0" applyFont="1" applyFill="1" applyBorder="1" applyAlignment="1">
      <alignment horizontal="center" vertical="center"/>
    </xf>
    <xf numFmtId="3" fontId="88" fillId="4" borderId="0" xfId="0" applyNumberFormat="1" applyFont="1" applyFill="1" applyBorder="1" applyAlignment="1">
      <alignment horizontal="center" vertical="center"/>
    </xf>
    <xf numFmtId="0" fontId="91" fillId="61" borderId="67" xfId="0" applyFont="1" applyFill="1" applyBorder="1" applyAlignment="1">
      <alignment horizontal="center" vertical="center" wrapText="1"/>
    </xf>
    <xf numFmtId="0" fontId="91" fillId="61" borderId="16" xfId="0" applyFont="1" applyFill="1" applyBorder="1" applyAlignment="1">
      <alignment horizontal="center" vertical="center" wrapText="1"/>
    </xf>
    <xf numFmtId="0" fontId="91" fillId="61" borderId="10" xfId="0" applyFont="1" applyFill="1" applyBorder="1" applyAlignment="1">
      <alignment horizontal="center" vertical="center" wrapText="1"/>
    </xf>
    <xf numFmtId="3" fontId="88" fillId="39" borderId="120" xfId="0" applyNumberFormat="1" applyFont="1" applyFill="1" applyBorder="1" applyAlignment="1">
      <alignment horizontal="center" vertical="center"/>
    </xf>
    <xf numFmtId="0" fontId="28" fillId="4" borderId="0" xfId="10" applyFont="1" applyFill="1" applyBorder="1" applyAlignment="1">
      <alignment horizontal="center" vertical="center"/>
    </xf>
    <xf numFmtId="166" fontId="28" fillId="4" borderId="0" xfId="10" applyNumberFormat="1" applyFont="1" applyFill="1" applyBorder="1" applyAlignment="1">
      <alignment horizontal="center" vertical="center"/>
    </xf>
    <xf numFmtId="0" fontId="28" fillId="0" borderId="71" xfId="110" applyFont="1" applyBorder="1" applyAlignment="1">
      <alignment horizontal="center" vertical="center"/>
    </xf>
    <xf numFmtId="0" fontId="28" fillId="0" borderId="72" xfId="110" applyFont="1" applyBorder="1" applyAlignment="1">
      <alignment horizontal="center" vertical="center"/>
    </xf>
    <xf numFmtId="0" fontId="28" fillId="0" borderId="85" xfId="110" applyFont="1" applyBorder="1" applyAlignment="1">
      <alignment horizontal="center" vertical="center"/>
    </xf>
    <xf numFmtId="0" fontId="28" fillId="0" borderId="86" xfId="110" applyFont="1" applyBorder="1" applyAlignment="1">
      <alignment horizontal="center" vertical="center"/>
    </xf>
    <xf numFmtId="176" fontId="28" fillId="0" borderId="0" xfId="110" applyNumberFormat="1" applyFont="1" applyFill="1" applyBorder="1" applyAlignment="1">
      <alignment horizontal="center" vertical="center"/>
    </xf>
    <xf numFmtId="0" fontId="18" fillId="4" borderId="0" xfId="2" applyFont="1" applyFill="1" applyBorder="1" applyAlignment="1" applyProtection="1">
      <alignment horizontal="center" vertical="center"/>
    </xf>
    <xf numFmtId="0" fontId="28" fillId="4" borderId="0" xfId="110" applyFont="1" applyFill="1" applyBorder="1" applyAlignment="1">
      <alignment horizontal="center" vertical="center"/>
    </xf>
    <xf numFmtId="176" fontId="28" fillId="4" borderId="51" xfId="110" applyNumberFormat="1" applyFont="1" applyFill="1" applyBorder="1" applyAlignment="1">
      <alignment horizontal="center" vertical="center"/>
    </xf>
    <xf numFmtId="2" fontId="28" fillId="4" borderId="0" xfId="110" applyNumberFormat="1" applyFont="1" applyFill="1" applyBorder="1" applyAlignment="1">
      <alignment horizontal="center" vertical="center"/>
    </xf>
    <xf numFmtId="0" fontId="69" fillId="61" borderId="9" xfId="0" applyNumberFormat="1" applyFont="1" applyFill="1" applyBorder="1" applyAlignment="1">
      <alignment horizontal="center" vertical="center" wrapText="1"/>
    </xf>
    <xf numFmtId="0" fontId="69" fillId="61" borderId="67" xfId="0" applyNumberFormat="1" applyFont="1" applyFill="1" applyBorder="1" applyAlignment="1">
      <alignment horizontal="center" vertical="center" wrapText="1"/>
    </xf>
    <xf numFmtId="0" fontId="69" fillId="61" borderId="67" xfId="110" applyFont="1" applyFill="1" applyBorder="1" applyAlignment="1">
      <alignment horizontal="center" vertical="center"/>
    </xf>
    <xf numFmtId="176" fontId="69" fillId="61" borderId="67" xfId="110" applyNumberFormat="1" applyFont="1" applyFill="1" applyBorder="1" applyAlignment="1">
      <alignment horizontal="center" vertical="center"/>
    </xf>
    <xf numFmtId="0" fontId="69" fillId="61" borderId="82" xfId="110" applyFont="1" applyFill="1" applyBorder="1" applyAlignment="1">
      <alignment horizontal="center" vertical="center"/>
    </xf>
    <xf numFmtId="0" fontId="0" fillId="65" borderId="91" xfId="0" applyFill="1" applyBorder="1"/>
    <xf numFmtId="176" fontId="28" fillId="39" borderId="122" xfId="110" applyNumberFormat="1" applyFont="1" applyFill="1" applyBorder="1" applyAlignment="1">
      <alignment horizontal="center" vertical="center"/>
    </xf>
    <xf numFmtId="2" fontId="28" fillId="39" borderId="122" xfId="110" applyNumberFormat="1" applyFont="1" applyFill="1" applyBorder="1" applyAlignment="1">
      <alignment horizontal="center" vertical="center"/>
    </xf>
    <xf numFmtId="176" fontId="28" fillId="39" borderId="121" xfId="110" applyNumberFormat="1" applyFont="1" applyFill="1" applyBorder="1" applyAlignment="1">
      <alignment horizontal="center" vertical="center"/>
    </xf>
    <xf numFmtId="2" fontId="28" fillId="39" borderId="121" xfId="110" applyNumberFormat="1" applyFont="1" applyFill="1" applyBorder="1" applyAlignment="1">
      <alignment horizontal="center" vertical="center"/>
    </xf>
    <xf numFmtId="0" fontId="28" fillId="39" borderId="123" xfId="110" applyFont="1" applyFill="1" applyBorder="1" applyAlignment="1">
      <alignment horizontal="center" vertical="center"/>
    </xf>
    <xf numFmtId="0" fontId="10" fillId="39" borderId="83" xfId="0" applyNumberFormat="1" applyFont="1" applyFill="1" applyBorder="1" applyAlignment="1">
      <alignment horizontal="center" vertical="center" wrapText="1"/>
    </xf>
    <xf numFmtId="2" fontId="28" fillId="39" borderId="123" xfId="110" applyNumberFormat="1" applyFont="1" applyFill="1" applyBorder="1" applyAlignment="1">
      <alignment horizontal="center" vertical="center"/>
    </xf>
    <xf numFmtId="176" fontId="28" fillId="39" borderId="123" xfId="110" applyNumberFormat="1" applyFont="1" applyFill="1" applyBorder="1" applyAlignment="1">
      <alignment horizontal="center" vertical="center"/>
    </xf>
    <xf numFmtId="176" fontId="28" fillId="39" borderId="143" xfId="110" applyNumberFormat="1" applyFont="1" applyFill="1" applyBorder="1" applyAlignment="1">
      <alignment horizontal="center" vertical="center"/>
    </xf>
    <xf numFmtId="0" fontId="69" fillId="61" borderId="8" xfId="0" applyFont="1" applyFill="1" applyBorder="1" applyAlignment="1">
      <alignment horizontal="center" vertical="center"/>
    </xf>
    <xf numFmtId="0" fontId="0" fillId="65" borderId="72" xfId="0" applyFill="1" applyBorder="1"/>
    <xf numFmtId="0" fontId="0" fillId="65" borderId="49" xfId="0" applyFill="1" applyBorder="1"/>
    <xf numFmtId="9" fontId="28" fillId="40" borderId="22" xfId="3" applyFont="1" applyFill="1" applyBorder="1" applyAlignment="1">
      <alignment horizontal="center" vertical="center"/>
    </xf>
    <xf numFmtId="3" fontId="28" fillId="40" borderId="38" xfId="3" applyNumberFormat="1" applyFont="1" applyFill="1" applyBorder="1" applyAlignment="1">
      <alignment horizontal="center" vertical="center"/>
    </xf>
    <xf numFmtId="9" fontId="28" fillId="40" borderId="78" xfId="3" applyFont="1" applyFill="1" applyBorder="1" applyAlignment="1">
      <alignment horizontal="center" vertical="center"/>
    </xf>
    <xf numFmtId="9" fontId="28" fillId="40" borderId="60" xfId="3" applyFont="1" applyFill="1" applyBorder="1" applyAlignment="1">
      <alignment horizontal="center" vertical="center"/>
    </xf>
    <xf numFmtId="3" fontId="28" fillId="40" borderId="89" xfId="3" applyNumberFormat="1" applyFont="1" applyFill="1" applyBorder="1" applyAlignment="1">
      <alignment horizontal="center" vertical="center"/>
    </xf>
    <xf numFmtId="3" fontId="28" fillId="40" borderId="61" xfId="3" applyNumberFormat="1" applyFont="1" applyFill="1" applyBorder="1" applyAlignment="1">
      <alignment horizontal="center" vertical="center"/>
    </xf>
    <xf numFmtId="0" fontId="69" fillId="61" borderId="136" xfId="0" applyFont="1" applyFill="1" applyBorder="1" applyAlignment="1">
      <alignment horizontal="center" vertical="center" wrapText="1"/>
    </xf>
    <xf numFmtId="3" fontId="28" fillId="38" borderId="59" xfId="3" applyNumberFormat="1" applyFont="1" applyFill="1" applyBorder="1" applyAlignment="1">
      <alignment horizontal="center" vertical="center"/>
    </xf>
    <xf numFmtId="3" fontId="28" fillId="38" borderId="61" xfId="3" applyNumberFormat="1" applyFont="1" applyFill="1" applyBorder="1" applyAlignment="1">
      <alignment horizontal="center" vertical="center"/>
    </xf>
    <xf numFmtId="0" fontId="10" fillId="4" borderId="23" xfId="0" applyFont="1" applyFill="1" applyBorder="1" applyAlignment="1">
      <alignment horizontal="center" vertical="center"/>
    </xf>
    <xf numFmtId="3" fontId="28" fillId="0" borderId="22" xfId="0" applyNumberFormat="1" applyFont="1" applyFill="1" applyBorder="1" applyAlignment="1">
      <alignment horizontal="center" vertical="center" wrapText="1"/>
    </xf>
    <xf numFmtId="180" fontId="10" fillId="0" borderId="112" xfId="0" applyNumberFormat="1" applyFont="1" applyFill="1" applyBorder="1" applyAlignment="1">
      <alignment horizontal="center" vertical="center"/>
    </xf>
    <xf numFmtId="175" fontId="10" fillId="0" borderId="115" xfId="0" applyNumberFormat="1" applyFont="1" applyFill="1" applyBorder="1" applyAlignment="1">
      <alignment horizontal="center" vertical="center"/>
    </xf>
    <xf numFmtId="4" fontId="45" fillId="0" borderId="36" xfId="0" applyNumberFormat="1" applyFont="1" applyFill="1" applyBorder="1" applyAlignment="1">
      <alignment horizontal="center" vertical="center" wrapText="1"/>
    </xf>
    <xf numFmtId="3" fontId="69" fillId="61" borderId="39" xfId="0" applyNumberFormat="1" applyFont="1" applyFill="1" applyBorder="1" applyAlignment="1">
      <alignment horizontal="center" vertical="center" wrapText="1"/>
    </xf>
    <xf numFmtId="4" fontId="28" fillId="0" borderId="114" xfId="0" applyNumberFormat="1" applyFont="1" applyFill="1" applyBorder="1" applyAlignment="1">
      <alignment horizontal="center" vertical="center"/>
    </xf>
    <xf numFmtId="4" fontId="0" fillId="4" borderId="50" xfId="0" applyNumberFormat="1" applyFill="1" applyBorder="1" applyAlignment="1">
      <alignment horizontal="center"/>
    </xf>
    <xf numFmtId="0" fontId="19" fillId="4" borderId="0" xfId="0" applyFont="1" applyFill="1" applyBorder="1" applyAlignment="1">
      <alignment horizontal="left" vertical="top" wrapText="1"/>
    </xf>
    <xf numFmtId="0" fontId="0" fillId="4" borderId="0" xfId="0" applyFill="1" applyBorder="1" applyAlignment="1">
      <alignment horizontal="left" vertical="top" wrapText="1"/>
    </xf>
    <xf numFmtId="0" fontId="10" fillId="4" borderId="92" xfId="0" applyFont="1" applyFill="1" applyBorder="1" applyAlignment="1">
      <alignment horizontal="left" vertical="top" wrapText="1" indent="1"/>
    </xf>
    <xf numFmtId="0" fontId="10" fillId="4" borderId="154" xfId="0" applyFont="1" applyFill="1" applyBorder="1" applyAlignment="1">
      <alignment horizontal="left" vertical="top" wrapText="1" indent="1"/>
    </xf>
    <xf numFmtId="3" fontId="10" fillId="42" borderId="72" xfId="0" applyNumberFormat="1" applyFont="1" applyFill="1" applyBorder="1" applyAlignment="1">
      <alignment horizontal="center" vertical="top" wrapText="1"/>
    </xf>
    <xf numFmtId="3" fontId="10" fillId="42" borderId="86" xfId="0" applyNumberFormat="1" applyFont="1" applyFill="1" applyBorder="1" applyAlignment="1">
      <alignment horizontal="center" vertical="top" wrapText="1"/>
    </xf>
    <xf numFmtId="4" fontId="10" fillId="4" borderId="86" xfId="0" applyNumberFormat="1" applyFont="1" applyFill="1" applyBorder="1" applyAlignment="1">
      <alignment horizontal="center" vertical="top" wrapText="1"/>
    </xf>
    <xf numFmtId="3" fontId="10" fillId="4" borderId="86" xfId="0" applyNumberFormat="1" applyFont="1" applyFill="1" applyBorder="1" applyAlignment="1">
      <alignment horizontal="center" vertical="top" wrapText="1"/>
    </xf>
    <xf numFmtId="4" fontId="10" fillId="4" borderId="86" xfId="0" applyNumberFormat="1" applyFont="1" applyFill="1" applyBorder="1" applyAlignment="1">
      <alignment horizontal="center"/>
    </xf>
    <xf numFmtId="4" fontId="10" fillId="4" borderId="143" xfId="0" applyNumberFormat="1" applyFont="1" applyFill="1" applyBorder="1" applyAlignment="1">
      <alignment horizontal="center"/>
    </xf>
    <xf numFmtId="4" fontId="28" fillId="0" borderId="110" xfId="0" applyNumberFormat="1" applyFont="1" applyFill="1" applyBorder="1" applyAlignment="1">
      <alignment horizontal="center" vertical="center"/>
    </xf>
    <xf numFmtId="4" fontId="69" fillId="74" borderId="20" xfId="0" applyNumberFormat="1" applyFont="1" applyFill="1" applyBorder="1" applyAlignment="1">
      <alignment horizontal="center" vertical="center" wrapText="1"/>
    </xf>
    <xf numFmtId="3" fontId="69" fillId="74" borderId="24" xfId="0" applyNumberFormat="1" applyFont="1" applyFill="1" applyBorder="1" applyAlignment="1">
      <alignment horizontal="center" vertical="center" wrapText="1"/>
    </xf>
    <xf numFmtId="3" fontId="69" fillId="74" borderId="37" xfId="0" applyNumberFormat="1" applyFont="1" applyFill="1" applyBorder="1" applyAlignment="1">
      <alignment horizontal="center" vertical="center" wrapText="1"/>
    </xf>
    <xf numFmtId="0" fontId="19" fillId="0" borderId="0" xfId="0" applyNumberFormat="1" applyFont="1" applyFill="1" applyBorder="1" applyAlignment="1">
      <alignment horizontal="left" vertical="top" wrapText="1"/>
    </xf>
    <xf numFmtId="0" fontId="0" fillId="0" borderId="0" xfId="0" applyFill="1" applyBorder="1" applyAlignment="1">
      <alignment horizontal="left" vertical="top" wrapText="1"/>
    </xf>
    <xf numFmtId="0" fontId="69" fillId="74" borderId="23" xfId="0" applyFont="1" applyFill="1" applyBorder="1" applyAlignment="1">
      <alignment horizontal="center" vertical="center" wrapText="1"/>
    </xf>
    <xf numFmtId="0" fontId="69" fillId="74" borderId="24" xfId="0" applyFont="1" applyFill="1" applyBorder="1" applyAlignment="1">
      <alignment horizontal="center" vertical="center" wrapText="1"/>
    </xf>
    <xf numFmtId="4" fontId="69" fillId="74" borderId="16" xfId="0" applyNumberFormat="1" applyFont="1" applyFill="1" applyBorder="1" applyAlignment="1">
      <alignment horizontal="center" vertical="center" wrapText="1"/>
    </xf>
    <xf numFmtId="180" fontId="10" fillId="0" borderId="90" xfId="0" applyNumberFormat="1" applyFont="1" applyFill="1" applyBorder="1" applyAlignment="1">
      <alignment horizontal="center" vertical="center"/>
    </xf>
    <xf numFmtId="180" fontId="10" fillId="0" borderId="84" xfId="0" applyNumberFormat="1" applyFont="1" applyFill="1" applyBorder="1" applyAlignment="1">
      <alignment horizontal="center" vertical="center"/>
    </xf>
    <xf numFmtId="180" fontId="10" fillId="0" borderId="108" xfId="0" applyNumberFormat="1" applyFont="1" applyFill="1" applyBorder="1" applyAlignment="1">
      <alignment horizontal="center" vertical="center"/>
    </xf>
    <xf numFmtId="4" fontId="28" fillId="0" borderId="153" xfId="0" applyNumberFormat="1" applyFont="1" applyFill="1" applyBorder="1" applyAlignment="1">
      <alignment horizontal="center" vertical="center"/>
    </xf>
    <xf numFmtId="4" fontId="28" fillId="0" borderId="155" xfId="0" applyNumberFormat="1" applyFont="1" applyFill="1" applyBorder="1" applyAlignment="1">
      <alignment horizontal="center" vertical="center"/>
    </xf>
    <xf numFmtId="170" fontId="10" fillId="4" borderId="116" xfId="0" applyNumberFormat="1" applyFont="1" applyFill="1" applyBorder="1" applyAlignment="1">
      <alignment horizontal="center" vertical="center"/>
    </xf>
    <xf numFmtId="0" fontId="69" fillId="61" borderId="59" xfId="0" applyFont="1" applyFill="1" applyBorder="1" applyAlignment="1">
      <alignment horizontal="center" vertical="center" wrapText="1"/>
    </xf>
    <xf numFmtId="3" fontId="28" fillId="38" borderId="7" xfId="3" applyNumberFormat="1" applyFont="1" applyFill="1" applyBorder="1" applyAlignment="1">
      <alignment horizontal="center" vertical="center"/>
    </xf>
    <xf numFmtId="9" fontId="28" fillId="41" borderId="113" xfId="3" applyFont="1" applyFill="1" applyBorder="1" applyAlignment="1">
      <alignment horizontal="center" vertical="center" wrapText="1"/>
    </xf>
    <xf numFmtId="9" fontId="28" fillId="40" borderId="113" xfId="3" applyFont="1" applyFill="1" applyBorder="1" applyAlignment="1">
      <alignment horizontal="center" vertical="center" wrapText="1"/>
    </xf>
    <xf numFmtId="169" fontId="28" fillId="0" borderId="51" xfId="0" applyNumberFormat="1" applyFont="1" applyFill="1" applyBorder="1" applyAlignment="1">
      <alignment horizontal="center" vertical="center"/>
    </xf>
    <xf numFmtId="0" fontId="28" fillId="4" borderId="77" xfId="0" applyFont="1" applyFill="1" applyBorder="1" applyAlignment="1">
      <alignment horizontal="center" vertical="center"/>
    </xf>
    <xf numFmtId="0" fontId="28" fillId="0" borderId="78" xfId="110" applyFont="1" applyBorder="1" applyAlignment="1">
      <alignment horizontal="center" vertical="center" wrapText="1"/>
    </xf>
    <xf numFmtId="169" fontId="28" fillId="0" borderId="60" xfId="0" applyNumberFormat="1" applyFont="1" applyFill="1" applyBorder="1" applyAlignment="1">
      <alignment horizontal="center" vertical="center"/>
    </xf>
    <xf numFmtId="0" fontId="28" fillId="4" borderId="89" xfId="0" applyFont="1" applyFill="1" applyBorder="1" applyAlignment="1">
      <alignment horizontal="center" vertical="center"/>
    </xf>
    <xf numFmtId="3" fontId="10" fillId="4" borderId="117" xfId="1" applyNumberFormat="1" applyFont="1" applyFill="1" applyBorder="1" applyAlignment="1">
      <alignment horizontal="center" vertical="center"/>
    </xf>
    <xf numFmtId="3" fontId="10" fillId="42" borderId="112" xfId="1" applyNumberFormat="1" applyFont="1" applyFill="1" applyBorder="1" applyAlignment="1">
      <alignment horizontal="center" vertical="center"/>
    </xf>
    <xf numFmtId="3" fontId="10" fillId="42" borderId="125" xfId="1" applyNumberFormat="1" applyFont="1" applyFill="1" applyBorder="1" applyAlignment="1">
      <alignment horizontal="center" vertical="center"/>
    </xf>
    <xf numFmtId="0" fontId="51" fillId="61" borderId="157" xfId="0" applyFont="1" applyFill="1" applyBorder="1" applyAlignment="1">
      <alignment horizontal="center" vertical="center"/>
    </xf>
    <xf numFmtId="173" fontId="10" fillId="4" borderId="10" xfId="0" applyNumberFormat="1" applyFont="1" applyFill="1" applyBorder="1" applyAlignment="1">
      <alignment horizontal="center" vertical="center"/>
    </xf>
    <xf numFmtId="173" fontId="10" fillId="4" borderId="114" xfId="0" applyNumberFormat="1" applyFont="1" applyFill="1" applyBorder="1" applyAlignment="1">
      <alignment horizontal="center"/>
    </xf>
    <xf numFmtId="173" fontId="10" fillId="4" borderId="67" xfId="0" applyNumberFormat="1" applyFont="1" applyFill="1" applyBorder="1" applyAlignment="1">
      <alignment horizontal="center"/>
    </xf>
    <xf numFmtId="173" fontId="10" fillId="4" borderId="117" xfId="0" applyNumberFormat="1" applyFont="1" applyFill="1" applyBorder="1" applyAlignment="1">
      <alignment horizontal="center"/>
    </xf>
    <xf numFmtId="173" fontId="10" fillId="4" borderId="111" xfId="0" applyNumberFormat="1" applyFont="1" applyFill="1" applyBorder="1" applyAlignment="1">
      <alignment horizontal="center"/>
    </xf>
    <xf numFmtId="173" fontId="10" fillId="4" borderId="50" xfId="0" applyNumberFormat="1" applyFont="1" applyFill="1" applyBorder="1" applyAlignment="1">
      <alignment horizontal="center"/>
    </xf>
    <xf numFmtId="173" fontId="10" fillId="4" borderId="11" xfId="0" applyNumberFormat="1" applyFont="1" applyFill="1" applyBorder="1" applyAlignment="1">
      <alignment horizontal="center"/>
    </xf>
    <xf numFmtId="3" fontId="10" fillId="42" borderId="120" xfId="1" applyNumberFormat="1" applyFont="1" applyFill="1" applyBorder="1" applyAlignment="1">
      <alignment horizontal="center" vertical="center"/>
    </xf>
    <xf numFmtId="0" fontId="10" fillId="0" borderId="159" xfId="0" applyFont="1" applyBorder="1" applyAlignment="1">
      <alignment horizontal="center" vertical="center"/>
    </xf>
    <xf numFmtId="0" fontId="10" fillId="0" borderId="158" xfId="0" applyFont="1" applyBorder="1" applyAlignment="1">
      <alignment horizontal="center" vertical="center"/>
    </xf>
    <xf numFmtId="3" fontId="13" fillId="4" borderId="36" xfId="0" applyNumberFormat="1" applyFont="1" applyFill="1" applyBorder="1" applyAlignment="1">
      <alignment horizontal="center" vertical="center"/>
    </xf>
    <xf numFmtId="3" fontId="13" fillId="4" borderId="2" xfId="0" applyNumberFormat="1" applyFont="1" applyFill="1" applyBorder="1" applyAlignment="1">
      <alignment horizontal="center" vertical="center"/>
    </xf>
    <xf numFmtId="3" fontId="28" fillId="39" borderId="72" xfId="0" applyNumberFormat="1" applyFont="1" applyFill="1" applyBorder="1" applyAlignment="1">
      <alignment horizontal="center" vertical="center"/>
    </xf>
    <xf numFmtId="3" fontId="28" fillId="39" borderId="122" xfId="0" applyNumberFormat="1" applyFont="1" applyFill="1" applyBorder="1" applyAlignment="1">
      <alignment horizontal="center" vertical="center"/>
    </xf>
    <xf numFmtId="3" fontId="28" fillId="39" borderId="121" xfId="0" applyNumberFormat="1" applyFont="1" applyFill="1" applyBorder="1" applyAlignment="1">
      <alignment horizontal="center" vertical="center"/>
    </xf>
    <xf numFmtId="3" fontId="28" fillId="39" borderId="123" xfId="0" applyNumberFormat="1" applyFont="1" applyFill="1" applyBorder="1" applyAlignment="1">
      <alignment horizontal="center" vertical="center"/>
    </xf>
    <xf numFmtId="3" fontId="28" fillId="39" borderId="53" xfId="0" applyNumberFormat="1" applyFont="1" applyFill="1" applyBorder="1" applyAlignment="1">
      <alignment horizontal="center" vertical="center"/>
    </xf>
    <xf numFmtId="3" fontId="10" fillId="36" borderId="112" xfId="0" applyNumberFormat="1" applyFont="1" applyFill="1" applyBorder="1" applyAlignment="1">
      <alignment horizontal="center" vertical="center"/>
    </xf>
    <xf numFmtId="1" fontId="28" fillId="0" borderId="71" xfId="0" applyNumberFormat="1" applyFont="1" applyFill="1" applyBorder="1" applyAlignment="1">
      <alignment horizontal="center" vertical="center"/>
    </xf>
    <xf numFmtId="1" fontId="28" fillId="0" borderId="76" xfId="0" applyNumberFormat="1" applyFont="1" applyFill="1" applyBorder="1" applyAlignment="1">
      <alignment horizontal="center" vertical="center"/>
    </xf>
    <xf numFmtId="0" fontId="69" fillId="61" borderId="136" xfId="10" applyFont="1" applyFill="1" applyBorder="1" applyAlignment="1">
      <alignment horizontal="center" wrapText="1"/>
    </xf>
    <xf numFmtId="1" fontId="28" fillId="4" borderId="136" xfId="10" applyNumberFormat="1" applyFont="1" applyFill="1" applyBorder="1" applyAlignment="1">
      <alignment horizontal="center"/>
    </xf>
    <xf numFmtId="0" fontId="69" fillId="61" borderId="69" xfId="110" applyFont="1" applyFill="1" applyBorder="1" applyAlignment="1">
      <alignment horizontal="center" vertical="center" wrapText="1"/>
    </xf>
    <xf numFmtId="186" fontId="28" fillId="0" borderId="110" xfId="110" applyNumberFormat="1" applyFont="1" applyFill="1" applyBorder="1" applyAlignment="1">
      <alignment horizontal="center" vertical="center" wrapText="1"/>
    </xf>
    <xf numFmtId="186" fontId="28" fillId="0" borderId="84" xfId="110" applyNumberFormat="1" applyFont="1" applyFill="1" applyBorder="1" applyAlignment="1">
      <alignment horizontal="center" vertical="center" wrapText="1"/>
    </xf>
    <xf numFmtId="186" fontId="28" fillId="0" borderId="79" xfId="110" applyNumberFormat="1" applyFont="1" applyFill="1" applyBorder="1" applyAlignment="1">
      <alignment horizontal="center" vertical="center" wrapText="1"/>
    </xf>
    <xf numFmtId="178" fontId="28" fillId="0" borderId="76" xfId="110" applyNumberFormat="1" applyFont="1" applyFill="1" applyBorder="1" applyAlignment="1">
      <alignment horizontal="center" vertical="center" wrapText="1"/>
    </xf>
    <xf numFmtId="1" fontId="28" fillId="4" borderId="127" xfId="10" applyNumberFormat="1" applyFont="1" applyFill="1" applyBorder="1" applyAlignment="1">
      <alignment horizontal="center"/>
    </xf>
    <xf numFmtId="0" fontId="69" fillId="61" borderId="13" xfId="110" applyFont="1" applyFill="1" applyBorder="1" applyAlignment="1">
      <alignment horizontal="center" vertical="center" wrapText="1"/>
    </xf>
    <xf numFmtId="0" fontId="69" fillId="61" borderId="59" xfId="10" applyFont="1" applyFill="1" applyBorder="1" applyAlignment="1">
      <alignment horizontal="center" wrapText="1"/>
    </xf>
    <xf numFmtId="178" fontId="28" fillId="0" borderId="77" xfId="110" applyNumberFormat="1" applyFont="1" applyFill="1" applyBorder="1" applyAlignment="1">
      <alignment horizontal="center" vertical="center" wrapText="1"/>
    </xf>
    <xf numFmtId="1" fontId="28" fillId="4" borderId="129" xfId="10" applyNumberFormat="1" applyFont="1" applyFill="1" applyBorder="1" applyAlignment="1">
      <alignment horizontal="center"/>
    </xf>
    <xf numFmtId="178" fontId="45" fillId="0" borderId="113" xfId="110" applyNumberFormat="1" applyFont="1" applyFill="1" applyBorder="1" applyAlignment="1">
      <alignment horizontal="center" vertical="center" wrapText="1"/>
    </xf>
    <xf numFmtId="1" fontId="45" fillId="4" borderId="131" xfId="10" applyNumberFormat="1" applyFont="1" applyFill="1" applyBorder="1" applyAlignment="1">
      <alignment horizontal="center"/>
    </xf>
    <xf numFmtId="178" fontId="45" fillId="0" borderId="48" xfId="110" applyNumberFormat="1" applyFont="1" applyFill="1" applyBorder="1" applyAlignment="1">
      <alignment horizontal="center" vertical="center" wrapText="1"/>
    </xf>
    <xf numFmtId="1" fontId="45" fillId="4" borderId="52" xfId="10" applyNumberFormat="1" applyFont="1" applyFill="1" applyBorder="1" applyAlignment="1">
      <alignment horizontal="center"/>
    </xf>
    <xf numFmtId="0" fontId="70" fillId="0" borderId="0" xfId="0" applyFont="1" applyFill="1" applyBorder="1" applyAlignment="1">
      <alignment wrapText="1"/>
    </xf>
    <xf numFmtId="0" fontId="28" fillId="0" borderId="11" xfId="110" applyFont="1" applyBorder="1" applyAlignment="1">
      <alignment horizontal="center" vertical="center" wrapText="1"/>
    </xf>
    <xf numFmtId="166" fontId="28" fillId="0" borderId="66" xfId="110" applyNumberFormat="1" applyFont="1" applyFill="1" applyBorder="1" applyAlignment="1">
      <alignment horizontal="center" vertical="center" wrapText="1"/>
    </xf>
    <xf numFmtId="166" fontId="28" fillId="0" borderId="77" xfId="110" applyNumberFormat="1" applyFont="1" applyFill="1" applyBorder="1" applyAlignment="1">
      <alignment horizontal="center" vertical="center" wrapText="1"/>
    </xf>
    <xf numFmtId="0" fontId="10" fillId="0" borderId="11" xfId="0" applyFont="1" applyBorder="1" applyAlignment="1">
      <alignment horizontal="center" vertical="center" wrapText="1"/>
    </xf>
    <xf numFmtId="3" fontId="28" fillId="72" borderId="90" xfId="0" applyNumberFormat="1" applyFont="1" applyFill="1" applyBorder="1" applyAlignment="1">
      <alignment horizontal="center" vertical="center"/>
    </xf>
    <xf numFmtId="3" fontId="28" fillId="72" borderId="62" xfId="0" applyNumberFormat="1" applyFont="1" applyFill="1" applyBorder="1" applyAlignment="1">
      <alignment horizontal="center" vertical="center"/>
    </xf>
    <xf numFmtId="3" fontId="28" fillId="72" borderId="60" xfId="0" applyNumberFormat="1" applyFont="1" applyFill="1" applyBorder="1" applyAlignment="1">
      <alignment horizontal="center" vertical="center"/>
    </xf>
    <xf numFmtId="3" fontId="28" fillId="72" borderId="78" xfId="0" applyNumberFormat="1" applyFont="1" applyFill="1" applyBorder="1" applyAlignment="1">
      <alignment horizontal="center" vertical="center"/>
    </xf>
    <xf numFmtId="3" fontId="28" fillId="39" borderId="38" xfId="0" applyNumberFormat="1" applyFont="1" applyFill="1" applyBorder="1" applyAlignment="1">
      <alignment horizontal="center" vertical="center"/>
    </xf>
    <xf numFmtId="3" fontId="28" fillId="39" borderId="89" xfId="0" applyNumberFormat="1" applyFont="1" applyFill="1" applyBorder="1" applyAlignment="1">
      <alignment horizontal="center" vertical="center"/>
    </xf>
    <xf numFmtId="3" fontId="28" fillId="36" borderId="90" xfId="0" applyNumberFormat="1" applyFont="1" applyFill="1" applyBorder="1" applyAlignment="1">
      <alignment horizontal="center" vertical="center"/>
    </xf>
    <xf numFmtId="166" fontId="28" fillId="4" borderId="86" xfId="3" applyNumberFormat="1" applyFont="1" applyFill="1" applyBorder="1" applyAlignment="1">
      <alignment horizontal="center" vertical="center"/>
    </xf>
    <xf numFmtId="0" fontId="96" fillId="77" borderId="160" xfId="0" applyFont="1" applyFill="1" applyBorder="1" applyAlignment="1">
      <alignment readingOrder="1"/>
    </xf>
    <xf numFmtId="0" fontId="96" fillId="77" borderId="161" xfId="0" applyFont="1" applyFill="1" applyBorder="1" applyAlignment="1">
      <alignment readingOrder="1"/>
    </xf>
    <xf numFmtId="0" fontId="96" fillId="77" borderId="162" xfId="0" applyFont="1" applyFill="1" applyBorder="1" applyAlignment="1">
      <alignment readingOrder="1"/>
    </xf>
    <xf numFmtId="0" fontId="96" fillId="77" borderId="163" xfId="0" applyFont="1" applyFill="1" applyBorder="1" applyAlignment="1">
      <alignment readingOrder="1"/>
    </xf>
    <xf numFmtId="14" fontId="0" fillId="0" borderId="0" xfId="0" applyNumberFormat="1"/>
    <xf numFmtId="0" fontId="97" fillId="0" borderId="0" xfId="0" applyFont="1"/>
    <xf numFmtId="0" fontId="10" fillId="36" borderId="113" xfId="0" applyFont="1" applyFill="1" applyBorder="1" applyAlignment="1">
      <alignment horizontal="center" vertical="center"/>
    </xf>
    <xf numFmtId="0" fontId="10" fillId="36" borderId="112" xfId="0" applyFont="1" applyFill="1" applyBorder="1" applyAlignment="1">
      <alignment horizontal="center" vertical="center"/>
    </xf>
    <xf numFmtId="0" fontId="10" fillId="36" borderId="11" xfId="0" applyFont="1" applyFill="1" applyBorder="1" applyAlignment="1">
      <alignment horizontal="center" vertical="center"/>
    </xf>
    <xf numFmtId="0" fontId="10" fillId="0" borderId="0" xfId="0" applyFont="1" applyFill="1" applyBorder="1" applyAlignment="1">
      <alignment horizontal="center" vertical="center"/>
    </xf>
    <xf numFmtId="3" fontId="28" fillId="40" borderId="114" xfId="3" applyNumberFormat="1" applyFont="1" applyFill="1" applyBorder="1" applyAlignment="1">
      <alignment horizontal="center" vertical="center"/>
    </xf>
    <xf numFmtId="3" fontId="28" fillId="41" borderId="114" xfId="3" applyNumberFormat="1" applyFont="1" applyFill="1" applyBorder="1" applyAlignment="1">
      <alignment horizontal="center" vertical="center"/>
    </xf>
    <xf numFmtId="3" fontId="28" fillId="75" borderId="112" xfId="3" applyNumberFormat="1" applyFont="1" applyFill="1" applyBorder="1" applyAlignment="1">
      <alignment horizontal="center" vertical="center"/>
    </xf>
    <xf numFmtId="3" fontId="28" fillId="75" borderId="114" xfId="3" applyNumberFormat="1" applyFont="1" applyFill="1" applyBorder="1" applyAlignment="1">
      <alignment horizontal="center" vertical="center"/>
    </xf>
    <xf numFmtId="166" fontId="10" fillId="39" borderId="114" xfId="19" applyNumberFormat="1" applyFont="1" applyFill="1" applyBorder="1" applyAlignment="1">
      <alignment horizontal="center" vertical="center" wrapText="1"/>
    </xf>
    <xf numFmtId="3" fontId="10" fillId="39" borderId="118" xfId="19" applyNumberFormat="1" applyFont="1" applyFill="1" applyBorder="1" applyAlignment="1">
      <alignment horizontal="center" vertical="center" wrapText="1"/>
    </xf>
    <xf numFmtId="0" fontId="10" fillId="0" borderId="72" xfId="0" applyFont="1" applyFill="1" applyBorder="1" applyAlignment="1">
      <alignment horizontal="center" vertical="center"/>
    </xf>
    <xf numFmtId="0" fontId="10" fillId="0" borderId="60" xfId="0" applyFont="1" applyFill="1" applyBorder="1" applyAlignment="1">
      <alignment horizontal="center" vertical="center"/>
    </xf>
    <xf numFmtId="2" fontId="10" fillId="0" borderId="60" xfId="0" applyNumberFormat="1" applyFont="1" applyFill="1" applyBorder="1" applyAlignment="1">
      <alignment horizontal="center" vertical="center"/>
    </xf>
    <xf numFmtId="169" fontId="10" fillId="0" borderId="60" xfId="0" applyNumberFormat="1" applyFont="1" applyFill="1" applyBorder="1" applyAlignment="1">
      <alignment horizontal="center" vertical="center"/>
    </xf>
    <xf numFmtId="167" fontId="10" fillId="0" borderId="60" xfId="0" applyNumberFormat="1" applyFont="1" applyFill="1" applyBorder="1" applyAlignment="1">
      <alignment horizontal="center" vertical="center"/>
    </xf>
    <xf numFmtId="179" fontId="10" fillId="0" borderId="22" xfId="0" applyNumberFormat="1" applyFont="1" applyFill="1" applyBorder="1" applyAlignment="1">
      <alignment horizontal="center" vertical="center"/>
    </xf>
    <xf numFmtId="0" fontId="10" fillId="4" borderId="113" xfId="0" applyFont="1" applyFill="1" applyBorder="1" applyAlignment="1">
      <alignment horizontal="center" vertical="center" wrapText="1"/>
    </xf>
    <xf numFmtId="169" fontId="10" fillId="0" borderId="112" xfId="0" applyNumberFormat="1" applyFont="1" applyFill="1" applyBorder="1" applyAlignment="1">
      <alignment horizontal="center" vertical="center"/>
    </xf>
    <xf numFmtId="0" fontId="10" fillId="4" borderId="114" xfId="0" applyFont="1" applyFill="1" applyBorder="1" applyAlignment="1">
      <alignment horizontal="center" vertical="center" wrapText="1"/>
    </xf>
    <xf numFmtId="0" fontId="10" fillId="0" borderId="0" xfId="0" applyFont="1" applyFill="1"/>
    <xf numFmtId="3" fontId="10" fillId="0" borderId="0" xfId="0" applyNumberFormat="1" applyFont="1" applyFill="1"/>
    <xf numFmtId="3" fontId="10" fillId="4" borderId="0" xfId="0" applyNumberFormat="1" applyFont="1" applyFill="1"/>
    <xf numFmtId="1" fontId="10" fillId="0" borderId="113" xfId="0" applyNumberFormat="1" applyFont="1" applyFill="1" applyBorder="1" applyAlignment="1">
      <alignment horizontal="center" vertical="center"/>
    </xf>
    <xf numFmtId="0" fontId="10" fillId="4" borderId="114" xfId="0" applyFont="1" applyFill="1" applyBorder="1" applyAlignment="1">
      <alignment horizontal="center" vertical="center"/>
    </xf>
    <xf numFmtId="1" fontId="10" fillId="0" borderId="66" xfId="0" applyNumberFormat="1" applyFont="1" applyFill="1" applyBorder="1" applyAlignment="1">
      <alignment horizontal="center" vertical="center"/>
    </xf>
    <xf numFmtId="49" fontId="10" fillId="0" borderId="118" xfId="0" applyNumberFormat="1" applyFont="1" applyFill="1" applyBorder="1" applyAlignment="1">
      <alignment horizontal="center" vertical="center"/>
    </xf>
    <xf numFmtId="0" fontId="10" fillId="4" borderId="53" xfId="0" applyFont="1" applyFill="1" applyBorder="1" applyAlignment="1">
      <alignment horizontal="center" vertical="center"/>
    </xf>
    <xf numFmtId="3" fontId="0" fillId="0" borderId="116" xfId="0" applyNumberFormat="1" applyFill="1" applyBorder="1" applyAlignment="1">
      <alignment horizontal="center" vertical="center"/>
    </xf>
    <xf numFmtId="170" fontId="13" fillId="0" borderId="116" xfId="0" applyNumberFormat="1" applyFont="1" applyFill="1" applyBorder="1" applyAlignment="1">
      <alignment horizontal="center" vertical="center"/>
    </xf>
    <xf numFmtId="184" fontId="10" fillId="4" borderId="0" xfId="0" applyNumberFormat="1" applyFont="1" applyFill="1"/>
    <xf numFmtId="3" fontId="13" fillId="0" borderId="116" xfId="0" applyNumberFormat="1" applyFont="1" applyBorder="1" applyAlignment="1">
      <alignment horizontal="center" vertical="center"/>
    </xf>
    <xf numFmtId="2" fontId="0" fillId="0" borderId="112" xfId="0" applyNumberFormat="1" applyFill="1" applyBorder="1" applyAlignment="1">
      <alignment horizontal="center" vertical="center"/>
    </xf>
    <xf numFmtId="3" fontId="10" fillId="4" borderId="112" xfId="0" applyNumberFormat="1" applyFont="1" applyFill="1" applyBorder="1" applyAlignment="1">
      <alignment horizontal="center" vertical="center"/>
    </xf>
    <xf numFmtId="3" fontId="10" fillId="59" borderId="112" xfId="0" applyNumberFormat="1" applyFont="1" applyFill="1" applyBorder="1" applyAlignment="1">
      <alignment horizontal="center" vertical="center"/>
    </xf>
    <xf numFmtId="4" fontId="10" fillId="0" borderId="115" xfId="0" applyNumberFormat="1" applyFont="1" applyFill="1" applyBorder="1" applyAlignment="1">
      <alignment horizontal="center" vertical="center"/>
    </xf>
    <xf numFmtId="3" fontId="10" fillId="0" borderId="115" xfId="0" applyNumberFormat="1" applyFont="1" applyFill="1" applyBorder="1" applyAlignment="1">
      <alignment horizontal="center" vertical="center"/>
    </xf>
    <xf numFmtId="4" fontId="10" fillId="0" borderId="114" xfId="0" applyNumberFormat="1" applyFont="1" applyFill="1" applyBorder="1" applyAlignment="1">
      <alignment horizontal="center" vertical="center"/>
    </xf>
    <xf numFmtId="3" fontId="10" fillId="0" borderId="120" xfId="0" applyNumberFormat="1" applyFont="1" applyFill="1" applyBorder="1" applyAlignment="1">
      <alignment horizontal="center" vertical="center"/>
    </xf>
    <xf numFmtId="4" fontId="10" fillId="0" borderId="116" xfId="0" applyNumberFormat="1" applyFont="1" applyFill="1" applyBorder="1" applyAlignment="1">
      <alignment horizontal="center" vertical="center"/>
    </xf>
    <xf numFmtId="3" fontId="10" fillId="0" borderId="116" xfId="0" applyNumberFormat="1" applyFont="1" applyFill="1" applyBorder="1" applyAlignment="1">
      <alignment horizontal="center" vertical="center"/>
    </xf>
    <xf numFmtId="4" fontId="28" fillId="0" borderId="116" xfId="0" applyNumberFormat="1" applyFont="1" applyFill="1" applyBorder="1" applyAlignment="1">
      <alignment horizontal="center" vertical="center"/>
    </xf>
    <xf numFmtId="3" fontId="28" fillId="0" borderId="116" xfId="0" applyNumberFormat="1" applyFont="1" applyFill="1" applyBorder="1" applyAlignment="1">
      <alignment horizontal="center" vertical="center"/>
    </xf>
    <xf numFmtId="0" fontId="10" fillId="0" borderId="0" xfId="0" applyFont="1" applyAlignment="1"/>
    <xf numFmtId="9" fontId="10" fillId="4" borderId="0" xfId="0" applyNumberFormat="1" applyFont="1" applyFill="1" applyAlignment="1">
      <alignment vertical="top" wrapText="1"/>
    </xf>
    <xf numFmtId="0" fontId="13" fillId="4" borderId="118" xfId="0" applyFont="1" applyFill="1" applyBorder="1" applyAlignment="1">
      <alignment horizontal="center" vertical="center" wrapText="1"/>
    </xf>
    <xf numFmtId="3" fontId="10" fillId="4" borderId="0" xfId="0" applyNumberFormat="1" applyFont="1" applyFill="1" applyAlignment="1"/>
    <xf numFmtId="166" fontId="10" fillId="4" borderId="0" xfId="0" applyNumberFormat="1" applyFont="1" applyFill="1" applyAlignment="1"/>
    <xf numFmtId="43" fontId="10" fillId="4" borderId="0" xfId="0" applyNumberFormat="1" applyFont="1" applyFill="1" applyAlignment="1"/>
    <xf numFmtId="0" fontId="10" fillId="4" borderId="0" xfId="0" applyFont="1" applyFill="1" applyBorder="1" applyAlignment="1">
      <alignment horizontal="right"/>
    </xf>
    <xf numFmtId="0" fontId="10" fillId="0" borderId="114" xfId="0" applyFont="1" applyFill="1" applyBorder="1" applyAlignment="1">
      <alignment horizontal="center" vertical="center" wrapText="1"/>
    </xf>
    <xf numFmtId="2" fontId="10" fillId="0" borderId="116" xfId="0" applyNumberFormat="1" applyFont="1" applyFill="1" applyBorder="1" applyAlignment="1">
      <alignment horizontal="center" vertical="center"/>
    </xf>
    <xf numFmtId="3" fontId="10" fillId="4" borderId="114" xfId="0" applyNumberFormat="1" applyFont="1" applyFill="1" applyBorder="1" applyAlignment="1">
      <alignment horizontal="center" vertical="center"/>
    </xf>
    <xf numFmtId="170" fontId="10" fillId="4" borderId="0" xfId="0" applyNumberFormat="1" applyFont="1" applyFill="1" applyAlignment="1"/>
    <xf numFmtId="165" fontId="69" fillId="61" borderId="117" xfId="0" applyNumberFormat="1" applyFont="1" applyFill="1" applyBorder="1" applyAlignment="1">
      <alignment horizontal="center" vertical="center" wrapText="1"/>
    </xf>
    <xf numFmtId="165" fontId="69" fillId="61" borderId="112" xfId="0" applyNumberFormat="1" applyFont="1" applyFill="1" applyBorder="1" applyAlignment="1">
      <alignment horizontal="center" vertical="center" wrapText="1"/>
    </xf>
    <xf numFmtId="0" fontId="45" fillId="4" borderId="117" xfId="0" applyFont="1" applyFill="1" applyBorder="1" applyAlignment="1">
      <alignment horizontal="center" vertical="center"/>
    </xf>
    <xf numFmtId="174" fontId="45" fillId="0" borderId="112" xfId="0" applyNumberFormat="1" applyFont="1" applyFill="1" applyBorder="1" applyAlignment="1">
      <alignment horizontal="center" vertical="center" wrapText="1"/>
    </xf>
    <xf numFmtId="165" fontId="45" fillId="59" borderId="112" xfId="0" applyNumberFormat="1" applyFont="1" applyFill="1" applyBorder="1" applyAlignment="1">
      <alignment horizontal="center" vertical="center" wrapText="1"/>
    </xf>
    <xf numFmtId="9" fontId="10" fillId="4" borderId="0" xfId="0" applyNumberFormat="1" applyFont="1" applyFill="1" applyAlignment="1"/>
    <xf numFmtId="0" fontId="45" fillId="4" borderId="112" xfId="0" applyFont="1" applyFill="1" applyBorder="1" applyAlignment="1">
      <alignment horizontal="center" vertical="center"/>
    </xf>
    <xf numFmtId="0" fontId="10" fillId="59" borderId="112" xfId="0" applyFont="1" applyFill="1" applyBorder="1" applyAlignment="1">
      <alignment horizontal="center" vertical="center"/>
    </xf>
    <xf numFmtId="3" fontId="10" fillId="0" borderId="112" xfId="3" applyNumberFormat="1" applyFont="1" applyFill="1" applyBorder="1" applyAlignment="1">
      <alignment horizontal="center"/>
    </xf>
    <xf numFmtId="170" fontId="10" fillId="0" borderId="112" xfId="3" applyNumberFormat="1" applyFont="1" applyFill="1" applyBorder="1" applyAlignment="1">
      <alignment horizontal="center"/>
    </xf>
    <xf numFmtId="180" fontId="10" fillId="0" borderId="114" xfId="0" applyNumberFormat="1" applyFont="1" applyFill="1" applyBorder="1" applyAlignment="1">
      <alignment horizontal="center" vertical="center"/>
    </xf>
    <xf numFmtId="180" fontId="13" fillId="0" borderId="114" xfId="0" applyNumberFormat="1" applyFont="1" applyFill="1" applyBorder="1" applyAlignment="1">
      <alignment horizontal="center" vertical="center"/>
    </xf>
    <xf numFmtId="165" fontId="45" fillId="59" borderId="114" xfId="0" applyNumberFormat="1" applyFont="1" applyFill="1" applyBorder="1" applyAlignment="1">
      <alignment horizontal="center" vertical="center" wrapText="1"/>
    </xf>
    <xf numFmtId="0" fontId="10" fillId="4" borderId="117" xfId="0" applyFont="1" applyFill="1" applyBorder="1" applyAlignment="1">
      <alignment horizontal="center" vertical="center"/>
    </xf>
    <xf numFmtId="0" fontId="10" fillId="4" borderId="0" xfId="0" applyFont="1" applyFill="1" applyBorder="1" applyAlignment="1">
      <alignment horizontal="center" vertical="center" wrapText="1"/>
    </xf>
    <xf numFmtId="4" fontId="10" fillId="4" borderId="114" xfId="0" applyNumberFormat="1" applyFont="1" applyFill="1" applyBorder="1" applyAlignment="1">
      <alignment horizontal="center" vertical="center"/>
    </xf>
    <xf numFmtId="3" fontId="10" fillId="42" borderId="114" xfId="0" applyNumberFormat="1" applyFont="1" applyFill="1" applyBorder="1" applyAlignment="1">
      <alignment horizontal="center" vertical="center"/>
    </xf>
    <xf numFmtId="9" fontId="10" fillId="42" borderId="114" xfId="0" applyNumberFormat="1" applyFont="1" applyFill="1" applyBorder="1" applyAlignment="1">
      <alignment horizontal="center" vertical="center"/>
    </xf>
    <xf numFmtId="3" fontId="10" fillId="0" borderId="53" xfId="0" applyNumberFormat="1" applyFont="1" applyFill="1" applyBorder="1" applyAlignment="1">
      <alignment horizontal="center" vertical="center"/>
    </xf>
    <xf numFmtId="0" fontId="51" fillId="61" borderId="113" xfId="0" applyFont="1" applyFill="1" applyBorder="1" applyAlignment="1">
      <alignment horizontal="right" vertical="center" wrapText="1"/>
    </xf>
    <xf numFmtId="165" fontId="28" fillId="0" borderId="112" xfId="0" applyNumberFormat="1"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170" fontId="10" fillId="0" borderId="114" xfId="0" applyNumberFormat="1" applyFont="1" applyFill="1" applyBorder="1" applyAlignment="1">
      <alignment horizontal="center" vertical="center"/>
    </xf>
    <xf numFmtId="165" fontId="51" fillId="61" borderId="113" xfId="0" applyNumberFormat="1" applyFont="1" applyFill="1" applyBorder="1" applyAlignment="1">
      <alignment horizontal="right" vertical="center" wrapText="1"/>
    </xf>
    <xf numFmtId="171" fontId="10" fillId="0" borderId="114" xfId="0" applyNumberFormat="1" applyFont="1" applyFill="1" applyBorder="1" applyAlignment="1">
      <alignment horizontal="center" vertical="center"/>
    </xf>
    <xf numFmtId="49" fontId="28" fillId="0" borderId="112" xfId="0" applyNumberFormat="1" applyFont="1" applyFill="1" applyBorder="1" applyAlignment="1">
      <alignment horizontal="center" vertical="center" wrapText="1"/>
    </xf>
    <xf numFmtId="9" fontId="10" fillId="39" borderId="164" xfId="0" applyNumberFormat="1" applyFont="1" applyFill="1" applyBorder="1" applyAlignment="1">
      <alignment horizontal="center" vertical="center" wrapText="1"/>
    </xf>
    <xf numFmtId="3" fontId="13" fillId="4" borderId="165" xfId="0" applyNumberFormat="1" applyFont="1" applyFill="1" applyBorder="1" applyAlignment="1">
      <alignment horizontal="center" vertical="center" wrapText="1"/>
    </xf>
    <xf numFmtId="3" fontId="13" fillId="4" borderId="164" xfId="0" applyNumberFormat="1" applyFont="1" applyFill="1" applyBorder="1" applyAlignment="1">
      <alignment horizontal="center" vertical="center" wrapText="1"/>
    </xf>
    <xf numFmtId="0" fontId="13" fillId="68" borderId="166" xfId="0" applyNumberFormat="1" applyFont="1" applyFill="1" applyBorder="1" applyAlignment="1">
      <alignment horizontal="center" vertical="center" wrapText="1"/>
    </xf>
    <xf numFmtId="3" fontId="13" fillId="0" borderId="165" xfId="0" applyNumberFormat="1" applyFont="1" applyFill="1" applyBorder="1" applyAlignment="1">
      <alignment horizontal="center" vertical="center" wrapText="1"/>
    </xf>
    <xf numFmtId="0" fontId="10" fillId="36" borderId="165" xfId="0" applyFont="1" applyFill="1" applyBorder="1" applyAlignment="1">
      <alignment horizontal="center" vertical="center"/>
    </xf>
    <xf numFmtId="0" fontId="10" fillId="36" borderId="164" xfId="0" applyFont="1" applyFill="1" applyBorder="1" applyAlignment="1">
      <alignment horizontal="center" vertical="center"/>
    </xf>
    <xf numFmtId="3" fontId="28" fillId="36" borderId="164" xfId="0" applyNumberFormat="1" applyFont="1" applyFill="1" applyBorder="1" applyAlignment="1">
      <alignment horizontal="center" vertical="center"/>
    </xf>
    <xf numFmtId="166" fontId="28" fillId="36" borderId="164" xfId="0" applyNumberFormat="1" applyFont="1" applyFill="1" applyBorder="1" applyAlignment="1">
      <alignment horizontal="center" vertical="center"/>
    </xf>
    <xf numFmtId="3" fontId="10" fillId="39" borderId="165" xfId="15" applyNumberFormat="1" applyFont="1" applyFill="1" applyBorder="1" applyAlignment="1">
      <alignment horizontal="center" vertical="center"/>
    </xf>
    <xf numFmtId="3" fontId="28" fillId="39" borderId="164" xfId="0" applyNumberFormat="1" applyFont="1" applyFill="1" applyBorder="1" applyAlignment="1">
      <alignment horizontal="center" vertical="center"/>
    </xf>
    <xf numFmtId="3" fontId="10" fillId="36" borderId="164" xfId="15" applyNumberFormat="1" applyFont="1" applyFill="1" applyBorder="1" applyAlignment="1">
      <alignment horizontal="center" vertical="center"/>
    </xf>
    <xf numFmtId="2" fontId="28" fillId="68" borderId="165" xfId="0" applyNumberFormat="1" applyFont="1" applyFill="1" applyBorder="1" applyAlignment="1">
      <alignment horizontal="center" vertical="center"/>
    </xf>
    <xf numFmtId="3" fontId="28" fillId="72" borderId="165" xfId="0" applyNumberFormat="1" applyFont="1" applyFill="1" applyBorder="1" applyAlignment="1">
      <alignment horizontal="center" vertical="center"/>
    </xf>
    <xf numFmtId="3" fontId="88" fillId="39" borderId="165" xfId="0" applyNumberFormat="1" applyFont="1" applyFill="1" applyBorder="1" applyAlignment="1">
      <alignment horizontal="center" vertical="center"/>
    </xf>
    <xf numFmtId="3" fontId="88" fillId="39" borderId="164" xfId="0" applyNumberFormat="1" applyFont="1" applyFill="1" applyBorder="1" applyAlignment="1">
      <alignment horizontal="center" vertical="center"/>
    </xf>
    <xf numFmtId="166" fontId="10" fillId="39" borderId="164" xfId="0" applyNumberFormat="1" applyFont="1" applyFill="1" applyBorder="1" applyAlignment="1">
      <alignment horizontal="center" vertical="center"/>
    </xf>
    <xf numFmtId="37" fontId="13" fillId="0" borderId="165" xfId="1" applyNumberFormat="1" applyFont="1" applyFill="1" applyBorder="1" applyAlignment="1">
      <alignment horizontal="center" vertical="center"/>
    </xf>
    <xf numFmtId="37" fontId="13" fillId="0" borderId="164" xfId="1" applyNumberFormat="1" applyFont="1" applyFill="1" applyBorder="1" applyAlignment="1">
      <alignment horizontal="center" vertical="center"/>
    </xf>
    <xf numFmtId="1" fontId="28" fillId="39" borderId="164" xfId="0" applyNumberFormat="1" applyFont="1" applyFill="1" applyBorder="1" applyAlignment="1">
      <alignment horizontal="center" vertical="center"/>
    </xf>
    <xf numFmtId="9" fontId="28" fillId="39" borderId="164" xfId="0" applyNumberFormat="1" applyFont="1" applyFill="1" applyBorder="1" applyAlignment="1">
      <alignment horizontal="center" vertical="center"/>
    </xf>
    <xf numFmtId="0" fontId="10" fillId="39" borderId="164" xfId="0" applyFont="1" applyFill="1" applyBorder="1" applyAlignment="1">
      <alignment horizontal="center" vertical="center"/>
    </xf>
    <xf numFmtId="3" fontId="0" fillId="39" borderId="164" xfId="0" applyNumberFormat="1" applyFill="1" applyBorder="1" applyAlignment="1">
      <alignment horizontal="center" vertical="center"/>
    </xf>
    <xf numFmtId="0" fontId="10" fillId="39" borderId="165" xfId="0" applyFont="1" applyFill="1" applyBorder="1" applyAlignment="1">
      <alignment horizontal="center" vertical="center"/>
    </xf>
    <xf numFmtId="0" fontId="0" fillId="39" borderId="164" xfId="0" applyFill="1" applyBorder="1" applyAlignment="1">
      <alignment horizontal="center" vertical="center"/>
    </xf>
    <xf numFmtId="170" fontId="10" fillId="39" borderId="164" xfId="0" applyNumberFormat="1" applyFont="1" applyFill="1" applyBorder="1" applyAlignment="1">
      <alignment vertical="center"/>
    </xf>
    <xf numFmtId="3" fontId="45" fillId="35" borderId="165" xfId="3" applyNumberFormat="1" applyFont="1" applyFill="1" applyBorder="1" applyAlignment="1">
      <alignment horizontal="center" vertical="center"/>
    </xf>
    <xf numFmtId="3" fontId="45" fillId="35" borderId="164" xfId="3" applyNumberFormat="1" applyFont="1" applyFill="1" applyBorder="1" applyAlignment="1">
      <alignment horizontal="center" vertical="center"/>
    </xf>
    <xf numFmtId="0" fontId="10" fillId="39" borderId="165" xfId="19" applyFont="1" applyFill="1" applyBorder="1" applyAlignment="1">
      <alignment horizontal="center" vertical="center" wrapText="1"/>
    </xf>
    <xf numFmtId="37" fontId="10" fillId="39" borderId="164" xfId="19" applyNumberFormat="1" applyFont="1" applyFill="1" applyBorder="1" applyAlignment="1">
      <alignment horizontal="center" vertical="center" wrapText="1"/>
    </xf>
    <xf numFmtId="0" fontId="10" fillId="41" borderId="165" xfId="19" applyFont="1" applyFill="1" applyBorder="1" applyAlignment="1">
      <alignment horizontal="center" wrapText="1"/>
    </xf>
    <xf numFmtId="0" fontId="10" fillId="41" borderId="165" xfId="19" applyFont="1" applyFill="1" applyBorder="1" applyAlignment="1">
      <alignment horizontal="center" vertical="center" wrapText="1"/>
    </xf>
    <xf numFmtId="37" fontId="10" fillId="37" borderId="164" xfId="15" applyNumberFormat="1" applyFont="1" applyFill="1" applyBorder="1" applyAlignment="1">
      <alignment horizontal="center" vertical="center" wrapText="1"/>
    </xf>
    <xf numFmtId="3" fontId="10" fillId="41" borderId="165" xfId="19" applyNumberFormat="1" applyFont="1" applyFill="1" applyBorder="1" applyAlignment="1">
      <alignment horizontal="center" vertical="center" wrapText="1"/>
    </xf>
    <xf numFmtId="3" fontId="10" fillId="71" borderId="165" xfId="19" applyNumberFormat="1" applyFont="1" applyFill="1" applyBorder="1" applyAlignment="1">
      <alignment horizontal="center" vertical="center" wrapText="1"/>
    </xf>
    <xf numFmtId="170" fontId="10" fillId="37" borderId="165" xfId="15" applyNumberFormat="1" applyFont="1" applyFill="1" applyBorder="1" applyAlignment="1">
      <alignment horizontal="center" vertical="center" wrapText="1"/>
    </xf>
    <xf numFmtId="3" fontId="10" fillId="37" borderId="164" xfId="15" applyNumberFormat="1" applyFont="1" applyFill="1" applyBorder="1" applyAlignment="1">
      <alignment horizontal="center" vertical="center" wrapText="1"/>
    </xf>
    <xf numFmtId="3" fontId="10" fillId="39" borderId="165" xfId="19" applyNumberFormat="1" applyFont="1" applyFill="1" applyBorder="1" applyAlignment="1">
      <alignment horizontal="center" vertical="center" wrapText="1"/>
    </xf>
    <xf numFmtId="166" fontId="10" fillId="39" borderId="164" xfId="19" applyNumberFormat="1" applyFont="1" applyFill="1" applyBorder="1" applyAlignment="1">
      <alignment horizontal="center" vertical="center" wrapText="1"/>
    </xf>
    <xf numFmtId="166" fontId="10" fillId="35" borderId="164" xfId="19" applyNumberFormat="1" applyFont="1" applyFill="1" applyBorder="1" applyAlignment="1">
      <alignment horizontal="center" wrapText="1"/>
    </xf>
    <xf numFmtId="9" fontId="45" fillId="35" borderId="164" xfId="3" applyNumberFormat="1" applyFont="1" applyFill="1" applyBorder="1" applyAlignment="1">
      <alignment horizontal="center" vertical="center"/>
    </xf>
    <xf numFmtId="169" fontId="10" fillId="0" borderId="165" xfId="0" applyNumberFormat="1" applyFont="1" applyFill="1" applyBorder="1" applyAlignment="1">
      <alignment horizontal="center" vertical="center"/>
    </xf>
    <xf numFmtId="0" fontId="10" fillId="4" borderId="164" xfId="0" applyFont="1" applyFill="1" applyBorder="1" applyAlignment="1">
      <alignment horizontal="center" vertical="center" wrapText="1"/>
    </xf>
    <xf numFmtId="1" fontId="45" fillId="0" borderId="165" xfId="0" applyNumberFormat="1" applyFont="1" applyFill="1" applyBorder="1" applyAlignment="1">
      <alignment horizontal="center" vertical="center"/>
    </xf>
    <xf numFmtId="1" fontId="45" fillId="0" borderId="164" xfId="0" applyNumberFormat="1" applyFont="1" applyBorder="1" applyAlignment="1">
      <alignment horizontal="center" vertical="center"/>
    </xf>
    <xf numFmtId="1" fontId="28" fillId="0" borderId="165" xfId="0" applyNumberFormat="1" applyFont="1" applyFill="1" applyBorder="1" applyAlignment="1">
      <alignment horizontal="center" vertical="center"/>
    </xf>
    <xf numFmtId="167" fontId="28" fillId="0" borderId="165" xfId="0" applyNumberFormat="1" applyFont="1" applyFill="1" applyBorder="1" applyAlignment="1">
      <alignment horizontal="center" vertical="center"/>
    </xf>
    <xf numFmtId="169" fontId="28" fillId="0" borderId="165" xfId="0" applyNumberFormat="1" applyFont="1" applyFill="1" applyBorder="1" applyAlignment="1">
      <alignment horizontal="center" vertical="center"/>
    </xf>
    <xf numFmtId="166" fontId="45" fillId="0" borderId="165" xfId="0" applyNumberFormat="1" applyFont="1" applyFill="1" applyBorder="1" applyAlignment="1">
      <alignment horizontal="center" vertical="center"/>
    </xf>
    <xf numFmtId="179" fontId="28" fillId="0" borderId="165" xfId="110" applyNumberFormat="1" applyFont="1" applyFill="1" applyBorder="1" applyAlignment="1">
      <alignment horizontal="center" vertical="center" wrapText="1"/>
    </xf>
    <xf numFmtId="181" fontId="28" fillId="0" borderId="165" xfId="110" applyNumberFormat="1" applyFont="1" applyFill="1" applyBorder="1" applyAlignment="1">
      <alignment horizontal="center" vertical="center" wrapText="1"/>
    </xf>
    <xf numFmtId="178" fontId="28" fillId="0" borderId="164" xfId="110" applyNumberFormat="1" applyFont="1" applyFill="1" applyBorder="1" applyAlignment="1">
      <alignment horizontal="center" vertical="center" wrapText="1"/>
    </xf>
    <xf numFmtId="166" fontId="28" fillId="0" borderId="164" xfId="10" applyNumberFormat="1" applyFont="1" applyFill="1" applyBorder="1" applyAlignment="1">
      <alignment horizontal="center" vertical="center"/>
    </xf>
    <xf numFmtId="182" fontId="45" fillId="0" borderId="165" xfId="110" applyNumberFormat="1" applyFont="1" applyFill="1" applyBorder="1" applyAlignment="1">
      <alignment horizontal="center" vertical="center" wrapText="1"/>
    </xf>
    <xf numFmtId="187" fontId="45" fillId="0" borderId="164" xfId="110" applyNumberFormat="1" applyFont="1" applyFill="1" applyBorder="1" applyAlignment="1">
      <alignment horizontal="center" vertical="center" wrapText="1"/>
    </xf>
    <xf numFmtId="0" fontId="18" fillId="4" borderId="164" xfId="2" applyFill="1" applyBorder="1" applyAlignment="1" applyProtection="1">
      <alignment horizontal="center" vertical="center"/>
    </xf>
    <xf numFmtId="166" fontId="28" fillId="42" borderId="165" xfId="0" applyNumberFormat="1" applyFont="1" applyFill="1" applyBorder="1" applyAlignment="1">
      <alignment horizontal="center" vertical="center"/>
    </xf>
    <xf numFmtId="166" fontId="28" fillId="0" borderId="165" xfId="110" applyNumberFormat="1" applyFont="1" applyFill="1" applyBorder="1" applyAlignment="1">
      <alignment horizontal="center" vertical="center" wrapText="1"/>
    </xf>
    <xf numFmtId="177" fontId="28" fillId="0" borderId="164" xfId="110" applyNumberFormat="1" applyFont="1" applyFill="1" applyBorder="1" applyAlignment="1">
      <alignment horizontal="center" vertical="center" wrapText="1"/>
    </xf>
    <xf numFmtId="0" fontId="10" fillId="0" borderId="165" xfId="0" applyFont="1" applyFill="1" applyBorder="1" applyAlignment="1">
      <alignment horizontal="center" vertical="center"/>
    </xf>
    <xf numFmtId="3" fontId="13" fillId="0" borderId="165" xfId="0" applyNumberFormat="1" applyFont="1" applyFill="1" applyBorder="1" applyAlignment="1">
      <alignment horizontal="center" vertical="center"/>
    </xf>
    <xf numFmtId="3" fontId="13" fillId="0" borderId="164" xfId="0" applyNumberFormat="1" applyFont="1" applyFill="1" applyBorder="1" applyAlignment="1">
      <alignment horizontal="center" vertical="center"/>
    </xf>
    <xf numFmtId="170" fontId="13" fillId="0" borderId="165" xfId="0" applyNumberFormat="1" applyFont="1" applyFill="1" applyBorder="1" applyAlignment="1">
      <alignment horizontal="center" vertical="center"/>
    </xf>
    <xf numFmtId="3" fontId="13" fillId="68" borderId="165" xfId="0" applyNumberFormat="1" applyFont="1" applyFill="1" applyBorder="1" applyAlignment="1">
      <alignment horizontal="center" vertical="center"/>
    </xf>
    <xf numFmtId="3" fontId="13" fillId="68" borderId="164" xfId="0" applyNumberFormat="1" applyFont="1" applyFill="1" applyBorder="1" applyAlignment="1">
      <alignment horizontal="center" vertical="center"/>
    </xf>
    <xf numFmtId="170" fontId="13" fillId="0" borderId="164" xfId="0" applyNumberFormat="1" applyFont="1" applyFill="1" applyBorder="1" applyAlignment="1">
      <alignment horizontal="center" vertical="center"/>
    </xf>
    <xf numFmtId="3" fontId="10" fillId="0" borderId="164" xfId="0" applyNumberFormat="1" applyFont="1" applyFill="1" applyBorder="1" applyAlignment="1">
      <alignment horizontal="center" vertical="center"/>
    </xf>
    <xf numFmtId="3" fontId="49" fillId="0" borderId="165" xfId="0" applyNumberFormat="1" applyFont="1" applyFill="1" applyBorder="1" applyAlignment="1">
      <alignment horizontal="center" vertical="center"/>
    </xf>
    <xf numFmtId="4" fontId="49" fillId="0" borderId="165" xfId="0" applyNumberFormat="1" applyFont="1" applyFill="1" applyBorder="1" applyAlignment="1">
      <alignment horizontal="center" vertical="center"/>
    </xf>
    <xf numFmtId="3" fontId="45" fillId="0" borderId="164" xfId="0" applyNumberFormat="1" applyFont="1" applyFill="1" applyBorder="1" applyAlignment="1">
      <alignment horizontal="center" vertical="center"/>
    </xf>
    <xf numFmtId="0" fontId="49" fillId="0" borderId="165" xfId="0" applyFont="1" applyFill="1" applyBorder="1" applyAlignment="1">
      <alignment horizontal="center" vertical="center"/>
    </xf>
    <xf numFmtId="3" fontId="10" fillId="42" borderId="165" xfId="0" applyNumberFormat="1" applyFont="1" applyFill="1" applyBorder="1" applyAlignment="1">
      <alignment horizontal="center" vertical="center" wrapText="1"/>
    </xf>
    <xf numFmtId="4" fontId="50" fillId="0" borderId="165" xfId="0" applyNumberFormat="1" applyFont="1" applyFill="1" applyBorder="1" applyAlignment="1">
      <alignment horizontal="center" vertical="center"/>
    </xf>
    <xf numFmtId="3" fontId="50" fillId="0" borderId="165" xfId="0" applyNumberFormat="1" applyFont="1" applyFill="1" applyBorder="1" applyAlignment="1">
      <alignment horizontal="center" vertical="center"/>
    </xf>
    <xf numFmtId="4" fontId="28" fillId="0" borderId="164" xfId="0" applyNumberFormat="1" applyFont="1" applyFill="1" applyBorder="1" applyAlignment="1">
      <alignment horizontal="center" vertical="center"/>
    </xf>
    <xf numFmtId="3" fontId="28" fillId="0" borderId="164" xfId="0" applyNumberFormat="1" applyFont="1" applyFill="1" applyBorder="1" applyAlignment="1">
      <alignment horizontal="center" vertical="center"/>
    </xf>
    <xf numFmtId="3" fontId="10" fillId="4" borderId="165" xfId="0" applyNumberFormat="1" applyFont="1" applyFill="1" applyBorder="1" applyAlignment="1">
      <alignment horizontal="center" vertical="center"/>
    </xf>
    <xf numFmtId="170" fontId="10" fillId="4" borderId="165" xfId="0" applyNumberFormat="1" applyFont="1" applyFill="1" applyBorder="1" applyAlignment="1">
      <alignment horizontal="center" vertical="center"/>
    </xf>
    <xf numFmtId="4" fontId="10" fillId="4" borderId="164" xfId="0" applyNumberFormat="1" applyFont="1" applyFill="1" applyBorder="1" applyAlignment="1">
      <alignment horizontal="center" vertical="top"/>
    </xf>
    <xf numFmtId="168" fontId="13" fillId="0" borderId="165" xfId="0" applyNumberFormat="1" applyFont="1" applyFill="1" applyBorder="1" applyAlignment="1">
      <alignment horizontal="center" vertical="center"/>
    </xf>
    <xf numFmtId="9" fontId="13" fillId="0" borderId="165" xfId="3" applyFont="1" applyFill="1" applyBorder="1" applyAlignment="1">
      <alignment horizontal="center" vertical="center"/>
    </xf>
    <xf numFmtId="170" fontId="13" fillId="68" borderId="165" xfId="0" applyNumberFormat="1" applyFont="1" applyFill="1" applyBorder="1" applyAlignment="1">
      <alignment horizontal="center" vertical="center"/>
    </xf>
    <xf numFmtId="3" fontId="13" fillId="4" borderId="164" xfId="0" applyNumberFormat="1" applyFont="1" applyFill="1" applyBorder="1" applyAlignment="1">
      <alignment horizontal="center" vertical="center"/>
    </xf>
    <xf numFmtId="170" fontId="13" fillId="4" borderId="165" xfId="0" applyNumberFormat="1" applyFont="1" applyFill="1" applyBorder="1" applyAlignment="1">
      <alignment horizontal="center" vertical="center"/>
    </xf>
    <xf numFmtId="3" fontId="13" fillId="4" borderId="165" xfId="0" applyNumberFormat="1" applyFont="1" applyFill="1" applyBorder="1" applyAlignment="1">
      <alignment horizontal="center" vertical="center"/>
    </xf>
    <xf numFmtId="170" fontId="13" fillId="4" borderId="164" xfId="0" applyNumberFormat="1" applyFont="1" applyFill="1" applyBorder="1" applyAlignment="1">
      <alignment horizontal="center" vertical="center"/>
    </xf>
    <xf numFmtId="9" fontId="45" fillId="0" borderId="164" xfId="1" applyNumberFormat="1" applyFont="1" applyFill="1" applyBorder="1" applyAlignment="1">
      <alignment horizontal="center" vertical="center"/>
    </xf>
    <xf numFmtId="0" fontId="18" fillId="0" borderId="164" xfId="2" applyBorder="1" applyAlignment="1" applyProtection="1">
      <alignment horizontal="center" vertical="center"/>
    </xf>
    <xf numFmtId="3" fontId="0" fillId="0" borderId="165" xfId="0" applyNumberFormat="1" applyFill="1" applyBorder="1" applyAlignment="1">
      <alignment horizontal="center" vertical="center"/>
    </xf>
    <xf numFmtId="10" fontId="10" fillId="0" borderId="164" xfId="0" applyNumberFormat="1" applyFont="1" applyFill="1" applyBorder="1" applyAlignment="1">
      <alignment horizontal="center" vertical="center"/>
    </xf>
    <xf numFmtId="10" fontId="13" fillId="0" borderId="165" xfId="0" applyNumberFormat="1" applyFont="1" applyFill="1" applyBorder="1" applyAlignment="1">
      <alignment horizontal="center" vertical="center"/>
    </xf>
    <xf numFmtId="166" fontId="13" fillId="0" borderId="165" xfId="3" applyNumberFormat="1" applyFont="1" applyFill="1" applyBorder="1" applyAlignment="1">
      <alignment horizontal="center" vertical="center"/>
    </xf>
    <xf numFmtId="9" fontId="10" fillId="59" borderId="165" xfId="0" applyNumberFormat="1" applyFont="1" applyFill="1" applyBorder="1" applyAlignment="1">
      <alignment horizontal="center" vertical="center"/>
    </xf>
    <xf numFmtId="3" fontId="10" fillId="4" borderId="164" xfId="0" applyNumberFormat="1" applyFont="1" applyFill="1" applyBorder="1" applyAlignment="1">
      <alignment horizontal="center" vertical="center"/>
    </xf>
    <xf numFmtId="3" fontId="10" fillId="42" borderId="165" xfId="1" applyNumberFormat="1" applyFont="1" applyFill="1" applyBorder="1" applyAlignment="1">
      <alignment horizontal="center" vertical="center"/>
    </xf>
    <xf numFmtId="173" fontId="10" fillId="4" borderId="164" xfId="0" applyNumberFormat="1" applyFont="1" applyFill="1" applyBorder="1" applyAlignment="1">
      <alignment horizontal="center" vertical="center"/>
    </xf>
    <xf numFmtId="3" fontId="10" fillId="4" borderId="164" xfId="19" applyNumberFormat="1" applyFont="1" applyFill="1" applyBorder="1" applyAlignment="1">
      <alignment horizontal="center" vertical="center"/>
    </xf>
    <xf numFmtId="3" fontId="13" fillId="0" borderId="165" xfId="0" applyNumberFormat="1" applyFont="1" applyBorder="1" applyAlignment="1">
      <alignment horizontal="center" vertical="center" wrapText="1"/>
    </xf>
    <xf numFmtId="168" fontId="13" fillId="0" borderId="164" xfId="0" applyNumberFormat="1" applyFont="1" applyBorder="1" applyAlignment="1">
      <alignment horizontal="center" vertical="center" wrapText="1"/>
    </xf>
    <xf numFmtId="170" fontId="13" fillId="0" borderId="164" xfId="0" applyNumberFormat="1" applyFont="1" applyBorder="1" applyAlignment="1">
      <alignment horizontal="center" vertical="center" wrapText="1"/>
    </xf>
    <xf numFmtId="3" fontId="13" fillId="0" borderId="165" xfId="0" applyNumberFormat="1" applyFont="1" applyBorder="1" applyAlignment="1">
      <alignment horizontal="center" vertical="center"/>
    </xf>
    <xf numFmtId="3" fontId="28" fillId="4" borderId="165" xfId="0" applyNumberFormat="1" applyFont="1" applyFill="1" applyBorder="1" applyAlignment="1">
      <alignment horizontal="center" vertical="center"/>
    </xf>
    <xf numFmtId="2" fontId="89" fillId="0" borderId="165" xfId="0" applyNumberFormat="1" applyFont="1" applyFill="1" applyBorder="1" applyAlignment="1">
      <alignment horizontal="center" vertical="center"/>
    </xf>
    <xf numFmtId="0" fontId="89" fillId="0" borderId="165" xfId="0" applyFont="1" applyFill="1" applyBorder="1" applyAlignment="1">
      <alignment horizontal="center" vertical="center"/>
    </xf>
    <xf numFmtId="2" fontId="89" fillId="0" borderId="166" xfId="0" applyNumberFormat="1" applyFont="1" applyFill="1" applyBorder="1" applyAlignment="1">
      <alignment horizontal="center" vertical="center"/>
    </xf>
    <xf numFmtId="3" fontId="89" fillId="0" borderId="165" xfId="0" applyNumberFormat="1" applyFont="1" applyFill="1" applyBorder="1" applyAlignment="1">
      <alignment horizontal="center" vertical="center"/>
    </xf>
    <xf numFmtId="3" fontId="89" fillId="0" borderId="164" xfId="0" applyNumberFormat="1" applyFont="1" applyFill="1" applyBorder="1" applyAlignment="1">
      <alignment horizontal="center" vertical="center"/>
    </xf>
    <xf numFmtId="3" fontId="10" fillId="59" borderId="166" xfId="0" applyNumberFormat="1" applyFont="1" applyFill="1" applyBorder="1" applyAlignment="1">
      <alignment horizontal="center" vertical="center"/>
    </xf>
    <xf numFmtId="4" fontId="10" fillId="0" borderId="164" xfId="0" applyNumberFormat="1" applyFont="1" applyFill="1" applyBorder="1" applyAlignment="1">
      <alignment horizontal="center" vertical="center"/>
    </xf>
    <xf numFmtId="3" fontId="28" fillId="70" borderId="165" xfId="0" applyNumberFormat="1" applyFont="1" applyFill="1" applyBorder="1" applyAlignment="1">
      <alignment horizontal="center" vertical="center"/>
    </xf>
    <xf numFmtId="3" fontId="28" fillId="42" borderId="165" xfId="0" applyNumberFormat="1" applyFont="1" applyFill="1" applyBorder="1" applyAlignment="1">
      <alignment horizontal="center" vertical="center"/>
    </xf>
    <xf numFmtId="166" fontId="28" fillId="0" borderId="164" xfId="0" applyNumberFormat="1" applyFont="1" applyFill="1" applyBorder="1" applyAlignment="1">
      <alignment horizontal="center" vertical="center"/>
    </xf>
    <xf numFmtId="3" fontId="28" fillId="0" borderId="165" xfId="0" applyNumberFormat="1" applyFont="1" applyFill="1" applyBorder="1" applyAlignment="1">
      <alignment horizontal="center" vertical="center"/>
    </xf>
    <xf numFmtId="0" fontId="28" fillId="68" borderId="165" xfId="0" applyFont="1" applyFill="1" applyBorder="1" applyAlignment="1">
      <alignment horizontal="center" vertical="center"/>
    </xf>
    <xf numFmtId="0" fontId="28" fillId="68" borderId="164" xfId="0" applyFont="1" applyFill="1" applyBorder="1" applyAlignment="1">
      <alignment horizontal="center" vertical="center"/>
    </xf>
    <xf numFmtId="2" fontId="10" fillId="4" borderId="165" xfId="2" applyNumberFormat="1" applyFont="1" applyFill="1" applyBorder="1" applyAlignment="1" applyProtection="1">
      <alignment horizontal="center" vertical="center"/>
    </xf>
    <xf numFmtId="2" fontId="10" fillId="0" borderId="165" xfId="0" applyNumberFormat="1" applyFont="1" applyFill="1" applyBorder="1" applyAlignment="1">
      <alignment horizontal="center" vertical="center"/>
    </xf>
    <xf numFmtId="170" fontId="28" fillId="0" borderId="164" xfId="0" applyNumberFormat="1" applyFont="1" applyFill="1" applyBorder="1" applyAlignment="1">
      <alignment horizontal="center" vertical="center"/>
    </xf>
    <xf numFmtId="0" fontId="13" fillId="0" borderId="165" xfId="0" applyFont="1" applyFill="1" applyBorder="1" applyAlignment="1">
      <alignment horizontal="center" vertical="center" wrapText="1"/>
    </xf>
    <xf numFmtId="166" fontId="13" fillId="42" borderId="164" xfId="0" applyNumberFormat="1" applyFont="1" applyFill="1" applyBorder="1" applyAlignment="1">
      <alignment horizontal="center" vertical="center" wrapText="1"/>
    </xf>
    <xf numFmtId="37" fontId="13" fillId="4" borderId="165" xfId="1" applyNumberFormat="1" applyFont="1" applyFill="1" applyBorder="1" applyAlignment="1">
      <alignment horizontal="center" vertical="center"/>
    </xf>
    <xf numFmtId="37" fontId="13" fillId="4" borderId="164" xfId="1" applyNumberFormat="1" applyFont="1" applyFill="1" applyBorder="1" applyAlignment="1">
      <alignment horizontal="center" vertical="center"/>
    </xf>
    <xf numFmtId="2" fontId="10" fillId="0" borderId="165" xfId="2" applyNumberFormat="1" applyFont="1" applyFill="1" applyBorder="1" applyAlignment="1" applyProtection="1">
      <alignment horizontal="center" vertical="center"/>
    </xf>
    <xf numFmtId="168" fontId="10" fillId="0" borderId="165" xfId="0" applyNumberFormat="1" applyFont="1" applyFill="1" applyBorder="1" applyAlignment="1">
      <alignment horizontal="center" vertical="center"/>
    </xf>
    <xf numFmtId="2" fontId="10" fillId="0" borderId="164" xfId="0" applyNumberFormat="1" applyFont="1" applyFill="1" applyBorder="1" applyAlignment="1">
      <alignment horizontal="center" vertical="center"/>
    </xf>
    <xf numFmtId="0" fontId="10" fillId="4" borderId="165" xfId="0" applyFont="1" applyFill="1" applyBorder="1" applyAlignment="1">
      <alignment horizontal="center" vertical="center"/>
    </xf>
    <xf numFmtId="166" fontId="10" fillId="42" borderId="165" xfId="0" applyNumberFormat="1" applyFont="1" applyFill="1" applyBorder="1" applyAlignment="1">
      <alignment horizontal="center" vertical="center"/>
    </xf>
    <xf numFmtId="166" fontId="10" fillId="0" borderId="165" xfId="0" applyNumberFormat="1" applyFont="1" applyFill="1" applyBorder="1" applyAlignment="1">
      <alignment horizontal="center" vertical="center"/>
    </xf>
    <xf numFmtId="9" fontId="10" fillId="42" borderId="165" xfId="0" applyNumberFormat="1" applyFont="1" applyFill="1" applyBorder="1" applyAlignment="1">
      <alignment horizontal="center" vertical="center" wrapText="1"/>
    </xf>
    <xf numFmtId="9" fontId="10" fillId="42" borderId="164" xfId="0" applyNumberFormat="1" applyFont="1" applyFill="1" applyBorder="1" applyAlignment="1">
      <alignment horizontal="center" vertical="center" wrapText="1"/>
    </xf>
    <xf numFmtId="3" fontId="10" fillId="0" borderId="165" xfId="0" applyNumberFormat="1" applyFont="1" applyFill="1" applyBorder="1" applyAlignment="1">
      <alignment horizontal="center" vertical="center" wrapText="1"/>
    </xf>
    <xf numFmtId="1" fontId="10" fillId="0" borderId="165" xfId="2" applyNumberFormat="1" applyFont="1" applyFill="1" applyBorder="1" applyAlignment="1" applyProtection="1">
      <alignment horizontal="center" vertical="center"/>
    </xf>
    <xf numFmtId="1" fontId="10" fillId="0" borderId="165" xfId="0" applyNumberFormat="1" applyFont="1" applyFill="1" applyBorder="1" applyAlignment="1">
      <alignment horizontal="center" vertical="center"/>
    </xf>
    <xf numFmtId="170" fontId="10" fillId="0" borderId="165" xfId="0" applyNumberFormat="1" applyFont="1" applyFill="1" applyBorder="1" applyAlignment="1">
      <alignment horizontal="center" vertical="center" wrapText="1"/>
    </xf>
    <xf numFmtId="9" fontId="10" fillId="0" borderId="165" xfId="0" applyNumberFormat="1" applyFont="1" applyFill="1" applyBorder="1" applyAlignment="1">
      <alignment horizontal="center" vertical="center" wrapText="1"/>
    </xf>
    <xf numFmtId="168" fontId="10" fillId="0" borderId="165" xfId="0" applyNumberFormat="1" applyFont="1" applyFill="1" applyBorder="1" applyAlignment="1">
      <alignment horizontal="center" vertical="center" wrapText="1"/>
    </xf>
    <xf numFmtId="2" fontId="10" fillId="0" borderId="164" xfId="0" applyNumberFormat="1" applyFont="1" applyFill="1" applyBorder="1" applyAlignment="1">
      <alignment horizontal="center" vertical="center" wrapText="1"/>
    </xf>
    <xf numFmtId="3" fontId="10" fillId="0" borderId="164" xfId="0" applyNumberFormat="1" applyFont="1" applyFill="1" applyBorder="1" applyAlignment="1">
      <alignment horizontal="center" vertical="center" wrapText="1"/>
    </xf>
    <xf numFmtId="170" fontId="10" fillId="4" borderId="164" xfId="0" applyNumberFormat="1" applyFont="1" applyFill="1" applyBorder="1" applyAlignment="1">
      <alignment horizontal="center" vertical="center"/>
    </xf>
    <xf numFmtId="4" fontId="13" fillId="4" borderId="164" xfId="0" applyNumberFormat="1" applyFont="1" applyFill="1" applyBorder="1" applyAlignment="1">
      <alignment horizontal="center" vertical="center"/>
    </xf>
    <xf numFmtId="4" fontId="19" fillId="0" borderId="164" xfId="0" applyNumberFormat="1" applyFont="1" applyFill="1" applyBorder="1" applyAlignment="1">
      <alignment horizontal="center" vertical="center" wrapText="1"/>
    </xf>
    <xf numFmtId="2" fontId="13" fillId="4" borderId="164" xfId="0" applyNumberFormat="1" applyFont="1" applyFill="1" applyBorder="1" applyAlignment="1">
      <alignment horizontal="center" vertical="center"/>
    </xf>
    <xf numFmtId="0" fontId="0" fillId="0" borderId="0" xfId="0" applyFont="1" applyFill="1" applyAlignment="1"/>
    <xf numFmtId="0" fontId="100" fillId="79" borderId="6" xfId="0" applyFont="1" applyFill="1" applyBorder="1" applyAlignment="1">
      <alignment wrapText="1"/>
    </xf>
    <xf numFmtId="0" fontId="100" fillId="79" borderId="109" xfId="0" applyFont="1" applyFill="1" applyBorder="1" applyAlignment="1">
      <alignment wrapText="1"/>
    </xf>
    <xf numFmtId="0" fontId="101" fillId="0" borderId="76" xfId="0" applyFont="1" applyFill="1" applyBorder="1" applyAlignment="1"/>
    <xf numFmtId="3" fontId="101" fillId="80" borderId="60" xfId="0" applyNumberFormat="1" applyFont="1" applyFill="1" applyBorder="1" applyAlignment="1"/>
    <xf numFmtId="0" fontId="101" fillId="0" borderId="96" xfId="0" applyFont="1" applyFill="1" applyBorder="1" applyAlignment="1"/>
    <xf numFmtId="0" fontId="101" fillId="0" borderId="48" xfId="0" applyFont="1" applyFill="1" applyBorder="1" applyAlignment="1"/>
    <xf numFmtId="3" fontId="50" fillId="81" borderId="165" xfId="0" applyNumberFormat="1" applyFont="1" applyFill="1" applyBorder="1" applyAlignment="1"/>
    <xf numFmtId="0" fontId="101" fillId="0" borderId="0" xfId="0" applyFont="1" applyFill="1" applyAlignment="1"/>
    <xf numFmtId="0" fontId="50" fillId="0" borderId="0" xfId="0" applyFont="1" applyFill="1" applyAlignment="1"/>
    <xf numFmtId="0" fontId="100" fillId="79" borderId="109" xfId="0" applyFont="1" applyFill="1" applyBorder="1" applyAlignment="1"/>
    <xf numFmtId="0" fontId="0" fillId="0" borderId="0" xfId="0" applyBorder="1"/>
    <xf numFmtId="0" fontId="100" fillId="79" borderId="172" xfId="0" applyFont="1" applyFill="1" applyBorder="1" applyAlignment="1">
      <alignment wrapText="1"/>
    </xf>
    <xf numFmtId="0" fontId="100" fillId="79" borderId="173" xfId="0" applyFont="1" applyFill="1" applyBorder="1" applyAlignment="1"/>
    <xf numFmtId="0" fontId="10" fillId="35" borderId="174" xfId="0" applyFont="1" applyFill="1" applyBorder="1" applyAlignment="1">
      <alignment wrapText="1"/>
    </xf>
    <xf numFmtId="0" fontId="10" fillId="35" borderId="175" xfId="0" applyFont="1" applyFill="1" applyBorder="1" applyAlignment="1">
      <alignment wrapText="1"/>
    </xf>
    <xf numFmtId="0" fontId="10" fillId="35" borderId="172" xfId="0" applyFont="1" applyFill="1" applyBorder="1" applyAlignment="1">
      <alignment wrapText="1"/>
    </xf>
    <xf numFmtId="0" fontId="101" fillId="0" borderId="176" xfId="0" applyFont="1" applyFill="1" applyBorder="1" applyAlignment="1"/>
    <xf numFmtId="0" fontId="101" fillId="80" borderId="117" xfId="0" applyFont="1" applyFill="1" applyBorder="1" applyAlignment="1">
      <alignment horizontal="center"/>
    </xf>
    <xf numFmtId="0" fontId="101" fillId="80" borderId="173" xfId="0" applyFont="1" applyFill="1" applyBorder="1" applyAlignment="1">
      <alignment horizontal="center"/>
    </xf>
    <xf numFmtId="0" fontId="101" fillId="80" borderId="109" xfId="0" applyFont="1" applyFill="1" applyBorder="1" applyAlignment="1">
      <alignment horizontal="center"/>
    </xf>
    <xf numFmtId="0" fontId="101" fillId="80" borderId="177" xfId="0" applyFont="1" applyFill="1" applyBorder="1" applyAlignment="1">
      <alignment horizontal="center"/>
    </xf>
    <xf numFmtId="0" fontId="101" fillId="80" borderId="178" xfId="0" applyFont="1" applyFill="1" applyBorder="1" applyAlignment="1">
      <alignment horizontal="center"/>
    </xf>
    <xf numFmtId="0" fontId="0" fillId="0" borderId="0" xfId="0" applyFill="1" applyBorder="1"/>
    <xf numFmtId="0" fontId="99" fillId="0" borderId="0" xfId="0" applyFont="1" applyFill="1" applyBorder="1" applyAlignment="1">
      <alignment wrapText="1"/>
    </xf>
    <xf numFmtId="0" fontId="100" fillId="79" borderId="188" xfId="0" applyFont="1" applyFill="1" applyBorder="1" applyAlignment="1">
      <alignment wrapText="1"/>
    </xf>
    <xf numFmtId="0" fontId="100" fillId="79" borderId="189" xfId="0" applyFont="1" applyFill="1" applyBorder="1" applyAlignment="1">
      <alignment wrapText="1"/>
    </xf>
    <xf numFmtId="0" fontId="0" fillId="0" borderId="190" xfId="0" applyBorder="1"/>
    <xf numFmtId="0" fontId="0" fillId="0" borderId="191" xfId="0" applyBorder="1"/>
    <xf numFmtId="0" fontId="0" fillId="0" borderId="192" xfId="0" applyBorder="1"/>
    <xf numFmtId="0" fontId="100" fillId="79" borderId="160" xfId="0" applyFont="1" applyFill="1" applyBorder="1" applyAlignment="1">
      <alignment wrapText="1"/>
    </xf>
    <xf numFmtId="0" fontId="100" fillId="79" borderId="184" xfId="0" applyFont="1" applyFill="1" applyBorder="1" applyAlignment="1">
      <alignment wrapText="1"/>
    </xf>
    <xf numFmtId="37" fontId="0" fillId="36" borderId="114" xfId="1" applyNumberFormat="1" applyFont="1" applyFill="1" applyBorder="1" applyAlignment="1">
      <alignment horizontal="center" wrapText="1"/>
    </xf>
    <xf numFmtId="3" fontId="10" fillId="68" borderId="160" xfId="0" applyNumberFormat="1" applyFont="1" applyFill="1" applyBorder="1" applyAlignment="1">
      <alignment horizontal="center" vertical="center"/>
    </xf>
    <xf numFmtId="3" fontId="10" fillId="68" borderId="193" xfId="0" applyNumberFormat="1" applyFont="1" applyFill="1" applyBorder="1" applyAlignment="1">
      <alignment horizontal="center" vertical="center"/>
    </xf>
    <xf numFmtId="3" fontId="13" fillId="0" borderId="160" xfId="0" applyNumberFormat="1" applyFont="1" applyFill="1" applyBorder="1" applyAlignment="1">
      <alignment horizontal="center" vertical="center"/>
    </xf>
    <xf numFmtId="3" fontId="0" fillId="68" borderId="160" xfId="0" applyNumberFormat="1" applyFill="1" applyBorder="1" applyAlignment="1">
      <alignment horizontal="center" vertical="center"/>
    </xf>
    <xf numFmtId="3" fontId="0" fillId="68" borderId="193" xfId="0" applyNumberFormat="1" applyFill="1" applyBorder="1" applyAlignment="1">
      <alignment horizontal="center" vertical="center"/>
    </xf>
    <xf numFmtId="0" fontId="69" fillId="2" borderId="195" xfId="0" applyFont="1" applyFill="1" applyBorder="1" applyAlignment="1">
      <alignment horizontal="center" vertical="center" wrapText="1"/>
    </xf>
    <xf numFmtId="3" fontId="10" fillId="68" borderId="196" xfId="0" applyNumberFormat="1" applyFont="1" applyFill="1" applyBorder="1" applyAlignment="1">
      <alignment horizontal="center" vertical="center"/>
    </xf>
    <xf numFmtId="3" fontId="13" fillId="0" borderId="196" xfId="0" applyNumberFormat="1" applyFont="1" applyFill="1" applyBorder="1" applyAlignment="1">
      <alignment horizontal="center" vertical="center"/>
    </xf>
    <xf numFmtId="3" fontId="0" fillId="68" borderId="196" xfId="0" applyNumberFormat="1" applyFill="1" applyBorder="1" applyAlignment="1">
      <alignment horizontal="center" vertical="center"/>
    </xf>
    <xf numFmtId="3" fontId="10" fillId="0" borderId="196" xfId="0" applyNumberFormat="1" applyFont="1" applyFill="1" applyBorder="1" applyAlignment="1">
      <alignment horizontal="center" vertical="center"/>
    </xf>
    <xf numFmtId="3" fontId="13" fillId="4" borderId="196" xfId="0" applyNumberFormat="1" applyFont="1" applyFill="1" applyBorder="1" applyAlignment="1">
      <alignment horizontal="center" vertical="center"/>
    </xf>
    <xf numFmtId="3" fontId="13" fillId="4" borderId="197" xfId="0" applyNumberFormat="1" applyFont="1" applyFill="1" applyBorder="1" applyAlignment="1">
      <alignment horizontal="center"/>
    </xf>
    <xf numFmtId="0" fontId="69" fillId="83" borderId="67" xfId="0" applyFont="1" applyFill="1" applyBorder="1" applyAlignment="1">
      <alignment horizontal="center" vertical="center" wrapText="1"/>
    </xf>
    <xf numFmtId="0" fontId="69" fillId="83" borderId="16" xfId="0" applyFont="1" applyFill="1" applyBorder="1" applyAlignment="1">
      <alignment horizontal="center" vertical="center" wrapText="1"/>
    </xf>
    <xf numFmtId="0" fontId="69" fillId="83" borderId="10" xfId="0" applyFont="1" applyFill="1" applyBorder="1" applyAlignment="1">
      <alignment horizontal="center" vertical="center" wrapText="1"/>
    </xf>
    <xf numFmtId="0" fontId="13" fillId="0" borderId="160" xfId="0" applyNumberFormat="1" applyFont="1" applyFill="1" applyBorder="1" applyAlignment="1">
      <alignment horizontal="center" vertical="center"/>
    </xf>
    <xf numFmtId="0" fontId="13" fillId="4" borderId="194" xfId="0" applyNumberFormat="1" applyFont="1" applyFill="1" applyBorder="1" applyAlignment="1">
      <alignment horizontal="center"/>
    </xf>
    <xf numFmtId="0" fontId="17" fillId="84" borderId="0" xfId="19" applyFont="1" applyFill="1" applyBorder="1"/>
    <xf numFmtId="0" fontId="10" fillId="84" borderId="0" xfId="19" applyFont="1" applyFill="1" applyBorder="1"/>
    <xf numFmtId="3" fontId="17" fillId="84" borderId="0" xfId="19" applyNumberFormat="1" applyFont="1" applyFill="1" applyBorder="1"/>
    <xf numFmtId="0" fontId="10" fillId="84" borderId="0" xfId="19" applyFont="1" applyFill="1" applyBorder="1" applyAlignment="1">
      <alignment horizontal="center" wrapText="1"/>
    </xf>
    <xf numFmtId="37" fontId="17" fillId="84" borderId="0" xfId="19" applyNumberFormat="1" applyFont="1" applyFill="1" applyBorder="1" applyAlignment="1">
      <alignment horizontal="center" wrapText="1"/>
    </xf>
    <xf numFmtId="2" fontId="17" fillId="84" borderId="0" xfId="19" applyNumberFormat="1" applyFont="1" applyFill="1" applyBorder="1" applyAlignment="1">
      <alignment horizontal="center" wrapText="1"/>
    </xf>
    <xf numFmtId="0" fontId="17" fillId="84" borderId="0" xfId="19" applyFont="1" applyFill="1" applyBorder="1" applyAlignment="1">
      <alignment horizontal="center" wrapText="1"/>
    </xf>
    <xf numFmtId="167" fontId="17" fillId="84" borderId="0" xfId="19" applyNumberFormat="1" applyFont="1" applyFill="1" applyBorder="1" applyAlignment="1">
      <alignment horizontal="center" wrapText="1"/>
    </xf>
    <xf numFmtId="3" fontId="50" fillId="82" borderId="160" xfId="0" applyNumberFormat="1" applyFont="1" applyFill="1" applyBorder="1" applyAlignment="1">
      <alignment horizontal="center" wrapText="1"/>
    </xf>
    <xf numFmtId="0" fontId="50" fillId="0" borderId="160" xfId="0" applyFont="1" applyFill="1" applyBorder="1" applyAlignment="1">
      <alignment horizontal="center"/>
    </xf>
    <xf numFmtId="0" fontId="102" fillId="0" borderId="160" xfId="0" applyFont="1" applyFill="1" applyBorder="1" applyAlignment="1">
      <alignment horizontal="center"/>
    </xf>
    <xf numFmtId="0" fontId="100" fillId="79" borderId="201" xfId="0" applyFont="1" applyFill="1" applyBorder="1" applyAlignment="1">
      <alignment wrapText="1"/>
    </xf>
    <xf numFmtId="0" fontId="100" fillId="79" borderId="202" xfId="0" applyFont="1" applyFill="1" applyBorder="1" applyAlignment="1">
      <alignment wrapText="1"/>
    </xf>
    <xf numFmtId="0" fontId="50" fillId="35" borderId="201" xfId="0" applyFont="1" applyFill="1" applyBorder="1" applyAlignment="1">
      <alignment wrapText="1"/>
    </xf>
    <xf numFmtId="0" fontId="50" fillId="0" borderId="201" xfId="0" applyFont="1" applyFill="1" applyBorder="1" applyAlignment="1"/>
    <xf numFmtId="0" fontId="50" fillId="0" borderId="203" xfId="0" applyFont="1" applyFill="1" applyBorder="1" applyAlignment="1"/>
    <xf numFmtId="3" fontId="102" fillId="0" borderId="204" xfId="0" applyNumberFormat="1" applyFont="1" applyFill="1" applyBorder="1" applyAlignment="1">
      <alignment horizontal="center"/>
    </xf>
    <xf numFmtId="0" fontId="102" fillId="0" borderId="204" xfId="0" applyFont="1" applyFill="1" applyBorder="1" applyAlignment="1">
      <alignment horizontal="center"/>
    </xf>
    <xf numFmtId="0" fontId="0" fillId="0" borderId="202" xfId="0" applyBorder="1" applyAlignment="1">
      <alignment horizontal="center"/>
    </xf>
    <xf numFmtId="3" fontId="0" fillId="0" borderId="0" xfId="0" applyNumberFormat="1"/>
    <xf numFmtId="3" fontId="0" fillId="36" borderId="114" xfId="15" applyNumberFormat="1" applyFont="1" applyFill="1" applyBorder="1" applyAlignment="1">
      <alignment horizontal="center" vertical="center"/>
    </xf>
    <xf numFmtId="3" fontId="0" fillId="36" borderId="53" xfId="15" applyNumberFormat="1" applyFont="1" applyFill="1" applyBorder="1" applyAlignment="1">
      <alignment horizontal="center" vertical="center"/>
    </xf>
    <xf numFmtId="3" fontId="0" fillId="36" borderId="112" xfId="0" applyNumberFormat="1" applyFill="1" applyBorder="1" applyAlignment="1">
      <alignment horizontal="center" vertical="center"/>
    </xf>
    <xf numFmtId="0" fontId="10" fillId="39" borderId="83" xfId="19" applyFont="1" applyFill="1" applyBorder="1" applyAlignment="1">
      <alignment horizontal="center" vertical="center" wrapText="1"/>
    </xf>
    <xf numFmtId="0" fontId="10" fillId="4" borderId="0" xfId="0" applyFont="1" applyFill="1" applyBorder="1" applyAlignment="1">
      <alignment horizontal="left" vertical="top" wrapText="1"/>
    </xf>
    <xf numFmtId="0" fontId="69" fillId="61" borderId="34" xfId="0" applyFont="1" applyFill="1" applyBorder="1" applyAlignment="1">
      <alignment horizontal="center" vertical="center" wrapText="1"/>
    </xf>
    <xf numFmtId="0" fontId="69" fillId="61" borderId="67"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69" fillId="61" borderId="95" xfId="0" applyFont="1" applyFill="1" applyBorder="1" applyAlignment="1">
      <alignment horizontal="center" vertical="center" wrapText="1"/>
    </xf>
    <xf numFmtId="0" fontId="69" fillId="60" borderId="24" xfId="19" applyFont="1" applyFill="1" applyBorder="1" applyAlignment="1">
      <alignment horizontal="center" vertical="center" wrapText="1"/>
    </xf>
    <xf numFmtId="0" fontId="69" fillId="60" borderId="20" xfId="19" applyFont="1" applyFill="1" applyBorder="1" applyAlignment="1">
      <alignment horizontal="center" vertical="center" wrapText="1"/>
    </xf>
    <xf numFmtId="0" fontId="69" fillId="60" borderId="4" xfId="19" applyFont="1" applyFill="1" applyBorder="1" applyAlignment="1">
      <alignment horizontal="center" vertical="center" wrapText="1"/>
    </xf>
    <xf numFmtId="0" fontId="69" fillId="60" borderId="17" xfId="19" applyFont="1" applyFill="1" applyBorder="1" applyAlignment="1">
      <alignment horizontal="center" vertical="center" wrapText="1"/>
    </xf>
    <xf numFmtId="0" fontId="69" fillId="73" borderId="17" xfId="19" applyFont="1" applyFill="1" applyBorder="1" applyAlignment="1">
      <alignment horizontal="center" vertical="center" wrapText="1"/>
    </xf>
    <xf numFmtId="0" fontId="69" fillId="61" borderId="24" xfId="0" applyFont="1" applyFill="1" applyBorder="1" applyAlignment="1">
      <alignment horizontal="center" vertical="center" wrapText="1"/>
    </xf>
    <xf numFmtId="0" fontId="69" fillId="61" borderId="21" xfId="0" applyFont="1" applyFill="1" applyBorder="1" applyAlignment="1">
      <alignment horizontal="center" vertical="center" wrapText="1"/>
    </xf>
    <xf numFmtId="0" fontId="10" fillId="4" borderId="0" xfId="0" applyNumberFormat="1" applyFont="1" applyFill="1" applyBorder="1" applyAlignment="1">
      <alignment horizontal="left" vertical="top" wrapText="1"/>
    </xf>
    <xf numFmtId="0" fontId="69" fillId="61" borderId="6" xfId="0" applyFont="1" applyFill="1" applyBorder="1" applyAlignment="1">
      <alignment horizontal="center" vertical="center" wrapText="1"/>
    </xf>
    <xf numFmtId="0" fontId="10" fillId="4" borderId="0" xfId="0" applyFont="1" applyFill="1" applyAlignment="1">
      <alignment horizontal="left" vertical="top" wrapText="1"/>
    </xf>
    <xf numFmtId="0" fontId="69" fillId="61" borderId="69" xfId="0" applyFont="1" applyFill="1" applyBorder="1" applyAlignment="1">
      <alignment horizontal="center" vertical="center" wrapText="1"/>
    </xf>
    <xf numFmtId="0" fontId="69" fillId="61" borderId="138" xfId="0" applyFont="1" applyFill="1" applyBorder="1" applyAlignment="1">
      <alignment horizontal="center" vertical="center" wrapText="1"/>
    </xf>
    <xf numFmtId="0" fontId="90" fillId="61" borderId="18" xfId="0" applyFont="1" applyFill="1" applyBorder="1" applyAlignment="1">
      <alignment horizontal="center" vertical="center" wrapText="1"/>
    </xf>
    <xf numFmtId="0" fontId="16" fillId="4" borderId="0" xfId="0" applyFont="1" applyFill="1" applyAlignment="1">
      <alignment horizontal="left" wrapText="1"/>
    </xf>
    <xf numFmtId="0" fontId="69" fillId="61" borderId="113" xfId="0"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14" xfId="0" applyFont="1" applyFill="1" applyBorder="1" applyAlignment="1">
      <alignment horizontal="center" vertical="center" wrapText="1"/>
    </xf>
    <xf numFmtId="0" fontId="0" fillId="0" borderId="3" xfId="0" applyBorder="1" applyAlignment="1">
      <alignment wrapText="1"/>
    </xf>
    <xf numFmtId="0" fontId="69" fillId="61" borderId="8" xfId="0" applyFont="1" applyFill="1" applyBorder="1" applyAlignment="1">
      <alignment horizontal="center" vertical="center" wrapText="1"/>
    </xf>
    <xf numFmtId="166" fontId="45" fillId="35" borderId="205" xfId="3" applyNumberFormat="1" applyFont="1" applyFill="1" applyBorder="1" applyAlignment="1">
      <alignment horizontal="center" vertical="center"/>
    </xf>
    <xf numFmtId="166" fontId="45" fillId="35" borderId="206" xfId="3" applyNumberFormat="1" applyFont="1" applyFill="1" applyBorder="1" applyAlignment="1">
      <alignment horizontal="center" vertical="center"/>
    </xf>
    <xf numFmtId="0" fontId="10" fillId="4" borderId="108" xfId="0" applyFont="1" applyFill="1" applyBorder="1" applyAlignment="1">
      <alignment horizontal="left" vertical="top" wrapText="1"/>
    </xf>
    <xf numFmtId="0" fontId="10" fillId="4" borderId="0" xfId="0" applyFont="1" applyFill="1" applyBorder="1" applyAlignment="1">
      <alignment horizontal="left" vertical="top" wrapText="1"/>
    </xf>
    <xf numFmtId="0" fontId="10" fillId="4" borderId="91" xfId="0" applyFont="1" applyFill="1" applyBorder="1" applyAlignment="1">
      <alignment horizontal="left" vertical="top" wrapText="1"/>
    </xf>
    <xf numFmtId="0" fontId="69" fillId="76" borderId="36" xfId="0" applyFont="1" applyFill="1" applyBorder="1" applyAlignment="1">
      <alignment horizontal="left" vertical="top" wrapText="1"/>
    </xf>
    <xf numFmtId="0" fontId="69" fillId="76" borderId="2" xfId="0" applyFont="1" applyFill="1" applyBorder="1" applyAlignment="1">
      <alignment horizontal="left" vertical="top" wrapText="1"/>
    </xf>
    <xf numFmtId="0" fontId="69" fillId="76" borderId="14" xfId="0" applyFont="1" applyFill="1" applyBorder="1" applyAlignment="1">
      <alignment horizontal="left" vertical="top" wrapText="1"/>
    </xf>
    <xf numFmtId="0" fontId="10" fillId="4" borderId="34" xfId="0" applyFont="1" applyFill="1" applyBorder="1" applyAlignment="1">
      <alignment horizontal="left" vertical="top" wrapText="1"/>
    </xf>
    <xf numFmtId="0" fontId="0" fillId="4" borderId="19" xfId="0" applyFill="1" applyBorder="1" applyAlignment="1">
      <alignment horizontal="left" vertical="top" wrapText="1"/>
    </xf>
    <xf numFmtId="0" fontId="0" fillId="4" borderId="82" xfId="0" applyFill="1" applyBorder="1" applyAlignment="1">
      <alignment horizontal="left" vertical="top" wrapText="1"/>
    </xf>
    <xf numFmtId="0" fontId="0" fillId="4" borderId="90" xfId="0" applyFill="1" applyBorder="1" applyAlignment="1">
      <alignment horizontal="left" vertical="top" wrapText="1"/>
    </xf>
    <xf numFmtId="0" fontId="0" fillId="4" borderId="135" xfId="0" applyFill="1" applyBorder="1" applyAlignment="1">
      <alignment horizontal="left" vertical="top" wrapText="1"/>
    </xf>
    <xf numFmtId="0" fontId="0" fillId="4" borderId="142" xfId="0" applyFill="1" applyBorder="1" applyAlignment="1">
      <alignment horizontal="left" vertical="top" wrapText="1"/>
    </xf>
    <xf numFmtId="0" fontId="10" fillId="4" borderId="94" xfId="0" applyFont="1" applyFill="1" applyBorder="1" applyAlignment="1">
      <alignment horizontal="left" vertical="top" wrapText="1"/>
    </xf>
    <xf numFmtId="0" fontId="0" fillId="4" borderId="51" xfId="0" applyFill="1" applyBorder="1" applyAlignment="1">
      <alignment horizontal="left" vertical="top" wrapText="1"/>
    </xf>
    <xf numFmtId="0" fontId="0" fillId="4" borderId="52" xfId="0" applyFill="1" applyBorder="1" applyAlignment="1">
      <alignment horizontal="left" vertical="top" wrapText="1"/>
    </xf>
    <xf numFmtId="0" fontId="10" fillId="4" borderId="90" xfId="0" applyFont="1" applyFill="1" applyBorder="1" applyAlignment="1">
      <alignment horizontal="left" vertical="top" wrapText="1"/>
    </xf>
    <xf numFmtId="0" fontId="10" fillId="4" borderId="135" xfId="0" applyFont="1" applyFill="1" applyBorder="1" applyAlignment="1">
      <alignment horizontal="left" vertical="top" wrapText="1"/>
    </xf>
    <xf numFmtId="0" fontId="10" fillId="4" borderId="142" xfId="0" applyFont="1" applyFill="1" applyBorder="1" applyAlignment="1">
      <alignment horizontal="left" vertical="top" wrapText="1"/>
    </xf>
    <xf numFmtId="0" fontId="70" fillId="61"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wrapText="1"/>
    </xf>
    <xf numFmtId="0" fontId="0" fillId="0" borderId="14" xfId="0" applyBorder="1" applyAlignment="1">
      <alignment wrapText="1"/>
    </xf>
    <xf numFmtId="0" fontId="10" fillId="0" borderId="1" xfId="0" applyFont="1" applyFill="1" applyBorder="1" applyAlignment="1">
      <alignment horizontal="left" vertical="top" wrapText="1"/>
    </xf>
    <xf numFmtId="0" fontId="10" fillId="0" borderId="2" xfId="0" applyFont="1" applyFill="1" applyBorder="1" applyAlignment="1">
      <alignment horizontal="left" vertical="top" wrapText="1"/>
    </xf>
    <xf numFmtId="0" fontId="0" fillId="0" borderId="14" xfId="0" applyFill="1" applyBorder="1" applyAlignment="1">
      <alignment wrapText="1"/>
    </xf>
    <xf numFmtId="0" fontId="10" fillId="0" borderId="4" xfId="0" applyFont="1" applyFill="1" applyBorder="1" applyAlignment="1">
      <alignment horizontal="left" vertical="top" wrapText="1"/>
    </xf>
    <xf numFmtId="0" fontId="10" fillId="0" borderId="17" xfId="0" applyFont="1" applyFill="1" applyBorder="1" applyAlignment="1">
      <alignment horizontal="left" vertical="top" wrapText="1"/>
    </xf>
    <xf numFmtId="0" fontId="93" fillId="4" borderId="1" xfId="0" applyNumberFormat="1" applyFont="1" applyFill="1" applyBorder="1" applyAlignment="1">
      <alignment horizontal="center" vertical="center" wrapText="1"/>
    </xf>
    <xf numFmtId="0" fontId="93" fillId="4" borderId="2" xfId="0" applyNumberFormat="1" applyFont="1" applyFill="1" applyBorder="1" applyAlignment="1">
      <alignment horizontal="center" vertical="center" wrapText="1"/>
    </xf>
    <xf numFmtId="0" fontId="93" fillId="4" borderId="14" xfId="0" applyNumberFormat="1" applyFont="1" applyFill="1" applyBorder="1" applyAlignment="1">
      <alignment horizontal="center" vertical="center" wrapText="1"/>
    </xf>
    <xf numFmtId="0" fontId="70" fillId="74" borderId="1" xfId="0" applyFont="1" applyFill="1" applyBorder="1" applyAlignment="1">
      <alignment horizontal="center" vertical="center" wrapText="1"/>
    </xf>
    <xf numFmtId="0" fontId="70" fillId="74" borderId="2" xfId="0" applyFont="1" applyFill="1" applyBorder="1" applyAlignment="1">
      <alignment horizontal="center" vertical="center" wrapText="1"/>
    </xf>
    <xf numFmtId="0" fontId="70" fillId="74" borderId="14" xfId="0" applyFont="1" applyFill="1" applyBorder="1" applyAlignment="1">
      <alignment horizontal="center" vertical="center" wrapText="1"/>
    </xf>
    <xf numFmtId="0" fontId="74" fillId="69" borderId="1" xfId="0" applyFont="1" applyFill="1" applyBorder="1" applyAlignment="1">
      <alignment horizontal="center" vertical="center" wrapText="1"/>
    </xf>
    <xf numFmtId="0" fontId="74" fillId="69" borderId="2" xfId="0" applyFont="1" applyFill="1" applyBorder="1" applyAlignment="1">
      <alignment horizontal="center" vertical="center" wrapText="1"/>
    </xf>
    <xf numFmtId="0" fontId="74" fillId="69" borderId="14" xfId="0" applyFont="1" applyFill="1" applyBorder="1" applyAlignment="1">
      <alignment horizontal="center" vertical="center" wrapText="1"/>
    </xf>
    <xf numFmtId="0" fontId="28" fillId="69" borderId="2" xfId="0" applyFont="1" applyFill="1" applyBorder="1" applyAlignment="1">
      <alignment horizontal="center" vertical="center" wrapText="1"/>
    </xf>
    <xf numFmtId="0" fontId="10" fillId="0" borderId="5" xfId="0" applyFont="1" applyFill="1" applyBorder="1" applyAlignment="1">
      <alignment horizontal="left" vertical="top" wrapText="1"/>
    </xf>
    <xf numFmtId="0" fontId="70" fillId="61" borderId="9" xfId="0" applyFont="1" applyFill="1" applyBorder="1" applyAlignment="1">
      <alignment horizontal="left" vertical="center" wrapText="1"/>
    </xf>
    <xf numFmtId="0" fontId="0" fillId="0" borderId="10" xfId="0" applyBorder="1" applyAlignment="1">
      <alignment wrapText="1"/>
    </xf>
    <xf numFmtId="0" fontId="13" fillId="66" borderId="1" xfId="0" applyFont="1" applyFill="1" applyBorder="1" applyAlignment="1">
      <alignment horizontal="left" vertical="top" wrapText="1"/>
    </xf>
    <xf numFmtId="0" fontId="13" fillId="66" borderId="2" xfId="0" applyFont="1" applyFill="1" applyBorder="1" applyAlignment="1">
      <alignment horizontal="left" vertical="top" wrapText="1"/>
    </xf>
    <xf numFmtId="0" fontId="13" fillId="66" borderId="14" xfId="0" applyFont="1" applyFill="1" applyBorder="1" applyAlignment="1">
      <alignment horizontal="left" vertical="top" wrapText="1"/>
    </xf>
    <xf numFmtId="0" fontId="70" fillId="61" borderId="4" xfId="0" applyFont="1" applyFill="1" applyBorder="1" applyAlignment="1">
      <alignment horizontal="left" vertical="center" wrapText="1"/>
    </xf>
    <xf numFmtId="0" fontId="0" fillId="0" borderId="17" xfId="0" applyBorder="1" applyAlignment="1">
      <alignment wrapText="1"/>
    </xf>
    <xf numFmtId="0" fontId="0" fillId="0" borderId="5" xfId="0" applyBorder="1" applyAlignment="1">
      <alignment wrapText="1"/>
    </xf>
    <xf numFmtId="0" fontId="10" fillId="0" borderId="20" xfId="0" applyFont="1" applyFill="1" applyBorder="1" applyAlignment="1">
      <alignment horizontal="left" vertical="top" wrapText="1"/>
    </xf>
    <xf numFmtId="0" fontId="10" fillId="0" borderId="24" xfId="0" applyFont="1" applyFill="1" applyBorder="1" applyAlignment="1">
      <alignment horizontal="left" vertical="top" wrapText="1"/>
    </xf>
    <xf numFmtId="0" fontId="70" fillId="61" borderId="1" xfId="0" applyFont="1" applyFill="1" applyBorder="1" applyAlignment="1">
      <alignment horizontal="left" vertical="top" wrapText="1"/>
    </xf>
    <xf numFmtId="0" fontId="70" fillId="61" borderId="2" xfId="0" applyFont="1" applyFill="1" applyBorder="1" applyAlignment="1">
      <alignment horizontal="left" vertical="top" wrapText="1"/>
    </xf>
    <xf numFmtId="0" fontId="70" fillId="61" borderId="14" xfId="0" applyFont="1" applyFill="1" applyBorder="1" applyAlignment="1">
      <alignment horizontal="left" vertical="top" wrapText="1"/>
    </xf>
    <xf numFmtId="0" fontId="17" fillId="0" borderId="2" xfId="0" applyFont="1" applyBorder="1" applyAlignment="1">
      <alignment horizontal="left" vertical="top" wrapText="1"/>
    </xf>
    <xf numFmtId="0" fontId="10" fillId="36" borderId="1" xfId="0" applyFont="1" applyFill="1" applyBorder="1" applyAlignment="1">
      <alignment horizontal="left" vertical="top" wrapText="1"/>
    </xf>
    <xf numFmtId="0" fontId="10" fillId="36" borderId="14" xfId="0" applyFont="1" applyFill="1" applyBorder="1" applyAlignment="1">
      <alignment horizontal="left" vertical="top" wrapText="1"/>
    </xf>
    <xf numFmtId="0" fontId="70" fillId="74" borderId="1" xfId="0" applyFont="1" applyFill="1" applyBorder="1" applyAlignment="1">
      <alignment horizontal="center" wrapText="1"/>
    </xf>
    <xf numFmtId="0" fontId="70" fillId="74" borderId="2" xfId="0" applyFont="1" applyFill="1" applyBorder="1" applyAlignment="1">
      <alignment horizontal="center" wrapText="1"/>
    </xf>
    <xf numFmtId="0" fontId="70" fillId="74" borderId="14" xfId="0" applyFont="1" applyFill="1" applyBorder="1" applyAlignment="1">
      <alignment horizontal="center" wrapText="1"/>
    </xf>
    <xf numFmtId="0" fontId="10" fillId="4" borderId="1" xfId="0" applyFont="1" applyFill="1" applyBorder="1" applyAlignment="1">
      <alignment horizontal="left" vertical="top" wrapText="1"/>
    </xf>
    <xf numFmtId="0" fontId="10" fillId="4" borderId="35"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67" xfId="0" applyFont="1" applyFill="1" applyBorder="1" applyAlignment="1">
      <alignment horizontal="left" vertical="top" wrapText="1"/>
    </xf>
    <xf numFmtId="0" fontId="10" fillId="0" borderId="35" xfId="0" applyFont="1" applyFill="1" applyBorder="1" applyAlignment="1">
      <alignment horizontal="left" vertical="top" wrapText="1"/>
    </xf>
    <xf numFmtId="0" fontId="70" fillId="61" borderId="1" xfId="0" applyFont="1" applyFill="1" applyBorder="1" applyAlignment="1">
      <alignment horizontal="center" vertical="top" wrapText="1"/>
    </xf>
    <xf numFmtId="0" fontId="70" fillId="61" borderId="14" xfId="0" applyFont="1" applyFill="1" applyBorder="1" applyAlignment="1">
      <alignment horizontal="center" vertical="top" wrapText="1"/>
    </xf>
    <xf numFmtId="0" fontId="10" fillId="0" borderId="48" xfId="0" applyFont="1" applyFill="1" applyBorder="1" applyAlignment="1">
      <alignment horizontal="left" vertical="top" wrapText="1"/>
    </xf>
    <xf numFmtId="0" fontId="10" fillId="0" borderId="49"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left" vertical="top" wrapText="1"/>
    </xf>
    <xf numFmtId="0" fontId="0" fillId="0" borderId="14" xfId="0" applyBorder="1" applyAlignment="1">
      <alignment horizontal="left" vertical="top" wrapText="1"/>
    </xf>
    <xf numFmtId="0" fontId="10" fillId="0" borderId="9" xfId="0" applyFont="1" applyFill="1" applyBorder="1" applyAlignment="1">
      <alignment horizontal="left" vertical="top" wrapText="1"/>
    </xf>
    <xf numFmtId="0" fontId="10" fillId="0" borderId="16" xfId="0" applyFont="1" applyFill="1" applyBorder="1" applyAlignment="1">
      <alignment horizontal="left" vertical="top" wrapText="1"/>
    </xf>
    <xf numFmtId="0" fontId="70" fillId="61" borderId="1" xfId="0" applyFont="1" applyFill="1" applyBorder="1" applyAlignment="1">
      <alignment wrapText="1"/>
    </xf>
    <xf numFmtId="0" fontId="17" fillId="0" borderId="14" xfId="0" applyFont="1" applyBorder="1" applyAlignment="1">
      <alignment horizontal="left" vertical="top" wrapText="1"/>
    </xf>
    <xf numFmtId="0" fontId="0" fillId="0" borderId="0" xfId="0" applyFont="1" applyFill="1" applyBorder="1" applyAlignment="1"/>
    <xf numFmtId="0" fontId="98" fillId="78" borderId="1" xfId="0" applyFont="1" applyFill="1" applyBorder="1" applyAlignment="1">
      <alignment horizontal="center" wrapText="1"/>
    </xf>
    <xf numFmtId="0" fontId="98" fillId="78" borderId="167" xfId="0" applyFont="1" applyFill="1" applyBorder="1" applyAlignment="1">
      <alignment horizontal="center" wrapText="1"/>
    </xf>
    <xf numFmtId="0" fontId="99" fillId="79" borderId="1" xfId="0" applyFont="1" applyFill="1" applyBorder="1" applyAlignment="1">
      <alignment wrapText="1"/>
    </xf>
    <xf numFmtId="0" fontId="99" fillId="79" borderId="167" xfId="0" applyFont="1" applyFill="1" applyBorder="1" applyAlignment="1">
      <alignment wrapText="1"/>
    </xf>
    <xf numFmtId="0" fontId="98" fillId="78" borderId="2" xfId="0" applyFont="1" applyFill="1" applyBorder="1" applyAlignment="1">
      <alignment horizontal="center" wrapText="1"/>
    </xf>
    <xf numFmtId="0" fontId="16" fillId="78" borderId="179" xfId="0" applyFont="1" applyFill="1" applyBorder="1" applyAlignment="1">
      <alignment wrapText="1"/>
    </xf>
    <xf numFmtId="0" fontId="16" fillId="78" borderId="51" xfId="0" applyFont="1" applyFill="1" applyBorder="1" applyAlignment="1">
      <alignment wrapText="1"/>
    </xf>
    <xf numFmtId="0" fontId="16" fillId="78" borderId="171" xfId="0" applyFont="1" applyFill="1" applyBorder="1" applyAlignment="1">
      <alignment wrapText="1"/>
    </xf>
    <xf numFmtId="0" fontId="10" fillId="0" borderId="169" xfId="0" applyFont="1" applyBorder="1" applyAlignment="1">
      <alignment horizontal="left" wrapText="1"/>
    </xf>
    <xf numFmtId="0" fontId="10" fillId="0" borderId="0" xfId="0" applyFont="1" applyBorder="1" applyAlignment="1">
      <alignment horizontal="left"/>
    </xf>
    <xf numFmtId="0" fontId="10" fillId="0" borderId="170" xfId="0" applyFont="1" applyBorder="1" applyAlignment="1">
      <alignment horizontal="left"/>
    </xf>
    <xf numFmtId="0" fontId="10" fillId="0" borderId="180" xfId="0" applyFont="1" applyBorder="1" applyAlignment="1">
      <alignment horizontal="left"/>
    </xf>
    <xf numFmtId="0" fontId="10" fillId="0" borderId="181" xfId="0" applyFont="1" applyBorder="1" applyAlignment="1">
      <alignment horizontal="left"/>
    </xf>
    <xf numFmtId="0" fontId="10" fillId="0" borderId="178" xfId="0" applyFont="1" applyBorder="1" applyAlignment="1">
      <alignment horizontal="left"/>
    </xf>
    <xf numFmtId="0" fontId="18" fillId="35" borderId="168" xfId="2" applyFill="1" applyBorder="1" applyAlignment="1" applyProtection="1">
      <alignment horizontal="center" wrapText="1"/>
    </xf>
    <xf numFmtId="0" fontId="18" fillId="35" borderId="170" xfId="2" applyFill="1" applyBorder="1" applyAlignment="1" applyProtection="1">
      <alignment horizontal="center" wrapText="1"/>
    </xf>
    <xf numFmtId="0" fontId="18" fillId="35" borderId="178" xfId="2" applyFill="1" applyBorder="1" applyAlignment="1" applyProtection="1">
      <alignment horizontal="center" wrapText="1"/>
    </xf>
    <xf numFmtId="0" fontId="87" fillId="0" borderId="185" xfId="0" applyFont="1" applyFill="1" applyBorder="1" applyAlignment="1">
      <alignment wrapText="1"/>
    </xf>
    <xf numFmtId="0" fontId="87" fillId="0" borderId="186" xfId="0" applyFont="1" applyFill="1" applyBorder="1" applyAlignment="1">
      <alignment wrapText="1"/>
    </xf>
    <xf numFmtId="0" fontId="87" fillId="0" borderId="187" xfId="0" applyFont="1" applyFill="1" applyBorder="1" applyAlignment="1">
      <alignment wrapText="1"/>
    </xf>
    <xf numFmtId="0" fontId="28" fillId="0" borderId="148" xfId="10" applyFont="1" applyBorder="1" applyAlignment="1">
      <alignment horizontal="center" vertical="center"/>
    </xf>
    <xf numFmtId="0" fontId="28" fillId="0" borderId="144" xfId="10" applyFont="1" applyBorder="1" applyAlignment="1">
      <alignment horizontal="center" vertical="center"/>
    </xf>
    <xf numFmtId="0" fontId="28" fillId="0" borderId="145" xfId="10" applyFont="1" applyBorder="1" applyAlignment="1">
      <alignment horizontal="center" vertical="center"/>
    </xf>
    <xf numFmtId="0" fontId="94" fillId="69" borderId="1" xfId="2" applyFont="1" applyFill="1" applyBorder="1" applyAlignment="1" applyProtection="1">
      <alignment horizontal="left" vertical="center" wrapText="1"/>
    </xf>
    <xf numFmtId="0" fontId="94" fillId="69" borderId="2" xfId="2" applyFont="1" applyFill="1" applyBorder="1" applyAlignment="1" applyProtection="1">
      <alignment horizontal="left" vertical="center" wrapText="1"/>
    </xf>
    <xf numFmtId="0" fontId="94" fillId="69" borderId="14" xfId="2" applyFont="1" applyFill="1" applyBorder="1" applyAlignment="1" applyProtection="1">
      <alignment horizontal="left" vertical="center" wrapText="1"/>
    </xf>
    <xf numFmtId="0" fontId="28" fillId="0" borderId="93" xfId="10" applyFont="1" applyBorder="1" applyAlignment="1">
      <alignment horizontal="center" vertical="center"/>
    </xf>
    <xf numFmtId="0" fontId="28" fillId="0" borderId="140" xfId="10" applyFont="1" applyBorder="1" applyAlignment="1">
      <alignment horizontal="center" vertical="center"/>
    </xf>
    <xf numFmtId="0" fontId="28" fillId="0" borderId="121" xfId="10" applyFont="1" applyBorder="1" applyAlignment="1">
      <alignment horizontal="center" vertical="center"/>
    </xf>
    <xf numFmtId="0" fontId="94" fillId="69" borderId="4" xfId="2" applyFont="1" applyFill="1" applyBorder="1" applyAlignment="1" applyProtection="1">
      <alignment horizontal="left" vertical="center" wrapText="1"/>
    </xf>
    <xf numFmtId="0" fontId="94" fillId="69" borderId="17" xfId="2" applyFont="1" applyFill="1" applyBorder="1" applyAlignment="1" applyProtection="1">
      <alignment horizontal="left" vertical="center" wrapText="1"/>
    </xf>
    <xf numFmtId="0" fontId="94" fillId="69" borderId="5" xfId="2" applyFont="1" applyFill="1" applyBorder="1" applyAlignment="1" applyProtection="1">
      <alignment horizontal="left" vertical="center" wrapText="1"/>
    </xf>
    <xf numFmtId="0" fontId="10" fillId="4" borderId="11" xfId="0" applyFont="1" applyFill="1" applyBorder="1" applyAlignment="1">
      <alignment horizontal="center" vertical="center" wrapText="1"/>
    </xf>
    <xf numFmtId="0" fontId="10" fillId="4" borderId="165" xfId="0" applyFont="1" applyFill="1" applyBorder="1" applyAlignment="1">
      <alignment horizontal="center" vertical="center" wrapText="1"/>
    </xf>
    <xf numFmtId="0" fontId="69" fillId="61" borderId="13" xfId="0" applyFont="1" applyFill="1" applyBorder="1" applyAlignment="1">
      <alignment horizontal="center" vertical="center" wrapText="1"/>
    </xf>
    <xf numFmtId="0" fontId="69" fillId="61" borderId="95" xfId="0" applyFont="1" applyFill="1" applyBorder="1" applyAlignment="1">
      <alignment horizontal="center" vertical="center" wrapText="1"/>
    </xf>
    <xf numFmtId="0" fontId="28" fillId="0" borderId="146" xfId="10" applyFont="1" applyBorder="1" applyAlignment="1">
      <alignment horizontal="center" vertical="center"/>
    </xf>
    <xf numFmtId="0" fontId="28" fillId="0" borderId="147" xfId="10" applyFont="1" applyBorder="1" applyAlignment="1">
      <alignment horizontal="center" vertical="center"/>
    </xf>
    <xf numFmtId="0" fontId="28" fillId="0" borderId="151" xfId="10" applyFont="1" applyBorder="1" applyAlignment="1">
      <alignment horizontal="center" vertical="center"/>
    </xf>
    <xf numFmtId="0" fontId="69" fillId="61" borderId="3" xfId="110" applyFont="1" applyFill="1" applyBorder="1" applyAlignment="1">
      <alignment horizontal="center" vertical="center"/>
    </xf>
    <xf numFmtId="0" fontId="69" fillId="61" borderId="0" xfId="110" applyFont="1" applyFill="1" applyBorder="1" applyAlignment="1">
      <alignment horizontal="center" vertical="center"/>
    </xf>
    <xf numFmtId="0" fontId="69" fillId="61" borderId="133" xfId="110" applyFont="1" applyFill="1" applyBorder="1" applyAlignment="1">
      <alignment horizontal="center" vertical="center"/>
    </xf>
    <xf numFmtId="0" fontId="28" fillId="0" borderId="149" xfId="10" applyFont="1" applyBorder="1" applyAlignment="1">
      <alignment horizontal="center" vertical="center"/>
    </xf>
    <xf numFmtId="0" fontId="28" fillId="0" borderId="150" xfId="10" applyFont="1" applyBorder="1" applyAlignment="1">
      <alignment horizontal="center" vertical="center"/>
    </xf>
    <xf numFmtId="0" fontId="28" fillId="0" borderId="152" xfId="10" applyFont="1" applyBorder="1" applyAlignment="1">
      <alignment horizontal="center" vertical="center"/>
    </xf>
    <xf numFmtId="0" fontId="69" fillId="61" borderId="34" xfId="0" applyFont="1" applyFill="1" applyBorder="1" applyAlignment="1">
      <alignment horizontal="center" vertical="center" wrapText="1"/>
    </xf>
    <xf numFmtId="0" fontId="69" fillId="61" borderId="67" xfId="0" applyFont="1" applyFill="1" applyBorder="1" applyAlignment="1">
      <alignment horizontal="center" vertical="center" wrapText="1"/>
    </xf>
    <xf numFmtId="3" fontId="0" fillId="39" borderId="116" xfId="0" applyNumberFormat="1" applyFill="1" applyBorder="1" applyAlignment="1">
      <alignment horizontal="center" vertical="center"/>
    </xf>
    <xf numFmtId="3" fontId="0" fillId="39" borderId="120" xfId="0" applyNumberFormat="1" applyFill="1" applyBorder="1" applyAlignment="1">
      <alignment horizontal="center" vertical="center"/>
    </xf>
    <xf numFmtId="0" fontId="70" fillId="60" borderId="1" xfId="19" applyFont="1" applyFill="1" applyBorder="1" applyAlignment="1">
      <alignment wrapText="1"/>
    </xf>
    <xf numFmtId="0" fontId="28" fillId="35" borderId="64" xfId="19" applyFont="1" applyFill="1" applyBorder="1" applyAlignment="1">
      <alignment horizontal="left" wrapText="1"/>
    </xf>
    <xf numFmtId="0" fontId="28" fillId="35" borderId="0" xfId="19" applyFont="1" applyFill="1" applyBorder="1" applyAlignment="1">
      <alignment horizontal="left" wrapText="1"/>
    </xf>
    <xf numFmtId="0" fontId="70" fillId="60" borderId="1" xfId="19" applyFont="1" applyFill="1" applyBorder="1" applyAlignment="1">
      <alignment horizontal="left" wrapText="1"/>
    </xf>
    <xf numFmtId="0" fontId="70" fillId="60" borderId="2" xfId="19" applyFont="1" applyFill="1" applyBorder="1" applyAlignment="1">
      <alignment horizontal="left" wrapText="1"/>
    </xf>
    <xf numFmtId="0" fontId="70" fillId="60" borderId="14" xfId="19" applyFont="1" applyFill="1" applyBorder="1" applyAlignment="1">
      <alignment horizontal="left" wrapText="1"/>
    </xf>
    <xf numFmtId="0" fontId="45" fillId="38" borderId="66" xfId="19" applyFont="1" applyFill="1" applyBorder="1" applyAlignment="1">
      <alignment horizontal="center" vertical="center" wrapText="1"/>
    </xf>
    <xf numFmtId="0" fontId="13" fillId="39" borderId="23" xfId="0" applyFont="1" applyFill="1" applyBorder="1" applyAlignment="1">
      <alignment horizontal="center" vertical="center" wrapText="1"/>
    </xf>
    <xf numFmtId="0" fontId="45" fillId="40" borderId="66" xfId="19" applyFont="1" applyFill="1" applyBorder="1" applyAlignment="1">
      <alignment horizontal="center" vertical="center" wrapText="1"/>
    </xf>
    <xf numFmtId="0" fontId="45" fillId="40" borderId="23" xfId="19" applyFont="1" applyFill="1" applyBorder="1" applyAlignment="1">
      <alignment horizontal="center" vertical="center" wrapText="1"/>
    </xf>
    <xf numFmtId="0" fontId="45" fillId="36" borderId="6" xfId="0" applyFont="1" applyFill="1" applyBorder="1" applyAlignment="1">
      <alignment horizontal="center" vertical="center" wrapText="1"/>
    </xf>
    <xf numFmtId="0" fontId="45" fillId="41" borderId="66" xfId="19" applyFont="1" applyFill="1" applyBorder="1" applyAlignment="1">
      <alignment horizontal="center" vertical="center" wrapText="1"/>
    </xf>
    <xf numFmtId="0" fontId="45" fillId="41" borderId="23" xfId="19" applyFont="1" applyFill="1" applyBorder="1" applyAlignment="1">
      <alignment horizontal="center" vertical="center" wrapText="1"/>
    </xf>
    <xf numFmtId="0" fontId="45" fillId="37" borderId="23" xfId="0" applyFont="1" applyFill="1" applyBorder="1" applyAlignment="1">
      <alignment horizontal="center" vertical="center" wrapText="1"/>
    </xf>
    <xf numFmtId="0" fontId="45" fillId="37" borderId="6" xfId="0" applyFont="1" applyFill="1" applyBorder="1" applyAlignment="1">
      <alignment horizontal="center" vertical="center" wrapText="1"/>
    </xf>
    <xf numFmtId="0" fontId="45" fillId="35" borderId="70" xfId="19" applyFont="1" applyFill="1" applyBorder="1" applyAlignment="1">
      <alignment horizontal="right" wrapText="1"/>
    </xf>
    <xf numFmtId="0" fontId="45" fillId="0" borderId="166" xfId="0" applyFont="1" applyBorder="1" applyAlignment="1">
      <alignment horizontal="right" wrapText="1"/>
    </xf>
    <xf numFmtId="0" fontId="69" fillId="61" borderId="24" xfId="0" applyFont="1" applyFill="1" applyBorder="1" applyAlignment="1">
      <alignment horizontal="center" vertical="center" wrapText="1"/>
    </xf>
    <xf numFmtId="0" fontId="69" fillId="61" borderId="49" xfId="0" applyFont="1" applyFill="1" applyBorder="1" applyAlignment="1">
      <alignment horizontal="center" vertical="center" wrapText="1"/>
    </xf>
    <xf numFmtId="0" fontId="69" fillId="61" borderId="21" xfId="0" applyFont="1" applyFill="1" applyBorder="1" applyAlignment="1">
      <alignment horizontal="center" vertical="center" wrapText="1"/>
    </xf>
    <xf numFmtId="0" fontId="69" fillId="61" borderId="50" xfId="0" applyFont="1" applyFill="1" applyBorder="1" applyAlignment="1">
      <alignment horizontal="center" vertical="center" wrapText="1"/>
    </xf>
    <xf numFmtId="0" fontId="10" fillId="39" borderId="24" xfId="19" applyFont="1" applyFill="1" applyBorder="1" applyAlignment="1">
      <alignment horizontal="center" vertical="center" wrapText="1"/>
    </xf>
    <xf numFmtId="0" fontId="10" fillId="39" borderId="22" xfId="19" applyFont="1" applyFill="1" applyBorder="1" applyAlignment="1">
      <alignment horizontal="center" vertical="center" wrapText="1"/>
    </xf>
    <xf numFmtId="0" fontId="45" fillId="40" borderId="113" xfId="19" applyFont="1" applyFill="1" applyBorder="1" applyAlignment="1">
      <alignment horizontal="center" vertical="center"/>
    </xf>
    <xf numFmtId="0" fontId="45" fillId="40" borderId="112" xfId="19" applyFont="1" applyFill="1" applyBorder="1" applyAlignment="1">
      <alignment horizontal="center" vertical="center"/>
    </xf>
    <xf numFmtId="0" fontId="13" fillId="35" borderId="11" xfId="19" applyFont="1" applyFill="1" applyBorder="1" applyAlignment="1">
      <alignment horizontal="center" vertical="center"/>
    </xf>
    <xf numFmtId="0" fontId="13" fillId="35" borderId="165" xfId="19" applyFont="1" applyFill="1" applyBorder="1" applyAlignment="1">
      <alignment horizontal="center" vertical="center"/>
    </xf>
    <xf numFmtId="0" fontId="10" fillId="39" borderId="118" xfId="19" applyFont="1" applyFill="1" applyBorder="1" applyAlignment="1">
      <alignment horizontal="center" vertical="center" wrapText="1"/>
    </xf>
    <xf numFmtId="0" fontId="10" fillId="0" borderId="7" xfId="0" applyFont="1" applyBorder="1" applyAlignment="1">
      <alignment horizontal="center" vertical="center" wrapText="1"/>
    </xf>
    <xf numFmtId="0" fontId="13" fillId="38" borderId="20" xfId="19" applyFont="1" applyFill="1" applyBorder="1" applyAlignment="1">
      <alignment horizontal="center" vertical="center" wrapText="1"/>
    </xf>
    <xf numFmtId="0" fontId="10" fillId="0" borderId="23" xfId="0" applyFont="1" applyBorder="1" applyAlignment="1">
      <alignment horizontal="center" vertical="center" wrapText="1"/>
    </xf>
    <xf numFmtId="0" fontId="13" fillId="35" borderId="1" xfId="19" applyFont="1" applyFill="1" applyBorder="1" applyAlignment="1">
      <alignment horizontal="right" wrapText="1"/>
    </xf>
    <xf numFmtId="0" fontId="13" fillId="35" borderId="2" xfId="19" applyFont="1" applyFill="1" applyBorder="1" applyAlignment="1">
      <alignment horizontal="right" wrapText="1"/>
    </xf>
    <xf numFmtId="0" fontId="0" fillId="0" borderId="35" xfId="0" applyBorder="1" applyAlignment="1">
      <alignment horizontal="right" wrapText="1"/>
    </xf>
    <xf numFmtId="0" fontId="19" fillId="0" borderId="70" xfId="19" applyFont="1" applyFill="1" applyBorder="1" applyAlignment="1">
      <alignment horizontal="left" vertical="top" wrapText="1"/>
    </xf>
    <xf numFmtId="0" fontId="0" fillId="0" borderId="166" xfId="0" applyBorder="1" applyAlignment="1">
      <alignment horizontal="left" vertical="top" wrapText="1"/>
    </xf>
    <xf numFmtId="0" fontId="0" fillId="0" borderId="119" xfId="0" applyBorder="1" applyAlignment="1">
      <alignment horizontal="left" vertical="top" wrapText="1"/>
    </xf>
    <xf numFmtId="0" fontId="10" fillId="39" borderId="20" xfId="19" applyFont="1" applyFill="1" applyBorder="1" applyAlignment="1">
      <alignment horizontal="center" vertical="center" wrapText="1"/>
    </xf>
    <xf numFmtId="0" fontId="0" fillId="39" borderId="23" xfId="0" applyFill="1" applyBorder="1" applyAlignment="1">
      <alignment horizontal="center" vertical="center" wrapText="1"/>
    </xf>
    <xf numFmtId="0" fontId="0" fillId="39" borderId="48" xfId="0" applyFill="1" applyBorder="1" applyAlignment="1">
      <alignment horizontal="center" vertical="center" wrapText="1"/>
    </xf>
    <xf numFmtId="0" fontId="51" fillId="61" borderId="2" xfId="0" applyFont="1" applyFill="1" applyBorder="1" applyAlignment="1">
      <alignment wrapText="1"/>
    </xf>
    <xf numFmtId="0" fontId="51" fillId="61" borderId="14" xfId="0" applyFont="1" applyFill="1" applyBorder="1" applyAlignment="1">
      <alignment wrapText="1"/>
    </xf>
    <xf numFmtId="0" fontId="74" fillId="0" borderId="13" xfId="19" applyFont="1" applyFill="1" applyBorder="1" applyAlignment="1">
      <alignment horizontal="center" vertical="center" wrapText="1"/>
    </xf>
    <xf numFmtId="0" fontId="74" fillId="0" borderId="64" xfId="19" applyFont="1" applyFill="1" applyBorder="1" applyAlignment="1">
      <alignment horizontal="center" vertical="center" wrapText="1"/>
    </xf>
    <xf numFmtId="0" fontId="74" fillId="0" borderId="65" xfId="19" applyFont="1" applyFill="1" applyBorder="1" applyAlignment="1">
      <alignment horizontal="center" vertical="center" wrapText="1"/>
    </xf>
    <xf numFmtId="0" fontId="10" fillId="4" borderId="34" xfId="0" applyNumberFormat="1" applyFont="1" applyFill="1" applyBorder="1" applyAlignment="1">
      <alignment horizontal="center" vertical="top" wrapText="1"/>
    </xf>
    <xf numFmtId="0" fontId="10" fillId="4" borderId="19" xfId="0" applyNumberFormat="1" applyFont="1" applyFill="1" applyBorder="1" applyAlignment="1">
      <alignment horizontal="center" vertical="top" wrapText="1"/>
    </xf>
    <xf numFmtId="0" fontId="10" fillId="4" borderId="82" xfId="0" applyNumberFormat="1" applyFont="1" applyFill="1" applyBorder="1" applyAlignment="1">
      <alignment horizontal="center" vertical="top" wrapText="1"/>
    </xf>
    <xf numFmtId="0" fontId="10" fillId="4" borderId="108" xfId="0" applyNumberFormat="1" applyFont="1" applyFill="1" applyBorder="1" applyAlignment="1">
      <alignment horizontal="center" vertical="top" wrapText="1"/>
    </xf>
    <xf numFmtId="0" fontId="10" fillId="4" borderId="0" xfId="0" applyNumberFormat="1" applyFont="1" applyFill="1" applyBorder="1" applyAlignment="1">
      <alignment horizontal="center" vertical="top" wrapText="1"/>
    </xf>
    <xf numFmtId="0" fontId="10" fillId="4" borderId="91" xfId="0" applyNumberFormat="1" applyFont="1" applyFill="1" applyBorder="1" applyAlignment="1">
      <alignment horizontal="center" vertical="top" wrapText="1"/>
    </xf>
    <xf numFmtId="0" fontId="69" fillId="61" borderId="2" xfId="0" applyFont="1" applyFill="1" applyBorder="1" applyAlignment="1">
      <alignment wrapText="1"/>
    </xf>
    <xf numFmtId="0" fontId="69" fillId="61" borderId="14" xfId="0" applyFont="1" applyFill="1" applyBorder="1" applyAlignment="1">
      <alignment wrapText="1"/>
    </xf>
    <xf numFmtId="0" fontId="45" fillId="38" borderId="6" xfId="19" applyFont="1" applyFill="1" applyBorder="1" applyAlignment="1">
      <alignment horizontal="center" vertical="center"/>
    </xf>
    <xf numFmtId="0" fontId="45" fillId="38" borderId="7" xfId="19" applyFont="1" applyFill="1" applyBorder="1" applyAlignment="1">
      <alignment horizontal="center" vertical="center"/>
    </xf>
    <xf numFmtId="0" fontId="45" fillId="41" borderId="113" xfId="19" applyFont="1" applyFill="1" applyBorder="1" applyAlignment="1">
      <alignment horizontal="center" vertical="center"/>
    </xf>
    <xf numFmtId="0" fontId="45" fillId="41" borderId="112" xfId="19" applyFont="1" applyFill="1" applyBorder="1" applyAlignment="1">
      <alignment horizontal="center" vertical="center"/>
    </xf>
    <xf numFmtId="0" fontId="10" fillId="4" borderId="56" xfId="0" applyNumberFormat="1" applyFont="1" applyFill="1" applyBorder="1" applyAlignment="1">
      <alignment horizontal="left" vertical="top" wrapText="1"/>
    </xf>
    <xf numFmtId="0" fontId="10" fillId="0" borderId="51" xfId="0" applyFont="1" applyBorder="1" applyAlignment="1">
      <alignment horizontal="left" vertical="top" wrapText="1"/>
    </xf>
    <xf numFmtId="0" fontId="10" fillId="0" borderId="52" xfId="0" applyFont="1" applyBorder="1" applyAlignment="1">
      <alignment horizontal="left" vertical="top" wrapText="1"/>
    </xf>
    <xf numFmtId="0" fontId="70" fillId="60" borderId="13" xfId="19" applyFont="1" applyFill="1" applyBorder="1" applyAlignment="1">
      <alignment horizontal="left" wrapText="1"/>
    </xf>
    <xf numFmtId="0" fontId="70" fillId="60" borderId="64" xfId="19" applyFont="1" applyFill="1" applyBorder="1" applyAlignment="1">
      <alignment horizontal="left" wrapText="1"/>
    </xf>
    <xf numFmtId="0" fontId="70" fillId="60" borderId="65" xfId="19" applyFont="1" applyFill="1" applyBorder="1" applyAlignment="1">
      <alignment horizontal="left" wrapText="1"/>
    </xf>
    <xf numFmtId="0" fontId="69" fillId="60" borderId="4" xfId="19" applyFont="1" applyFill="1" applyBorder="1" applyAlignment="1">
      <alignment horizontal="center" vertical="center" wrapText="1"/>
    </xf>
    <xf numFmtId="0" fontId="69" fillId="60" borderId="17" xfId="19" applyFont="1" applyFill="1" applyBorder="1" applyAlignment="1">
      <alignment horizontal="center" vertical="center" wrapText="1"/>
    </xf>
    <xf numFmtId="0" fontId="70" fillId="61" borderId="56" xfId="0" applyFont="1" applyFill="1" applyBorder="1" applyAlignment="1">
      <alignment horizontal="left" vertical="top" wrapText="1"/>
    </xf>
    <xf numFmtId="0" fontId="51" fillId="61" borderId="51" xfId="0" applyFont="1" applyFill="1" applyBorder="1" applyAlignment="1">
      <alignment horizontal="left" vertical="top" wrapText="1"/>
    </xf>
    <xf numFmtId="0" fontId="51" fillId="61" borderId="52" xfId="0" applyFont="1" applyFill="1" applyBorder="1" applyAlignment="1">
      <alignment horizontal="left" vertical="top" wrapText="1"/>
    </xf>
    <xf numFmtId="0" fontId="10" fillId="0" borderId="166" xfId="0" applyFont="1" applyFill="1" applyBorder="1" applyAlignment="1">
      <alignment horizontal="center" vertical="center" wrapText="1"/>
    </xf>
    <xf numFmtId="0" fontId="0" fillId="0" borderId="166" xfId="0" applyBorder="1" applyAlignment="1">
      <alignment horizontal="center" wrapText="1"/>
    </xf>
    <xf numFmtId="0" fontId="0" fillId="0" borderId="119" xfId="0" applyBorder="1" applyAlignment="1">
      <alignment horizontal="center" wrapText="1"/>
    </xf>
    <xf numFmtId="0" fontId="70" fillId="73" borderId="13" xfId="19" applyFont="1" applyFill="1" applyBorder="1" applyAlignment="1">
      <alignment horizontal="left" wrapText="1"/>
    </xf>
    <xf numFmtId="0" fontId="70" fillId="73" borderId="64" xfId="19" applyFont="1" applyFill="1" applyBorder="1" applyAlignment="1">
      <alignment horizontal="left" wrapText="1"/>
    </xf>
    <xf numFmtId="0" fontId="70" fillId="73" borderId="65" xfId="19" applyFont="1" applyFill="1" applyBorder="1" applyAlignment="1">
      <alignment horizontal="left" wrapText="1"/>
    </xf>
    <xf numFmtId="0" fontId="69" fillId="73" borderId="4" xfId="19" applyFont="1" applyFill="1" applyBorder="1" applyAlignment="1">
      <alignment horizontal="center" vertical="center" wrapText="1"/>
    </xf>
    <xf numFmtId="0" fontId="69" fillId="73" borderId="17" xfId="19" applyFont="1" applyFill="1" applyBorder="1" applyAlignment="1">
      <alignment horizontal="center" vertical="center" wrapText="1"/>
    </xf>
    <xf numFmtId="0" fontId="10" fillId="40" borderId="22" xfId="19" applyFont="1" applyFill="1" applyBorder="1" applyAlignment="1">
      <alignment horizontal="center" vertical="center" wrapText="1"/>
    </xf>
    <xf numFmtId="0" fontId="10" fillId="0" borderId="22" xfId="0" applyFont="1" applyBorder="1" applyAlignment="1">
      <alignment horizontal="center" vertical="center" wrapText="1"/>
    </xf>
    <xf numFmtId="0" fontId="10" fillId="40" borderId="118" xfId="19" applyFont="1" applyFill="1" applyBorder="1" applyAlignment="1">
      <alignment horizontal="center" vertical="center" wrapText="1"/>
    </xf>
    <xf numFmtId="0" fontId="69" fillId="60" borderId="24" xfId="19" applyFont="1" applyFill="1" applyBorder="1" applyAlignment="1">
      <alignment horizontal="center" vertical="center" wrapText="1"/>
    </xf>
    <xf numFmtId="0" fontId="0" fillId="0" borderId="49" xfId="0" applyBorder="1" applyAlignment="1">
      <alignment horizontal="center" vertical="center" wrapText="1"/>
    </xf>
    <xf numFmtId="0" fontId="69" fillId="60" borderId="20" xfId="19" applyFont="1" applyFill="1" applyBorder="1" applyAlignment="1">
      <alignment horizontal="center" vertical="center" wrapText="1"/>
    </xf>
    <xf numFmtId="0" fontId="0" fillId="0" borderId="48" xfId="0" applyBorder="1" applyAlignment="1">
      <alignment horizontal="center" vertical="center" wrapText="1"/>
    </xf>
    <xf numFmtId="0" fontId="0" fillId="0" borderId="23" xfId="0" applyBorder="1" applyAlignment="1">
      <alignment horizontal="center" vertical="center" wrapText="1"/>
    </xf>
    <xf numFmtId="0" fontId="13" fillId="40" borderId="20" xfId="19" applyFont="1" applyFill="1" applyBorder="1" applyAlignment="1">
      <alignment horizontal="center" vertical="center" wrapText="1"/>
    </xf>
    <xf numFmtId="0" fontId="10" fillId="0" borderId="48" xfId="0" applyFont="1" applyBorder="1" applyAlignment="1">
      <alignment horizontal="center" vertical="center" wrapText="1"/>
    </xf>
    <xf numFmtId="0" fontId="19" fillId="35" borderId="11" xfId="19" applyFont="1" applyFill="1" applyBorder="1" applyAlignment="1">
      <alignment horizontal="left" vertical="top" wrapText="1"/>
    </xf>
    <xf numFmtId="0" fontId="19" fillId="0" borderId="165" xfId="0" applyFont="1" applyBorder="1" applyAlignment="1">
      <alignment horizontal="left" vertical="top" wrapText="1"/>
    </xf>
    <xf numFmtId="0" fontId="19" fillId="0" borderId="164" xfId="0" applyFont="1" applyBorder="1" applyAlignment="1">
      <alignment horizontal="left" vertical="top" wrapText="1"/>
    </xf>
    <xf numFmtId="0" fontId="13" fillId="41" borderId="20" xfId="19" applyFont="1" applyFill="1" applyBorder="1" applyAlignment="1">
      <alignment horizontal="center" vertical="center" wrapText="1"/>
    </xf>
    <xf numFmtId="0" fontId="13" fillId="41" borderId="23" xfId="19" applyFont="1" applyFill="1" applyBorder="1" applyAlignment="1">
      <alignment horizontal="center" vertical="center" wrapText="1"/>
    </xf>
    <xf numFmtId="0" fontId="13" fillId="41" borderId="48" xfId="19" applyFont="1" applyFill="1" applyBorder="1" applyAlignment="1">
      <alignment horizontal="center" vertical="center" wrapText="1"/>
    </xf>
    <xf numFmtId="0" fontId="13" fillId="40" borderId="23" xfId="19" applyFont="1" applyFill="1" applyBorder="1" applyAlignment="1">
      <alignment horizontal="center" vertical="center" wrapText="1"/>
    </xf>
    <xf numFmtId="0" fontId="70" fillId="60" borderId="1" xfId="19" applyFont="1" applyFill="1" applyBorder="1" applyAlignment="1">
      <alignment horizontal="left"/>
    </xf>
    <xf numFmtId="0" fontId="70" fillId="60" borderId="2" xfId="19" applyFont="1" applyFill="1" applyBorder="1" applyAlignment="1">
      <alignment horizontal="left"/>
    </xf>
    <xf numFmtId="0" fontId="0" fillId="0" borderId="14" xfId="0" applyBorder="1" applyAlignment="1"/>
    <xf numFmtId="0" fontId="45" fillId="62" borderId="6" xfId="19" applyFont="1" applyFill="1" applyBorder="1" applyAlignment="1">
      <alignment horizontal="center" vertical="center"/>
    </xf>
    <xf numFmtId="0" fontId="45" fillId="62" borderId="7" xfId="19" applyFont="1" applyFill="1" applyBorder="1" applyAlignment="1">
      <alignment horizontal="center" vertical="center"/>
    </xf>
    <xf numFmtId="0" fontId="70" fillId="73" borderId="1" xfId="19" applyFont="1" applyFill="1" applyBorder="1" applyAlignment="1">
      <alignment horizontal="left"/>
    </xf>
    <xf numFmtId="0" fontId="70" fillId="73" borderId="2" xfId="19" applyFont="1" applyFill="1" applyBorder="1" applyAlignment="1">
      <alignment horizontal="left"/>
    </xf>
    <xf numFmtId="0" fontId="0" fillId="74" borderId="14" xfId="0" applyFill="1" applyBorder="1" applyAlignment="1"/>
    <xf numFmtId="0" fontId="70" fillId="61" borderId="2" xfId="0" applyFont="1" applyFill="1" applyBorder="1" applyAlignment="1">
      <alignment horizontal="left" vertical="center" wrapText="1"/>
    </xf>
    <xf numFmtId="0" fontId="71" fillId="61" borderId="14" xfId="0" applyFont="1" applyFill="1" applyBorder="1" applyAlignment="1">
      <alignment horizontal="left" vertical="center" wrapText="1"/>
    </xf>
    <xf numFmtId="0" fontId="19" fillId="4" borderId="3" xfId="0" applyNumberFormat="1" applyFont="1" applyFill="1" applyBorder="1" applyAlignment="1">
      <alignment horizontal="left" vertical="top" wrapText="1"/>
    </xf>
    <xf numFmtId="0" fontId="19" fillId="0" borderId="0" xfId="0" applyFont="1" applyBorder="1" applyAlignment="1">
      <alignment horizontal="left" vertical="top" wrapText="1"/>
    </xf>
    <xf numFmtId="0" fontId="69" fillId="61" borderId="18" xfId="110" applyFont="1" applyFill="1" applyBorder="1" applyAlignment="1">
      <alignment horizontal="center" vertical="center" wrapText="1"/>
    </xf>
    <xf numFmtId="0" fontId="69" fillId="61" borderId="67" xfId="110" applyFont="1" applyFill="1" applyBorder="1" applyAlignment="1">
      <alignment horizontal="center" vertical="center" wrapText="1"/>
    </xf>
    <xf numFmtId="0" fontId="28" fillId="0" borderId="57" xfId="110" applyFont="1" applyFill="1" applyBorder="1" applyAlignment="1">
      <alignment horizontal="center" vertical="center" wrapText="1"/>
    </xf>
    <xf numFmtId="0" fontId="28" fillId="0" borderId="117" xfId="110" applyFont="1" applyFill="1" applyBorder="1" applyAlignment="1">
      <alignment horizontal="center" vertical="center" wrapText="1"/>
    </xf>
    <xf numFmtId="0" fontId="70" fillId="61" borderId="1" xfId="0" applyFont="1" applyFill="1" applyBorder="1" applyAlignment="1">
      <alignment horizontal="left" wrapText="1"/>
    </xf>
    <xf numFmtId="0" fontId="70" fillId="61" borderId="2" xfId="0" applyFont="1" applyFill="1" applyBorder="1" applyAlignment="1">
      <alignment horizontal="left" wrapText="1"/>
    </xf>
    <xf numFmtId="0" fontId="28" fillId="0" borderId="57" xfId="0" applyFont="1" applyFill="1" applyBorder="1" applyAlignment="1">
      <alignment horizontal="center" vertical="center"/>
    </xf>
    <xf numFmtId="0" fontId="28" fillId="0" borderId="117" xfId="0" applyFont="1" applyFill="1" applyBorder="1" applyAlignment="1">
      <alignment horizontal="center" vertical="center"/>
    </xf>
    <xf numFmtId="0" fontId="45" fillId="0" borderId="70" xfId="0" applyFont="1" applyFill="1" applyBorder="1" applyAlignment="1">
      <alignment horizontal="center" vertical="center"/>
    </xf>
    <xf numFmtId="0" fontId="45" fillId="0" borderId="120" xfId="0" applyFont="1" applyFill="1" applyBorder="1" applyAlignment="1">
      <alignment horizontal="center" vertical="center"/>
    </xf>
    <xf numFmtId="0" fontId="70" fillId="61" borderId="14" xfId="0" applyFont="1" applyFill="1" applyBorder="1" applyAlignment="1">
      <alignment horizontal="left" wrapText="1"/>
    </xf>
    <xf numFmtId="0" fontId="19" fillId="4" borderId="18" xfId="0" applyNumberFormat="1" applyFont="1" applyFill="1" applyBorder="1" applyAlignment="1">
      <alignment horizontal="left" vertical="top" wrapText="1"/>
    </xf>
    <xf numFmtId="0" fontId="19" fillId="0" borderId="19" xfId="0" applyFont="1" applyBorder="1" applyAlignment="1">
      <alignment horizontal="left" vertical="top" wrapText="1"/>
    </xf>
    <xf numFmtId="0" fontId="19" fillId="4" borderId="1" xfId="0" applyNumberFormat="1" applyFont="1" applyFill="1" applyBorder="1" applyAlignment="1">
      <alignment horizontal="left" vertical="top" wrapText="1"/>
    </xf>
    <xf numFmtId="0" fontId="19" fillId="4" borderId="2" xfId="0" applyNumberFormat="1" applyFont="1" applyFill="1" applyBorder="1" applyAlignment="1">
      <alignment horizontal="left" vertical="top" wrapText="1"/>
    </xf>
    <xf numFmtId="0" fontId="19" fillId="4" borderId="14" xfId="0" applyNumberFormat="1" applyFont="1" applyFill="1" applyBorder="1" applyAlignment="1">
      <alignment horizontal="left" vertical="top" wrapText="1"/>
    </xf>
    <xf numFmtId="0" fontId="19" fillId="4" borderId="19" xfId="0" applyNumberFormat="1" applyFont="1" applyFill="1" applyBorder="1" applyAlignment="1">
      <alignment horizontal="left" vertical="top" wrapText="1"/>
    </xf>
    <xf numFmtId="0" fontId="19" fillId="4" borderId="82" xfId="0" applyNumberFormat="1" applyFont="1" applyFill="1" applyBorder="1" applyAlignment="1">
      <alignment horizontal="left" vertical="top" wrapText="1"/>
    </xf>
    <xf numFmtId="0" fontId="7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10" fillId="4" borderId="0" xfId="0" applyNumberFormat="1" applyFont="1" applyFill="1" applyBorder="1" applyAlignment="1">
      <alignment horizontal="left" vertical="top" wrapText="1"/>
    </xf>
    <xf numFmtId="0" fontId="51" fillId="61" borderId="2" xfId="0" applyFont="1" applyFill="1" applyBorder="1" applyAlignment="1">
      <alignment horizontal="left" vertical="top" wrapText="1"/>
    </xf>
    <xf numFmtId="0" fontId="51" fillId="61" borderId="14" xfId="0" applyFont="1" applyFill="1" applyBorder="1" applyAlignment="1">
      <alignment horizontal="left" vertical="top" wrapText="1"/>
    </xf>
    <xf numFmtId="0" fontId="70" fillId="61" borderId="14" xfId="0" applyFont="1" applyFill="1" applyBorder="1" applyAlignment="1">
      <alignment horizontal="left" vertical="center" wrapText="1"/>
    </xf>
    <xf numFmtId="0" fontId="19" fillId="4" borderId="56" xfId="0" applyNumberFormat="1" applyFont="1" applyFill="1" applyBorder="1" applyAlignment="1">
      <alignment horizontal="left" vertical="center" wrapText="1"/>
    </xf>
    <xf numFmtId="0" fontId="19" fillId="0" borderId="51" xfId="0" applyFont="1" applyBorder="1" applyAlignment="1">
      <alignment horizontal="left" vertical="center" wrapText="1"/>
    </xf>
    <xf numFmtId="0" fontId="19" fillId="0" borderId="52" xfId="0" applyFont="1" applyBorder="1" applyAlignment="1">
      <alignment horizontal="left" vertical="center" wrapText="1"/>
    </xf>
    <xf numFmtId="0" fontId="70" fillId="61" borderId="17" xfId="0" applyFont="1" applyFill="1" applyBorder="1" applyAlignment="1">
      <alignment horizontal="left" vertical="center" wrapText="1"/>
    </xf>
    <xf numFmtId="0" fontId="71" fillId="61" borderId="5" xfId="0" applyFont="1" applyFill="1" applyBorder="1" applyAlignment="1">
      <alignment horizontal="left" vertical="center" wrapText="1"/>
    </xf>
    <xf numFmtId="0" fontId="71" fillId="61" borderId="2" xfId="0" applyFont="1" applyFill="1" applyBorder="1" applyAlignment="1">
      <alignment wrapText="1"/>
    </xf>
    <xf numFmtId="0" fontId="71" fillId="61" borderId="14" xfId="0" applyFont="1" applyFill="1" applyBorder="1" applyAlignment="1">
      <alignment wrapText="1"/>
    </xf>
    <xf numFmtId="0" fontId="45" fillId="0" borderId="57" xfId="0" applyFont="1" applyFill="1" applyBorder="1" applyAlignment="1">
      <alignment horizontal="right" vertical="center" wrapText="1"/>
    </xf>
    <xf numFmtId="0" fontId="13" fillId="0" borderId="125" xfId="0" applyFont="1" applyBorder="1" applyAlignment="1">
      <alignment horizontal="right" vertical="center" wrapText="1"/>
    </xf>
    <xf numFmtId="0" fontId="13" fillId="0" borderId="117" xfId="0" applyFont="1" applyBorder="1" applyAlignment="1">
      <alignment horizontal="right" vertical="center" wrapText="1"/>
    </xf>
    <xf numFmtId="0" fontId="45" fillId="0" borderId="70" xfId="0" applyFont="1" applyFill="1" applyBorder="1" applyAlignment="1">
      <alignment horizontal="right" vertical="center" wrapText="1"/>
    </xf>
    <xf numFmtId="0" fontId="13" fillId="0" borderId="166" xfId="0" applyFont="1" applyBorder="1" applyAlignment="1">
      <alignment horizontal="right" vertical="center" wrapText="1"/>
    </xf>
    <xf numFmtId="0" fontId="13" fillId="0" borderId="120" xfId="0" applyFont="1" applyBorder="1" applyAlignment="1">
      <alignment horizontal="right" vertical="center" wrapText="1"/>
    </xf>
    <xf numFmtId="0" fontId="19" fillId="4" borderId="4" xfId="0" applyNumberFormat="1" applyFont="1" applyFill="1" applyBorder="1" applyAlignment="1">
      <alignment horizontal="left" vertical="top" wrapText="1"/>
    </xf>
    <xf numFmtId="0" fontId="19" fillId="0" borderId="17" xfId="0" applyFont="1" applyBorder="1" applyAlignment="1">
      <alignment horizontal="left" vertical="top" wrapText="1"/>
    </xf>
    <xf numFmtId="0" fontId="19" fillId="4" borderId="70" xfId="0" applyNumberFormat="1" applyFont="1" applyFill="1" applyBorder="1" applyAlignment="1">
      <alignment horizontal="left" vertical="top" wrapText="1"/>
    </xf>
    <xf numFmtId="0" fontId="19" fillId="0" borderId="166" xfId="0" applyFont="1" applyBorder="1" applyAlignment="1">
      <alignment horizontal="left" vertical="top" wrapText="1"/>
    </xf>
    <xf numFmtId="0" fontId="19" fillId="0" borderId="120" xfId="0" applyFont="1" applyBorder="1" applyAlignment="1">
      <alignment horizontal="left" vertical="top" wrapText="1"/>
    </xf>
    <xf numFmtId="0" fontId="19" fillId="4" borderId="9" xfId="0" applyFont="1" applyFill="1" applyBorder="1" applyAlignment="1">
      <alignment horizontal="left" vertical="top" wrapText="1"/>
    </xf>
    <xf numFmtId="0" fontId="19" fillId="0" borderId="16" xfId="0" applyFont="1" applyBorder="1" applyAlignment="1">
      <alignment horizontal="left" vertical="top" wrapText="1"/>
    </xf>
    <xf numFmtId="0" fontId="70" fillId="61" borderId="18" xfId="0" applyFont="1" applyFill="1" applyBorder="1" applyAlignment="1">
      <alignment wrapText="1"/>
    </xf>
    <xf numFmtId="0" fontId="0" fillId="0" borderId="67" xfId="0" applyBorder="1" applyAlignment="1">
      <alignment wrapText="1"/>
    </xf>
    <xf numFmtId="0" fontId="71" fillId="61" borderId="2" xfId="0" applyFont="1" applyFill="1" applyBorder="1" applyAlignment="1">
      <alignment horizontal="left" vertical="center" wrapText="1"/>
    </xf>
    <xf numFmtId="0" fontId="19" fillId="4" borderId="11" xfId="0" applyNumberFormat="1" applyFont="1" applyFill="1" applyBorder="1" applyAlignment="1">
      <alignment horizontal="left" vertical="top" wrapText="1"/>
    </xf>
    <xf numFmtId="0" fontId="0" fillId="0" borderId="165" xfId="0" applyBorder="1" applyAlignment="1">
      <alignment horizontal="left" vertical="top" wrapText="1"/>
    </xf>
    <xf numFmtId="0" fontId="0" fillId="0" borderId="17" xfId="0" applyBorder="1" applyAlignment="1">
      <alignment horizontal="left" vertical="top" wrapText="1"/>
    </xf>
    <xf numFmtId="0" fontId="18" fillId="4" borderId="0" xfId="2" applyFont="1" applyFill="1" applyBorder="1" applyAlignment="1" applyProtection="1">
      <alignment horizontal="left" vertical="center"/>
    </xf>
    <xf numFmtId="0" fontId="10" fillId="0" borderId="0" xfId="0" applyFont="1" applyBorder="1" applyAlignment="1">
      <alignment horizontal="left" vertical="center"/>
    </xf>
    <xf numFmtId="0" fontId="70" fillId="61" borderId="4" xfId="0" applyFont="1" applyFill="1" applyBorder="1" applyAlignment="1">
      <alignment wrapText="1"/>
    </xf>
    <xf numFmtId="0" fontId="10" fillId="4" borderId="51" xfId="0" applyNumberFormat="1" applyFont="1" applyFill="1" applyBorder="1" applyAlignment="1">
      <alignment horizontal="left" vertical="top" wrapText="1"/>
    </xf>
    <xf numFmtId="0" fontId="10" fillId="4" borderId="52" xfId="0" applyNumberFormat="1" applyFont="1" applyFill="1" applyBorder="1" applyAlignment="1">
      <alignment horizontal="left" vertical="top" wrapText="1"/>
    </xf>
    <xf numFmtId="0" fontId="41" fillId="61" borderId="1" xfId="0" applyFont="1" applyFill="1" applyBorder="1" applyAlignment="1">
      <alignment horizontal="left" vertical="top" wrapText="1"/>
    </xf>
    <xf numFmtId="0" fontId="41" fillId="61" borderId="2" xfId="0" applyFont="1" applyFill="1" applyBorder="1" applyAlignment="1">
      <alignment horizontal="left" vertical="top" wrapText="1"/>
    </xf>
    <xf numFmtId="0" fontId="41" fillId="61" borderId="14" xfId="0" applyFont="1" applyFill="1" applyBorder="1" applyAlignment="1">
      <alignment horizontal="left" vertical="top" wrapText="1"/>
    </xf>
    <xf numFmtId="0" fontId="41" fillId="60" borderId="1" xfId="19" applyFont="1" applyFill="1" applyBorder="1" applyAlignment="1">
      <alignment horizontal="left" vertical="center" wrapText="1"/>
    </xf>
    <xf numFmtId="0" fontId="10" fillId="0" borderId="15" xfId="0" applyFont="1" applyBorder="1" applyAlignment="1">
      <alignment horizontal="center" vertical="center" wrapText="1"/>
    </xf>
    <xf numFmtId="0" fontId="0" fillId="0" borderId="54" xfId="0" applyBorder="1" applyAlignment="1">
      <alignment horizontal="center" vertical="center" wrapText="1"/>
    </xf>
    <xf numFmtId="0" fontId="74" fillId="0" borderId="2" xfId="0" applyFont="1" applyFill="1" applyBorder="1" applyAlignment="1">
      <alignment horizontal="center" vertical="center" wrapText="1"/>
    </xf>
    <xf numFmtId="0" fontId="74" fillId="0" borderId="14" xfId="0" applyFont="1" applyFill="1" applyBorder="1" applyAlignment="1">
      <alignment horizontal="center" vertical="center" wrapText="1"/>
    </xf>
    <xf numFmtId="0" fontId="10" fillId="4" borderId="34" xfId="0" applyNumberFormat="1" applyFont="1" applyFill="1" applyBorder="1" applyAlignment="1">
      <alignment horizontal="left" vertical="top" wrapText="1"/>
    </xf>
    <xf numFmtId="0" fontId="10" fillId="4" borderId="19" xfId="0" applyNumberFormat="1" applyFont="1" applyFill="1" applyBorder="1" applyAlignment="1">
      <alignment horizontal="left" vertical="top" wrapText="1"/>
    </xf>
    <xf numFmtId="0" fontId="10" fillId="4" borderId="82" xfId="0" applyNumberFormat="1" applyFont="1" applyFill="1" applyBorder="1" applyAlignment="1">
      <alignment horizontal="left" vertical="top" wrapText="1"/>
    </xf>
    <xf numFmtId="0" fontId="10" fillId="4" borderId="94" xfId="0" applyNumberFormat="1" applyFont="1" applyFill="1" applyBorder="1" applyAlignment="1">
      <alignment horizontal="left" vertical="top" wrapText="1"/>
    </xf>
    <xf numFmtId="0" fontId="10" fillId="0" borderId="15" xfId="0" applyFont="1" applyFill="1" applyBorder="1" applyAlignment="1">
      <alignment horizontal="center" vertical="center" wrapText="1"/>
    </xf>
    <xf numFmtId="0" fontId="0" fillId="0" borderId="15" xfId="0" applyBorder="1" applyAlignment="1">
      <alignment horizontal="center" vertical="center" wrapText="1"/>
    </xf>
    <xf numFmtId="0" fontId="10" fillId="0" borderId="55" xfId="0" applyFont="1" applyFill="1" applyBorder="1" applyAlignment="1">
      <alignment horizontal="center" vertical="center" wrapText="1"/>
    </xf>
    <xf numFmtId="0" fontId="69" fillId="61" borderId="6" xfId="0" applyFont="1" applyFill="1" applyBorder="1" applyAlignment="1">
      <alignment horizontal="center" vertical="center" wrapText="1"/>
    </xf>
    <xf numFmtId="0" fontId="0" fillId="0" borderId="7" xfId="0" applyBorder="1" applyAlignment="1">
      <alignment wrapText="1"/>
    </xf>
    <xf numFmtId="0" fontId="0" fillId="0" borderId="165" xfId="0" applyBorder="1" applyAlignment="1">
      <alignment wrapText="1"/>
    </xf>
    <xf numFmtId="0" fontId="69" fillId="61" borderId="4" xfId="0" applyFont="1" applyFill="1" applyBorder="1" applyAlignment="1">
      <alignment horizontal="left" vertical="center" wrapText="1"/>
    </xf>
    <xf numFmtId="0" fontId="0" fillId="0" borderId="17" xfId="0" applyBorder="1" applyAlignment="1">
      <alignment horizontal="left" vertical="center" wrapText="1"/>
    </xf>
    <xf numFmtId="0" fontId="19" fillId="4" borderId="1" xfId="0" applyFont="1" applyFill="1" applyBorder="1" applyAlignment="1">
      <alignment horizontal="left" vertical="top" wrapText="1"/>
    </xf>
    <xf numFmtId="0" fontId="0" fillId="0" borderId="2" xfId="0" applyBorder="1" applyAlignment="1">
      <alignment horizontal="left" vertical="top" wrapText="1"/>
    </xf>
    <xf numFmtId="0" fontId="13" fillId="4" borderId="56" xfId="0" applyFont="1" applyFill="1" applyBorder="1" applyAlignment="1">
      <alignment horizontal="center" vertical="center" wrapText="1"/>
    </xf>
    <xf numFmtId="0" fontId="13" fillId="0" borderId="51" xfId="0" applyFont="1" applyBorder="1" applyAlignment="1">
      <alignment horizontal="center" vertical="center" wrapText="1"/>
    </xf>
    <xf numFmtId="0" fontId="19" fillId="4" borderId="56" xfId="0" applyFont="1" applyFill="1" applyBorder="1" applyAlignment="1">
      <alignment horizontal="left" vertical="center" wrapText="1"/>
    </xf>
    <xf numFmtId="0" fontId="19" fillId="4" borderId="51"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70" fillId="74" borderId="1" xfId="0" applyFont="1" applyFill="1" applyBorder="1" applyAlignment="1">
      <alignment horizontal="left" wrapText="1"/>
    </xf>
    <xf numFmtId="0" fontId="70" fillId="74" borderId="2" xfId="0" applyFont="1" applyFill="1" applyBorder="1" applyAlignment="1">
      <alignment horizontal="left" wrapText="1"/>
    </xf>
    <xf numFmtId="0" fontId="70" fillId="74" borderId="14" xfId="0" applyFont="1" applyFill="1" applyBorder="1" applyAlignment="1">
      <alignment horizontal="left" wrapText="1"/>
    </xf>
    <xf numFmtId="0" fontId="10" fillId="4" borderId="2" xfId="0" applyFont="1" applyFill="1" applyBorder="1" applyAlignment="1">
      <alignment horizontal="left" vertical="top" wrapText="1"/>
    </xf>
    <xf numFmtId="0" fontId="70" fillId="61" borderId="2" xfId="0" applyFont="1" applyFill="1" applyBorder="1" applyAlignment="1">
      <alignment wrapText="1"/>
    </xf>
    <xf numFmtId="0" fontId="70" fillId="61" borderId="14" xfId="0" applyFont="1" applyFill="1" applyBorder="1" applyAlignment="1">
      <alignment wrapText="1"/>
    </xf>
    <xf numFmtId="0" fontId="0" fillId="0" borderId="16" xfId="0" applyFill="1" applyBorder="1" applyAlignment="1">
      <alignment horizontal="left" vertical="top" wrapText="1"/>
    </xf>
    <xf numFmtId="0" fontId="10" fillId="0" borderId="113" xfId="0" applyFont="1" applyFill="1" applyBorder="1" applyAlignment="1">
      <alignment horizontal="left" vertical="top" wrapText="1"/>
    </xf>
    <xf numFmtId="0" fontId="0" fillId="0" borderId="112" xfId="0" applyFill="1" applyBorder="1" applyAlignment="1">
      <alignment horizontal="left" vertical="top" wrapText="1"/>
    </xf>
    <xf numFmtId="0" fontId="10" fillId="0" borderId="66" xfId="0" applyFont="1" applyFill="1" applyBorder="1" applyAlignment="1">
      <alignment horizontal="left" vertical="top" wrapText="1"/>
    </xf>
    <xf numFmtId="0" fontId="0" fillId="0" borderId="118" xfId="0" applyFill="1" applyBorder="1" applyAlignment="1">
      <alignment horizontal="left" vertical="top" wrapText="1"/>
    </xf>
    <xf numFmtId="0" fontId="0" fillId="0" borderId="17" xfId="0" applyFill="1" applyBorder="1" applyAlignment="1">
      <alignment horizontal="left" vertical="top" wrapText="1"/>
    </xf>
    <xf numFmtId="0" fontId="10" fillId="0" borderId="11" xfId="0" applyFont="1" applyFill="1" applyBorder="1" applyAlignment="1">
      <alignment horizontal="left" vertical="top" wrapText="1"/>
    </xf>
    <xf numFmtId="0" fontId="0" fillId="0" borderId="165" xfId="0" applyFill="1" applyBorder="1" applyAlignment="1">
      <alignment horizontal="left" vertical="top" wrapText="1"/>
    </xf>
    <xf numFmtId="0" fontId="49" fillId="0" borderId="48" xfId="0" applyFont="1" applyFill="1" applyBorder="1" applyAlignment="1">
      <alignment horizontal="center" vertical="center" wrapText="1"/>
    </xf>
    <xf numFmtId="0" fontId="49" fillId="0" borderId="49" xfId="0" applyFont="1" applyFill="1" applyBorder="1" applyAlignment="1">
      <alignment horizontal="center" vertical="center" wrapText="1"/>
    </xf>
    <xf numFmtId="0" fontId="81" fillId="0" borderId="13" xfId="0" applyNumberFormat="1" applyFont="1" applyFill="1" applyBorder="1" applyAlignment="1">
      <alignment horizontal="left" vertical="top" wrapText="1"/>
    </xf>
    <xf numFmtId="0" fontId="28" fillId="0" borderId="64" xfId="0" applyFont="1" applyFill="1" applyBorder="1" applyAlignment="1">
      <alignment horizontal="left" vertical="top" wrapText="1"/>
    </xf>
    <xf numFmtId="0" fontId="28" fillId="0" borderId="65" xfId="0" applyFont="1" applyFill="1" applyBorder="1" applyAlignment="1">
      <alignment horizontal="left" vertical="top" wrapText="1"/>
    </xf>
    <xf numFmtId="0" fontId="19" fillId="0" borderId="70" xfId="0" applyNumberFormat="1" applyFont="1" applyFill="1" applyBorder="1" applyAlignment="1">
      <alignment horizontal="left" vertical="top" wrapText="1"/>
    </xf>
    <xf numFmtId="0" fontId="0" fillId="0" borderId="166" xfId="0" applyFill="1" applyBorder="1" applyAlignment="1">
      <alignment horizontal="left" vertical="top" wrapText="1"/>
    </xf>
    <xf numFmtId="0" fontId="0" fillId="0" borderId="119" xfId="0" applyFill="1"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71" fillId="61" borderId="2" xfId="0" applyFont="1" applyFill="1" applyBorder="1" applyAlignment="1">
      <alignment horizontal="left" vertical="top" wrapText="1"/>
    </xf>
    <xf numFmtId="0" fontId="71" fillId="61" borderId="14" xfId="0" applyFont="1" applyFill="1" applyBorder="1" applyAlignment="1">
      <alignment horizontal="left" vertical="top" wrapText="1"/>
    </xf>
    <xf numFmtId="0" fontId="50" fillId="0" borderId="75" xfId="0" applyFont="1" applyFill="1" applyBorder="1" applyAlignment="1">
      <alignment horizontal="center" vertical="center" wrapText="1"/>
    </xf>
    <xf numFmtId="0" fontId="50" fillId="0" borderId="76" xfId="0" applyFont="1" applyFill="1" applyBorder="1" applyAlignment="1">
      <alignment horizontal="center" vertical="center" wrapText="1"/>
    </xf>
    <xf numFmtId="0" fontId="50" fillId="0" borderId="77" xfId="0" applyFont="1" applyFill="1" applyBorder="1" applyAlignment="1">
      <alignment horizontal="center" vertical="center" wrapText="1"/>
    </xf>
    <xf numFmtId="0" fontId="50" fillId="0" borderId="85" xfId="0" applyFont="1" applyFill="1" applyBorder="1" applyAlignment="1">
      <alignment horizontal="center" vertical="center" wrapText="1"/>
    </xf>
    <xf numFmtId="0" fontId="0" fillId="0" borderId="19" xfId="0" applyBorder="1" applyAlignment="1">
      <alignment horizontal="left" vertical="top" wrapText="1"/>
    </xf>
    <xf numFmtId="0" fontId="0" fillId="0" borderId="82" xfId="0" applyBorder="1" applyAlignment="1">
      <alignment horizontal="left" vertical="top" wrapText="1"/>
    </xf>
    <xf numFmtId="0" fontId="10" fillId="4" borderId="116" xfId="0" applyNumberFormat="1" applyFont="1" applyFill="1" applyBorder="1" applyAlignment="1">
      <alignment horizontal="left" vertical="top" wrapText="1"/>
    </xf>
    <xf numFmtId="0" fontId="17" fillId="0" borderId="2" xfId="0" applyFont="1" applyBorder="1" applyAlignment="1">
      <alignment horizontal="left" vertical="center" wrapText="1"/>
    </xf>
    <xf numFmtId="0" fontId="17" fillId="0" borderId="2" xfId="0" applyFont="1" applyBorder="1" applyAlignment="1">
      <alignment wrapText="1"/>
    </xf>
    <xf numFmtId="0" fontId="17" fillId="0" borderId="14" xfId="0" applyFont="1" applyBorder="1" applyAlignment="1">
      <alignment wrapText="1"/>
    </xf>
    <xf numFmtId="0" fontId="10" fillId="0" borderId="6" xfId="0" applyFont="1" applyFill="1" applyBorder="1" applyAlignment="1">
      <alignment horizontal="left" vertical="top" wrapText="1"/>
    </xf>
    <xf numFmtId="0" fontId="0" fillId="0" borderId="7" xfId="0" applyFill="1" applyBorder="1" applyAlignment="1">
      <alignment horizontal="left" vertical="top" wrapText="1"/>
    </xf>
    <xf numFmtId="0" fontId="13" fillId="0" borderId="18" xfId="0" applyFont="1" applyFill="1" applyBorder="1" applyAlignment="1">
      <alignment horizontal="right" vertical="center" wrapText="1"/>
    </xf>
    <xf numFmtId="0" fontId="13" fillId="0" borderId="19" xfId="0" applyFont="1" applyFill="1" applyBorder="1" applyAlignment="1">
      <alignment horizontal="right" vertical="center" wrapText="1"/>
    </xf>
    <xf numFmtId="0" fontId="13" fillId="0" borderId="82" xfId="0" applyFont="1" applyFill="1" applyBorder="1" applyAlignment="1">
      <alignment horizontal="right" vertical="center" wrapText="1"/>
    </xf>
    <xf numFmtId="0" fontId="19" fillId="4" borderId="4" xfId="0" applyFont="1" applyFill="1" applyBorder="1" applyAlignment="1">
      <alignment horizontal="left" vertical="top" wrapText="1"/>
    </xf>
    <xf numFmtId="0" fontId="10" fillId="4" borderId="0" xfId="0" applyFont="1" applyFill="1" applyAlignment="1">
      <alignment horizontal="left" vertical="top" wrapText="1"/>
    </xf>
    <xf numFmtId="0" fontId="14" fillId="4" borderId="1"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0" fillId="4" borderId="94" xfId="0" applyNumberFormat="1" applyFont="1" applyFill="1" applyBorder="1" applyAlignment="1">
      <alignment horizontal="center" vertical="top" wrapText="1"/>
    </xf>
    <xf numFmtId="0" fontId="10" fillId="4" borderId="51" xfId="0" applyNumberFormat="1" applyFont="1" applyFill="1" applyBorder="1" applyAlignment="1">
      <alignment horizontal="center" vertical="top" wrapText="1"/>
    </xf>
    <xf numFmtId="0" fontId="10" fillId="4" borderId="52" xfId="0" applyNumberFormat="1" applyFont="1" applyFill="1" applyBorder="1" applyAlignment="1">
      <alignment horizontal="center" vertical="top" wrapText="1"/>
    </xf>
    <xf numFmtId="0" fontId="10" fillId="0" borderId="56" xfId="0" applyNumberFormat="1" applyFont="1" applyFill="1" applyBorder="1" applyAlignment="1">
      <alignment horizontal="left" vertical="top" wrapText="1"/>
    </xf>
    <xf numFmtId="0" fontId="10" fillId="0" borderId="51" xfId="0" applyNumberFormat="1" applyFont="1" applyFill="1" applyBorder="1" applyAlignment="1">
      <alignment horizontal="left" vertical="top" wrapText="1"/>
    </xf>
    <xf numFmtId="0" fontId="10" fillId="0" borderId="52" xfId="0" applyNumberFormat="1" applyFont="1" applyFill="1" applyBorder="1" applyAlignment="1">
      <alignment horizontal="left" vertical="top" wrapText="1"/>
    </xf>
    <xf numFmtId="0" fontId="70" fillId="61" borderId="1" xfId="0" applyFont="1" applyFill="1" applyBorder="1" applyAlignment="1">
      <alignment horizontal="center" vertical="center" wrapText="1"/>
    </xf>
    <xf numFmtId="0" fontId="70" fillId="61" borderId="2" xfId="0" applyFont="1" applyFill="1" applyBorder="1" applyAlignment="1">
      <alignment horizontal="center" vertical="center" wrapText="1"/>
    </xf>
    <xf numFmtId="0" fontId="70" fillId="61" borderId="14" xfId="0" applyFont="1" applyFill="1" applyBorder="1" applyAlignment="1">
      <alignment horizontal="center" vertical="center" wrapText="1"/>
    </xf>
    <xf numFmtId="0" fontId="13" fillId="0" borderId="57" xfId="0" applyFont="1" applyFill="1" applyBorder="1" applyAlignment="1">
      <alignment horizontal="right" vertical="center" wrapText="1"/>
    </xf>
    <xf numFmtId="0" fontId="13" fillId="0" borderId="125" xfId="0" applyFont="1" applyFill="1" applyBorder="1" applyAlignment="1">
      <alignment horizontal="right" vertical="center" wrapText="1"/>
    </xf>
    <xf numFmtId="0" fontId="13" fillId="0" borderId="131" xfId="0" applyFont="1" applyFill="1" applyBorder="1" applyAlignment="1">
      <alignment horizontal="right" vertical="center" wrapText="1"/>
    </xf>
    <xf numFmtId="0" fontId="13" fillId="0" borderId="70" xfId="0" applyFont="1" applyFill="1" applyBorder="1" applyAlignment="1">
      <alignment horizontal="right" vertical="center" wrapText="1"/>
    </xf>
    <xf numFmtId="0" fontId="13" fillId="0" borderId="166" xfId="0" applyFont="1" applyFill="1" applyBorder="1" applyAlignment="1">
      <alignment horizontal="right" vertical="center" wrapText="1"/>
    </xf>
    <xf numFmtId="0" fontId="13" fillId="0" borderId="119" xfId="0" applyFont="1" applyFill="1" applyBorder="1" applyAlignment="1">
      <alignment horizontal="right" vertical="center" wrapText="1"/>
    </xf>
    <xf numFmtId="0" fontId="13" fillId="0" borderId="1" xfId="0" applyFont="1" applyFill="1" applyBorder="1" applyAlignment="1">
      <alignment horizontal="right" vertical="center" wrapText="1"/>
    </xf>
    <xf numFmtId="0" fontId="13" fillId="0" borderId="2" xfId="0" applyFont="1" applyFill="1" applyBorder="1" applyAlignment="1">
      <alignment horizontal="right" vertical="center" wrapText="1"/>
    </xf>
    <xf numFmtId="0" fontId="13" fillId="0" borderId="14" xfId="0" applyFont="1" applyFill="1" applyBorder="1" applyAlignment="1">
      <alignment horizontal="right" vertical="center" wrapText="1"/>
    </xf>
    <xf numFmtId="0" fontId="69" fillId="61" borderId="69" xfId="0" applyFont="1" applyFill="1" applyBorder="1" applyAlignment="1">
      <alignment horizontal="center" vertical="center" wrapText="1"/>
    </xf>
    <xf numFmtId="0" fontId="69" fillId="61" borderId="156" xfId="0" applyFont="1" applyFill="1" applyBorder="1" applyAlignment="1">
      <alignment horizontal="center" vertical="center" wrapText="1"/>
    </xf>
    <xf numFmtId="0" fontId="69" fillId="61" borderId="138" xfId="0" applyFont="1" applyFill="1" applyBorder="1" applyAlignment="1">
      <alignment horizontal="center" vertical="center" wrapText="1"/>
    </xf>
    <xf numFmtId="0" fontId="10" fillId="0" borderId="4" xfId="19" applyFont="1" applyFill="1" applyBorder="1" applyAlignment="1">
      <alignment horizontal="left" vertical="top" wrapText="1"/>
    </xf>
    <xf numFmtId="0" fontId="10" fillId="0" borderId="17" xfId="19" applyFill="1" applyBorder="1" applyAlignment="1">
      <alignment horizontal="left" vertical="top" wrapText="1"/>
    </xf>
    <xf numFmtId="0" fontId="14" fillId="4" borderId="1" xfId="19" applyFont="1" applyFill="1" applyBorder="1" applyAlignment="1">
      <alignment horizontal="center" vertical="center" wrapText="1"/>
    </xf>
    <xf numFmtId="0" fontId="10" fillId="0" borderId="2" xfId="19" applyBorder="1" applyAlignment="1">
      <alignment horizontal="center" vertical="center" wrapText="1"/>
    </xf>
    <xf numFmtId="0" fontId="10" fillId="0" borderId="14" xfId="19" applyBorder="1" applyAlignment="1">
      <alignment horizontal="center" vertical="center" wrapText="1"/>
    </xf>
    <xf numFmtId="0" fontId="10" fillId="0" borderId="2" xfId="19" applyBorder="1" applyAlignment="1">
      <alignment wrapText="1"/>
    </xf>
    <xf numFmtId="0" fontId="10" fillId="0" borderId="14" xfId="19" applyBorder="1" applyAlignment="1">
      <alignment wrapText="1"/>
    </xf>
    <xf numFmtId="0" fontId="10" fillId="4" borderId="34" xfId="19" applyNumberFormat="1" applyFont="1" applyFill="1" applyBorder="1" applyAlignment="1">
      <alignment horizontal="left" vertical="top" wrapText="1"/>
    </xf>
    <xf numFmtId="0" fontId="10" fillId="0" borderId="19" xfId="19" applyBorder="1" applyAlignment="1">
      <alignment horizontal="left" vertical="top" wrapText="1"/>
    </xf>
    <xf numFmtId="0" fontId="10" fillId="0" borderId="82" xfId="19" applyBorder="1" applyAlignment="1">
      <alignment horizontal="left" vertical="top" wrapText="1"/>
    </xf>
    <xf numFmtId="0" fontId="10" fillId="4" borderId="116" xfId="19" applyNumberFormat="1" applyFont="1" applyFill="1" applyBorder="1" applyAlignment="1">
      <alignment horizontal="left" vertical="top" wrapText="1"/>
    </xf>
    <xf numFmtId="0" fontId="10" fillId="0" borderId="166" xfId="19" applyBorder="1" applyAlignment="1">
      <alignment horizontal="left" vertical="top" wrapText="1"/>
    </xf>
    <xf numFmtId="0" fontId="10" fillId="0" borderId="119" xfId="19" applyBorder="1" applyAlignment="1">
      <alignment horizontal="left" vertical="top" wrapText="1"/>
    </xf>
    <xf numFmtId="0" fontId="10" fillId="4" borderId="70" xfId="19" applyNumberFormat="1" applyFont="1" applyFill="1" applyBorder="1" applyAlignment="1">
      <alignment horizontal="left" vertical="top" wrapText="1"/>
    </xf>
    <xf numFmtId="0" fontId="70" fillId="61" borderId="18" xfId="19" applyFont="1" applyFill="1" applyBorder="1" applyAlignment="1">
      <alignment horizontal="left" vertical="top" wrapText="1"/>
    </xf>
    <xf numFmtId="0" fontId="99" fillId="79" borderId="182" xfId="0" applyFont="1" applyFill="1" applyBorder="1" applyAlignment="1">
      <alignment wrapText="1"/>
    </xf>
    <xf numFmtId="0" fontId="99" fillId="79" borderId="183" xfId="0" applyFont="1" applyFill="1" applyBorder="1" applyAlignment="1">
      <alignment wrapText="1"/>
    </xf>
    <xf numFmtId="0" fontId="99" fillId="79" borderId="184" xfId="0" applyFont="1" applyFill="1" applyBorder="1" applyAlignment="1">
      <alignment wrapText="1"/>
    </xf>
    <xf numFmtId="0" fontId="99" fillId="79" borderId="198" xfId="0" applyFont="1" applyFill="1" applyBorder="1" applyAlignment="1">
      <alignment wrapText="1"/>
    </xf>
    <xf numFmtId="0" fontId="99" fillId="79" borderId="199" xfId="0" applyFont="1" applyFill="1" applyBorder="1" applyAlignment="1">
      <alignment wrapText="1"/>
    </xf>
    <xf numFmtId="0" fontId="99" fillId="79" borderId="200" xfId="0" applyFont="1" applyFill="1" applyBorder="1" applyAlignment="1">
      <alignment wrapText="1"/>
    </xf>
    <xf numFmtId="0" fontId="13" fillId="4" borderId="4" xfId="0" applyFont="1" applyFill="1" applyBorder="1" applyAlignment="1">
      <alignment horizontal="right" vertical="center" wrapText="1"/>
    </xf>
    <xf numFmtId="0" fontId="0" fillId="0" borderId="17" xfId="0" applyBorder="1" applyAlignment="1">
      <alignment horizontal="right" vertical="center" wrapText="1"/>
    </xf>
    <xf numFmtId="0" fontId="0" fillId="0" borderId="36" xfId="0" applyBorder="1" applyAlignment="1">
      <alignment horizontal="right" vertical="center" wrapText="1"/>
    </xf>
    <xf numFmtId="3" fontId="13" fillId="4" borderId="165" xfId="0" applyNumberFormat="1" applyFont="1" applyFill="1" applyBorder="1" applyAlignment="1">
      <alignment horizontal="right" vertical="center" wrapText="1"/>
    </xf>
    <xf numFmtId="0" fontId="0" fillId="0" borderId="165" xfId="0" applyBorder="1" applyAlignment="1">
      <alignment horizontal="right" vertical="center" wrapText="1"/>
    </xf>
    <xf numFmtId="0" fontId="0" fillId="0" borderId="116" xfId="0" applyBorder="1" applyAlignment="1">
      <alignment horizontal="right" vertical="center" wrapText="1"/>
    </xf>
    <xf numFmtId="0" fontId="10" fillId="4" borderId="20" xfId="0" applyFont="1" applyFill="1" applyBorder="1" applyAlignment="1">
      <alignment horizontal="center" vertical="center" wrapText="1"/>
    </xf>
    <xf numFmtId="0" fontId="16" fillId="4" borderId="0" xfId="0" applyFont="1" applyFill="1" applyAlignment="1">
      <alignment horizontal="left" wrapText="1"/>
    </xf>
    <xf numFmtId="0" fontId="19" fillId="0" borderId="56" xfId="0" applyFont="1" applyFill="1" applyBorder="1" applyAlignment="1">
      <alignment horizontal="left" vertical="top" wrapText="1"/>
    </xf>
    <xf numFmtId="0" fontId="0" fillId="0" borderId="51" xfId="0" applyFill="1" applyBorder="1" applyAlignment="1">
      <alignment horizontal="left" vertical="top" wrapText="1"/>
    </xf>
    <xf numFmtId="0" fontId="0" fillId="0" borderId="52" xfId="0" applyFill="1" applyBorder="1" applyAlignment="1">
      <alignment horizontal="left" vertical="top" wrapText="1"/>
    </xf>
    <xf numFmtId="0" fontId="19" fillId="0" borderId="1"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14" xfId="0" applyFill="1" applyBorder="1" applyAlignment="1">
      <alignment horizontal="left" vertical="top" wrapText="1"/>
    </xf>
    <xf numFmtId="0" fontId="70" fillId="61" borderId="4" xfId="0" applyFont="1" applyFill="1" applyBorder="1" applyAlignment="1">
      <alignment horizontal="left" vertical="top" wrapText="1"/>
    </xf>
    <xf numFmtId="0" fontId="19" fillId="4" borderId="1" xfId="0" applyFont="1" applyFill="1" applyBorder="1" applyAlignment="1">
      <alignment wrapText="1"/>
    </xf>
    <xf numFmtId="0" fontId="14" fillId="4" borderId="1" xfId="0" applyFont="1" applyFill="1" applyBorder="1" applyAlignment="1">
      <alignment vertical="top" wrapText="1"/>
    </xf>
    <xf numFmtId="0" fontId="0" fillId="0" borderId="2" xfId="0" applyBorder="1" applyAlignment="1">
      <alignment vertical="top" wrapText="1"/>
    </xf>
    <xf numFmtId="0" fontId="0" fillId="0" borderId="14" xfId="0" applyBorder="1" applyAlignment="1">
      <alignment vertical="top" wrapText="1"/>
    </xf>
    <xf numFmtId="0" fontId="51" fillId="61" borderId="2" xfId="0" applyFont="1" applyFill="1" applyBorder="1" applyAlignment="1">
      <alignment horizontal="center" vertical="center" wrapText="1"/>
    </xf>
    <xf numFmtId="0" fontId="51" fillId="61" borderId="14" xfId="0" applyFont="1" applyFill="1" applyBorder="1" applyAlignment="1">
      <alignment horizontal="center" vertical="center" wrapText="1"/>
    </xf>
    <xf numFmtId="0" fontId="10" fillId="4" borderId="13" xfId="0" applyFont="1" applyFill="1" applyBorder="1" applyAlignment="1">
      <alignment horizontal="left" vertical="top" wrapText="1"/>
    </xf>
    <xf numFmtId="0" fontId="0" fillId="0" borderId="64" xfId="0" applyBorder="1" applyAlignment="1">
      <alignment horizontal="left" vertical="top" wrapText="1"/>
    </xf>
    <xf numFmtId="0" fontId="0" fillId="0" borderId="91" xfId="0" applyBorder="1" applyAlignment="1">
      <alignment horizontal="left" vertical="top" wrapText="1"/>
    </xf>
    <xf numFmtId="0" fontId="90" fillId="61" borderId="9" xfId="0" applyFont="1" applyFill="1" applyBorder="1" applyAlignment="1">
      <alignment horizontal="center" vertical="center" wrapText="1"/>
    </xf>
    <xf numFmtId="0" fontId="0" fillId="0" borderId="16" xfId="0" applyBorder="1" applyAlignment="1">
      <alignment wrapText="1"/>
    </xf>
    <xf numFmtId="0" fontId="90" fillId="61" borderId="67" xfId="0" applyFont="1" applyFill="1" applyBorder="1" applyAlignment="1">
      <alignment horizontal="center" vertical="center" wrapText="1"/>
    </xf>
    <xf numFmtId="0" fontId="0" fillId="0" borderId="34" xfId="0" applyBorder="1" applyAlignment="1">
      <alignment horizontal="center" vertical="center" wrapText="1"/>
    </xf>
    <xf numFmtId="3" fontId="13" fillId="4" borderId="56" xfId="0" applyNumberFormat="1" applyFont="1" applyFill="1" applyBorder="1" applyAlignment="1">
      <alignment horizontal="left" vertical="top" wrapText="1"/>
    </xf>
    <xf numFmtId="0" fontId="0" fillId="0" borderId="111" xfId="0" applyBorder="1" applyAlignment="1">
      <alignment horizontal="left" vertical="top" wrapText="1"/>
    </xf>
    <xf numFmtId="0" fontId="19" fillId="4" borderId="56" xfId="0" applyFont="1" applyFill="1" applyBorder="1" applyAlignment="1">
      <alignment horizontal="left" vertical="top" wrapText="1"/>
    </xf>
    <xf numFmtId="0" fontId="13" fillId="4" borderId="1" xfId="0" applyFont="1" applyFill="1" applyBorder="1" applyAlignment="1">
      <alignment horizontal="right" wrapText="1"/>
    </xf>
    <xf numFmtId="0" fontId="13" fillId="0" borderId="35" xfId="0" applyFont="1" applyBorder="1" applyAlignment="1">
      <alignment horizontal="right" wrapText="1"/>
    </xf>
    <xf numFmtId="0" fontId="90" fillId="61" borderId="1" xfId="0" applyFont="1" applyFill="1" applyBorder="1" applyAlignment="1">
      <alignment horizontal="left" vertical="center" wrapText="1"/>
    </xf>
    <xf numFmtId="0" fontId="90" fillId="61" borderId="2" xfId="0" applyFont="1" applyFill="1" applyBorder="1" applyAlignment="1">
      <alignment horizontal="left" vertical="center" wrapText="1"/>
    </xf>
    <xf numFmtId="0" fontId="90" fillId="61" borderId="14" xfId="0" applyFont="1" applyFill="1" applyBorder="1" applyAlignment="1">
      <alignment horizontal="left" vertical="center" wrapText="1"/>
    </xf>
    <xf numFmtId="0" fontId="90" fillId="61" borderId="18" xfId="0" applyFont="1" applyFill="1" applyBorder="1" applyAlignment="1">
      <alignment horizontal="center" vertical="center" wrapText="1"/>
    </xf>
    <xf numFmtId="0" fontId="90" fillId="61" borderId="19" xfId="0" applyFont="1" applyFill="1" applyBorder="1" applyAlignment="1">
      <alignment horizontal="center" vertical="center" wrapText="1"/>
    </xf>
    <xf numFmtId="0" fontId="90" fillId="61" borderId="82"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0" xfId="0" applyBorder="1" applyAlignment="1">
      <alignment horizontal="center" vertical="center" wrapText="1"/>
    </xf>
    <xf numFmtId="0" fontId="13" fillId="4" borderId="1" xfId="0" applyFont="1" applyFill="1" applyBorder="1" applyAlignment="1">
      <alignment horizontal="right" vertical="top" wrapText="1"/>
    </xf>
    <xf numFmtId="0" fontId="0" fillId="0" borderId="2" xfId="0" applyBorder="1" applyAlignment="1">
      <alignment horizontal="right" vertical="top" wrapText="1"/>
    </xf>
    <xf numFmtId="0" fontId="0" fillId="0" borderId="35" xfId="0" applyBorder="1" applyAlignment="1">
      <alignment horizontal="right" vertical="top" wrapText="1"/>
    </xf>
    <xf numFmtId="0" fontId="45" fillId="0" borderId="1" xfId="0" applyFont="1" applyBorder="1" applyAlignment="1">
      <alignment horizontal="right" vertical="center" wrapText="1"/>
    </xf>
    <xf numFmtId="0" fontId="0" fillId="0" borderId="2" xfId="0" applyBorder="1" applyAlignment="1">
      <alignment horizontal="right" vertical="center" wrapText="1"/>
    </xf>
    <xf numFmtId="0" fontId="0" fillId="0" borderId="14" xfId="0" applyBorder="1" applyAlignment="1">
      <alignment horizontal="right" vertical="center" wrapText="1"/>
    </xf>
    <xf numFmtId="0" fontId="10" fillId="4" borderId="70" xfId="0" applyFont="1" applyFill="1" applyBorder="1" applyAlignment="1">
      <alignment horizontal="left" vertical="top" wrapText="1"/>
    </xf>
    <xf numFmtId="0" fontId="10" fillId="0" borderId="166" xfId="0" applyFont="1" applyBorder="1" applyAlignment="1">
      <alignment horizontal="left" vertical="top" wrapText="1"/>
    </xf>
    <xf numFmtId="0" fontId="10" fillId="0" borderId="119" xfId="0" applyFont="1" applyBorder="1" applyAlignment="1">
      <alignment horizontal="left" vertical="top"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13" fillId="4" borderId="70" xfId="0" applyFont="1" applyFill="1" applyBorder="1" applyAlignment="1">
      <alignment horizontal="right" vertical="center" wrapText="1"/>
    </xf>
    <xf numFmtId="0" fontId="0" fillId="0" borderId="166" xfId="0" applyBorder="1" applyAlignment="1">
      <alignment horizontal="right" vertical="center" wrapText="1"/>
    </xf>
    <xf numFmtId="0" fontId="0" fillId="0" borderId="120" xfId="0" applyBorder="1" applyAlignment="1">
      <alignment horizontal="right" vertical="center" wrapText="1"/>
    </xf>
    <xf numFmtId="0" fontId="10" fillId="0" borderId="17" xfId="0" applyFont="1" applyBorder="1" applyAlignment="1">
      <alignment horizontal="left" vertical="top" wrapText="1"/>
    </xf>
    <xf numFmtId="0" fontId="70" fillId="61" borderId="1" xfId="0" applyFont="1" applyFill="1" applyBorder="1" applyAlignment="1" applyProtection="1">
      <alignment horizontal="left" wrapText="1"/>
    </xf>
    <xf numFmtId="0" fontId="10" fillId="0" borderId="9" xfId="0" applyFont="1" applyFill="1" applyBorder="1" applyAlignment="1">
      <alignment horizontal="center" vertical="center" wrapText="1"/>
    </xf>
    <xf numFmtId="0" fontId="10" fillId="0" borderId="113"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6" xfId="0" applyFont="1" applyFill="1" applyBorder="1" applyAlignment="1">
      <alignment horizontal="center" vertical="center" wrapText="1"/>
    </xf>
    <xf numFmtId="3" fontId="10" fillId="4" borderId="4" xfId="0" applyNumberFormat="1" applyFont="1" applyFill="1" applyBorder="1" applyAlignment="1">
      <alignment horizontal="left" vertical="top" wrapText="1"/>
    </xf>
    <xf numFmtId="0" fontId="70" fillId="61" borderId="4" xfId="0" applyFont="1" applyFill="1" applyBorder="1" applyAlignment="1" applyProtection="1">
      <alignment horizontal="left" vertical="center" wrapText="1"/>
    </xf>
    <xf numFmtId="0" fontId="0" fillId="0" borderId="5" xfId="0" applyBorder="1" applyAlignment="1">
      <alignment horizontal="left" vertical="center" wrapText="1"/>
    </xf>
    <xf numFmtId="0" fontId="70" fillId="61" borderId="1" xfId="0" applyFont="1" applyFill="1" applyBorder="1" applyAlignment="1" applyProtection="1">
      <alignment horizontal="left" vertical="center" wrapText="1"/>
    </xf>
    <xf numFmtId="0" fontId="0" fillId="61" borderId="2" xfId="0"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4" xfId="0" applyFont="1" applyFill="1" applyBorder="1" applyAlignment="1">
      <alignment horizontal="left" vertical="center" wrapText="1"/>
    </xf>
    <xf numFmtId="49" fontId="19" fillId="4" borderId="1" xfId="0" applyNumberFormat="1" applyFont="1" applyFill="1" applyBorder="1" applyAlignment="1">
      <alignment horizontal="left" vertical="top" wrapText="1"/>
    </xf>
    <xf numFmtId="0" fontId="70" fillId="61" borderId="2" xfId="0" applyFont="1" applyFill="1" applyBorder="1" applyAlignment="1" applyProtection="1">
      <alignment horizontal="left" vertical="center" wrapText="1"/>
    </xf>
    <xf numFmtId="0" fontId="70" fillId="61" borderId="14" xfId="0" applyFont="1" applyFill="1" applyBorder="1" applyAlignment="1" applyProtection="1">
      <alignment horizontal="left" vertical="center" wrapText="1"/>
    </xf>
    <xf numFmtId="0" fontId="69" fillId="61" borderId="1" xfId="0" applyFont="1" applyFill="1" applyBorder="1" applyAlignment="1">
      <alignment horizontal="right" vertical="center" wrapText="1"/>
    </xf>
    <xf numFmtId="3" fontId="10" fillId="4" borderId="56" xfId="0" applyNumberFormat="1" applyFont="1" applyFill="1" applyBorder="1" applyAlignment="1">
      <alignment horizontal="left" vertical="top" wrapText="1"/>
    </xf>
    <xf numFmtId="0" fontId="0" fillId="0" borderId="51" xfId="0" applyBorder="1" applyAlignment="1">
      <alignment wrapText="1"/>
    </xf>
    <xf numFmtId="0" fontId="0" fillId="0" borderId="111" xfId="0" applyBorder="1" applyAlignment="1">
      <alignment wrapText="1"/>
    </xf>
    <xf numFmtId="0" fontId="69" fillId="61" borderId="10" xfId="0" applyFont="1" applyFill="1" applyBorder="1" applyAlignment="1">
      <alignment horizontal="center" vertical="center" wrapText="1"/>
    </xf>
    <xf numFmtId="0" fontId="69" fillId="61" borderId="114" xfId="0" applyFont="1" applyFill="1" applyBorder="1" applyAlignment="1">
      <alignment horizontal="center" vertical="center" wrapText="1"/>
    </xf>
    <xf numFmtId="0" fontId="19" fillId="0" borderId="2" xfId="0" applyFont="1" applyBorder="1" applyAlignment="1">
      <alignment horizontal="left" vertical="top" wrapText="1"/>
    </xf>
    <xf numFmtId="0" fontId="19" fillId="0" borderId="35" xfId="0" applyFont="1" applyBorder="1" applyAlignment="1">
      <alignment horizontal="left" vertical="top" wrapText="1"/>
    </xf>
    <xf numFmtId="0" fontId="69" fillId="61" borderId="68" xfId="0" applyFont="1" applyFill="1" applyBorder="1" applyAlignment="1">
      <alignment horizontal="center" vertical="center" wrapText="1"/>
    </xf>
    <xf numFmtId="0" fontId="0" fillId="0" borderId="3" xfId="0" applyBorder="1" applyAlignment="1">
      <alignment wrapText="1"/>
    </xf>
    <xf numFmtId="0" fontId="19" fillId="4" borderId="18" xfId="0" applyFont="1" applyFill="1" applyBorder="1" applyAlignment="1">
      <alignment horizontal="left" vertical="top" wrapText="1"/>
    </xf>
    <xf numFmtId="0" fontId="19" fillId="0" borderId="67" xfId="0" applyFont="1" applyBorder="1" applyAlignment="1">
      <alignment horizontal="left" vertical="top" wrapText="1"/>
    </xf>
    <xf numFmtId="0" fontId="19" fillId="4" borderId="70" xfId="0" applyFont="1" applyFill="1" applyBorder="1" applyAlignment="1">
      <alignment horizontal="left" vertical="top" wrapText="1"/>
    </xf>
    <xf numFmtId="0" fontId="69" fillId="61" borderId="66" xfId="0" applyFont="1" applyFill="1" applyBorder="1" applyAlignment="1">
      <alignment horizontal="center" vertical="center" wrapText="1"/>
    </xf>
    <xf numFmtId="0" fontId="0" fillId="0" borderId="23" xfId="0" applyBorder="1" applyAlignment="1">
      <alignment wrapText="1"/>
    </xf>
    <xf numFmtId="0" fontId="0" fillId="0" borderId="48" xfId="0" applyBorder="1" applyAlignment="1">
      <alignment wrapText="1"/>
    </xf>
    <xf numFmtId="0" fontId="69" fillId="61" borderId="8" xfId="0" applyFont="1" applyFill="1" applyBorder="1" applyAlignment="1">
      <alignment horizontal="center" vertical="center" wrapText="1"/>
    </xf>
    <xf numFmtId="0" fontId="13" fillId="4" borderId="112" xfId="0" applyFont="1" applyFill="1" applyBorder="1" applyAlignment="1">
      <alignment horizontal="right" vertical="center" wrapText="1"/>
    </xf>
    <xf numFmtId="0" fontId="13" fillId="0" borderId="112" xfId="0" applyFont="1" applyBorder="1" applyAlignment="1">
      <alignment horizontal="right" wrapText="1"/>
    </xf>
    <xf numFmtId="0" fontId="13" fillId="4" borderId="35" xfId="0" applyFont="1" applyFill="1" applyBorder="1" applyAlignment="1">
      <alignment horizontal="right" wrapText="1"/>
    </xf>
    <xf numFmtId="0" fontId="13" fillId="0" borderId="17" xfId="0" applyFont="1" applyBorder="1" applyAlignment="1">
      <alignment horizontal="right" wrapText="1"/>
    </xf>
    <xf numFmtId="0" fontId="13" fillId="4" borderId="120" xfId="0" applyFont="1" applyFill="1" applyBorder="1" applyAlignment="1">
      <alignment horizontal="right" vertical="center" wrapText="1"/>
    </xf>
    <xf numFmtId="0" fontId="13" fillId="0" borderId="165" xfId="0" applyFont="1" applyBorder="1" applyAlignment="1">
      <alignment horizontal="right" wrapText="1"/>
    </xf>
    <xf numFmtId="0" fontId="69" fillId="61" borderId="113" xfId="0" applyFont="1" applyFill="1" applyBorder="1" applyAlignment="1">
      <alignment horizontal="center" vertical="center" wrapText="1"/>
    </xf>
    <xf numFmtId="0" fontId="0" fillId="0" borderId="113" xfId="0" applyBorder="1" applyAlignment="1">
      <alignment wrapText="1"/>
    </xf>
    <xf numFmtId="0" fontId="0" fillId="0" borderId="11" xfId="0" applyBorder="1" applyAlignment="1">
      <alignment wrapText="1"/>
    </xf>
    <xf numFmtId="165" fontId="45" fillId="0" borderId="66" xfId="0" applyNumberFormat="1" applyFont="1" applyFill="1" applyBorder="1" applyAlignment="1">
      <alignment horizontal="right" vertical="center" wrapText="1"/>
    </xf>
    <xf numFmtId="0" fontId="45" fillId="0" borderId="118" xfId="0" applyFont="1" applyFill="1" applyBorder="1" applyAlignment="1">
      <alignment horizontal="right" vertical="center" wrapText="1"/>
    </xf>
    <xf numFmtId="0" fontId="70" fillId="61" borderId="4" xfId="0" applyFont="1" applyFill="1" applyBorder="1" applyAlignment="1" applyProtection="1">
      <alignment horizontal="left" vertical="top" wrapText="1"/>
    </xf>
    <xf numFmtId="0" fontId="0" fillId="0" borderId="5" xfId="0" applyBorder="1" applyAlignment="1">
      <alignment horizontal="left" vertical="top" wrapText="1"/>
    </xf>
    <xf numFmtId="0" fontId="70" fillId="61" borderId="9" xfId="0" applyFont="1" applyFill="1" applyBorder="1" applyAlignment="1">
      <alignment horizontal="left" vertical="top" wrapText="1"/>
    </xf>
    <xf numFmtId="0" fontId="0" fillId="0" borderId="10" xfId="0" applyBorder="1" applyAlignment="1">
      <alignment horizontal="left" vertical="top" wrapText="1"/>
    </xf>
    <xf numFmtId="0" fontId="19" fillId="4" borderId="13" xfId="0" applyFont="1" applyFill="1" applyBorder="1" applyAlignment="1">
      <alignment horizontal="left" vertical="top" wrapText="1"/>
    </xf>
    <xf numFmtId="0" fontId="19" fillId="0" borderId="95" xfId="0" applyFont="1" applyBorder="1" applyAlignment="1">
      <alignment horizontal="left" vertical="top" wrapText="1"/>
    </xf>
  </cellXfs>
  <cellStyles count="196">
    <cellStyle name="20% - Accent1" xfId="37" xr:uid="{00000000-0005-0000-0000-000000000000}"/>
    <cellStyle name="20% - Accent1 2" xfId="64" xr:uid="{00000000-0005-0000-0000-000001000000}"/>
    <cellStyle name="20% - Accent1 3" xfId="78" xr:uid="{00000000-0005-0000-0000-000002000000}"/>
    <cellStyle name="20% - Accent1 4" xfId="97" xr:uid="{00000000-0005-0000-0000-000003000000}"/>
    <cellStyle name="20% - Accent2" xfId="41" xr:uid="{00000000-0005-0000-0000-000004000000}"/>
    <cellStyle name="20% - Accent2 2" xfId="66" xr:uid="{00000000-0005-0000-0000-000005000000}"/>
    <cellStyle name="20% - Accent2 3" xfId="80" xr:uid="{00000000-0005-0000-0000-000006000000}"/>
    <cellStyle name="20% - Accent2 4" xfId="99" xr:uid="{00000000-0005-0000-0000-000007000000}"/>
    <cellStyle name="20% - Accent3" xfId="45" xr:uid="{00000000-0005-0000-0000-000008000000}"/>
    <cellStyle name="20% - Accent3 2" xfId="68" xr:uid="{00000000-0005-0000-0000-000009000000}"/>
    <cellStyle name="20% - Accent3 3" xfId="82" xr:uid="{00000000-0005-0000-0000-00000A000000}"/>
    <cellStyle name="20% - Accent3 4" xfId="101" xr:uid="{00000000-0005-0000-0000-00000B000000}"/>
    <cellStyle name="20% - Accent4" xfId="49" xr:uid="{00000000-0005-0000-0000-00000C000000}"/>
    <cellStyle name="20% - Accent4 2" xfId="70" xr:uid="{00000000-0005-0000-0000-00000D000000}"/>
    <cellStyle name="20% - Accent4 3" xfId="84" xr:uid="{00000000-0005-0000-0000-00000E000000}"/>
    <cellStyle name="20% - Accent4 4" xfId="103" xr:uid="{00000000-0005-0000-0000-00000F000000}"/>
    <cellStyle name="20% - Accent5" xfId="53" xr:uid="{00000000-0005-0000-0000-000010000000}"/>
    <cellStyle name="20% - Accent5 2" xfId="72" xr:uid="{00000000-0005-0000-0000-000011000000}"/>
    <cellStyle name="20% - Accent5 3" xfId="86" xr:uid="{00000000-0005-0000-0000-000012000000}"/>
    <cellStyle name="20% - Accent5 4" xfId="105" xr:uid="{00000000-0005-0000-0000-000013000000}"/>
    <cellStyle name="20% - Accent6" xfId="57" xr:uid="{00000000-0005-0000-0000-000014000000}"/>
    <cellStyle name="20% - Accent6 2" xfId="74" xr:uid="{00000000-0005-0000-0000-000015000000}"/>
    <cellStyle name="20% - Accent6 3" xfId="88" xr:uid="{00000000-0005-0000-0000-000016000000}"/>
    <cellStyle name="20% - Accent6 4" xfId="107" xr:uid="{00000000-0005-0000-0000-000017000000}"/>
    <cellStyle name="40% - Accent1" xfId="38" xr:uid="{00000000-0005-0000-0000-000018000000}"/>
    <cellStyle name="40% - Accent1 2" xfId="65" xr:uid="{00000000-0005-0000-0000-000019000000}"/>
    <cellStyle name="40% - Accent1 3" xfId="79" xr:uid="{00000000-0005-0000-0000-00001A000000}"/>
    <cellStyle name="40% - Accent1 4" xfId="98" xr:uid="{00000000-0005-0000-0000-00001B000000}"/>
    <cellStyle name="40% - Accent2" xfId="42" xr:uid="{00000000-0005-0000-0000-00001C000000}"/>
    <cellStyle name="40% - Accent2 2" xfId="67" xr:uid="{00000000-0005-0000-0000-00001D000000}"/>
    <cellStyle name="40% - Accent2 3" xfId="81" xr:uid="{00000000-0005-0000-0000-00001E000000}"/>
    <cellStyle name="40% - Accent2 4" xfId="100" xr:uid="{00000000-0005-0000-0000-00001F000000}"/>
    <cellStyle name="40% - Accent3" xfId="46" xr:uid="{00000000-0005-0000-0000-000020000000}"/>
    <cellStyle name="40% - Accent3 2" xfId="69" xr:uid="{00000000-0005-0000-0000-000021000000}"/>
    <cellStyle name="40% - Accent3 3" xfId="83" xr:uid="{00000000-0005-0000-0000-000022000000}"/>
    <cellStyle name="40% - Accent3 4" xfId="102" xr:uid="{00000000-0005-0000-0000-000023000000}"/>
    <cellStyle name="40% - Accent4" xfId="50" xr:uid="{00000000-0005-0000-0000-000024000000}"/>
    <cellStyle name="40% - Accent4 2" xfId="71" xr:uid="{00000000-0005-0000-0000-000025000000}"/>
    <cellStyle name="40% - Accent4 3" xfId="85" xr:uid="{00000000-0005-0000-0000-000026000000}"/>
    <cellStyle name="40% - Accent4 4" xfId="104" xr:uid="{00000000-0005-0000-0000-000027000000}"/>
    <cellStyle name="40% - Accent5" xfId="54" xr:uid="{00000000-0005-0000-0000-000028000000}"/>
    <cellStyle name="40% - Accent5 2" xfId="73" xr:uid="{00000000-0005-0000-0000-000029000000}"/>
    <cellStyle name="40% - Accent5 3" xfId="87" xr:uid="{00000000-0005-0000-0000-00002A000000}"/>
    <cellStyle name="40% - Accent5 4" xfId="106" xr:uid="{00000000-0005-0000-0000-00002B000000}"/>
    <cellStyle name="40% - Accent6" xfId="58" xr:uid="{00000000-0005-0000-0000-00002C000000}"/>
    <cellStyle name="40% - Accent6 2" xfId="75" xr:uid="{00000000-0005-0000-0000-00002D000000}"/>
    <cellStyle name="40% - Accent6 3" xfId="89" xr:uid="{00000000-0005-0000-0000-00002E000000}"/>
    <cellStyle name="40% - Accent6 4" xfId="108" xr:uid="{00000000-0005-0000-0000-00002F000000}"/>
    <cellStyle name="60% - Accent1" xfId="39" builtinId="32" customBuiltin="1"/>
    <cellStyle name="60% - Accent1 2" xfId="113" xr:uid="{00000000-0005-0000-0000-000031000000}"/>
    <cellStyle name="60% - Accent1 3" xfId="114" xr:uid="{00000000-0005-0000-0000-000032000000}"/>
    <cellStyle name="60% - Accent2" xfId="43" builtinId="36" customBuiltin="1"/>
    <cellStyle name="60% - Accent2 2" xfId="115" xr:uid="{00000000-0005-0000-0000-000034000000}"/>
    <cellStyle name="60% - Accent2 3" xfId="116" xr:uid="{00000000-0005-0000-0000-000035000000}"/>
    <cellStyle name="60% - Accent3" xfId="47" builtinId="40" customBuiltin="1"/>
    <cellStyle name="60% - Accent3 2" xfId="117" xr:uid="{00000000-0005-0000-0000-000037000000}"/>
    <cellStyle name="60% - Accent3 3" xfId="118" xr:uid="{00000000-0005-0000-0000-000038000000}"/>
    <cellStyle name="60% - Accent4" xfId="51" builtinId="44" customBuiltin="1"/>
    <cellStyle name="60% - Accent4 2" xfId="119" xr:uid="{00000000-0005-0000-0000-00003A000000}"/>
    <cellStyle name="60% - Accent4 3" xfId="120" xr:uid="{00000000-0005-0000-0000-00003B000000}"/>
    <cellStyle name="60% - Accent5" xfId="55" builtinId="48" customBuiltin="1"/>
    <cellStyle name="60% - Accent5 2" xfId="121" xr:uid="{00000000-0005-0000-0000-00003D000000}"/>
    <cellStyle name="60% - Accent5 3" xfId="122" xr:uid="{00000000-0005-0000-0000-00003E000000}"/>
    <cellStyle name="60% - Accent6" xfId="59" builtinId="52" customBuiltin="1"/>
    <cellStyle name="60% - Accent6 2" xfId="123" xr:uid="{00000000-0005-0000-0000-000040000000}"/>
    <cellStyle name="60% - Accent6 3" xfId="124" xr:uid="{00000000-0005-0000-0000-000041000000}"/>
    <cellStyle name="Accent1" xfId="36" builtinId="29" customBuiltin="1"/>
    <cellStyle name="Accent1 2" xfId="7" xr:uid="{00000000-0005-0000-0000-000043000000}"/>
    <cellStyle name="Accent1 3" xfId="125" xr:uid="{00000000-0005-0000-0000-000044000000}"/>
    <cellStyle name="Accent1 4" xfId="126" xr:uid="{00000000-0005-0000-0000-000045000000}"/>
    <cellStyle name="Accent2" xfId="40" builtinId="33" customBuiltin="1"/>
    <cellStyle name="Accent2 2" xfId="127" xr:uid="{00000000-0005-0000-0000-000047000000}"/>
    <cellStyle name="Accent2 3" xfId="128" xr:uid="{00000000-0005-0000-0000-000048000000}"/>
    <cellStyle name="Accent3" xfId="44" builtinId="37" customBuiltin="1"/>
    <cellStyle name="Accent3 2" xfId="129" xr:uid="{00000000-0005-0000-0000-00004A000000}"/>
    <cellStyle name="Accent3 3" xfId="130" xr:uid="{00000000-0005-0000-0000-00004B000000}"/>
    <cellStyle name="Accent4" xfId="48" builtinId="41" customBuiltin="1"/>
    <cellStyle name="Accent4 2" xfId="131" xr:uid="{00000000-0005-0000-0000-00004D000000}"/>
    <cellStyle name="Accent4 3" xfId="132" xr:uid="{00000000-0005-0000-0000-00004E000000}"/>
    <cellStyle name="Accent5" xfId="52" builtinId="45" customBuiltin="1"/>
    <cellStyle name="Accent5 2" xfId="133" xr:uid="{00000000-0005-0000-0000-000050000000}"/>
    <cellStyle name="Accent5 3" xfId="134" xr:uid="{00000000-0005-0000-0000-000051000000}"/>
    <cellStyle name="Accent6" xfId="56" builtinId="49" customBuiltin="1"/>
    <cellStyle name="Accent6 2" xfId="135" xr:uid="{00000000-0005-0000-0000-000053000000}"/>
    <cellStyle name="Accent6 3" xfId="136" xr:uid="{00000000-0005-0000-0000-000054000000}"/>
    <cellStyle name="Bad" xfId="26" builtinId="27" customBuiltin="1"/>
    <cellStyle name="Bad 2" xfId="137" xr:uid="{00000000-0005-0000-0000-000056000000}"/>
    <cellStyle name="Bad 3" xfId="138" xr:uid="{00000000-0005-0000-0000-000057000000}"/>
    <cellStyle name="Body: normal cell" xfId="188" xr:uid="{00000000-0005-0000-0000-000058000000}"/>
    <cellStyle name="Calculation" xfId="30" builtinId="22" customBuiltin="1"/>
    <cellStyle name="Calculation 2" xfId="139" xr:uid="{00000000-0005-0000-0000-00005A000000}"/>
    <cellStyle name="Calculation 3" xfId="140" xr:uid="{00000000-0005-0000-0000-00005B000000}"/>
    <cellStyle name="Calculation 4" xfId="141" xr:uid="{00000000-0005-0000-0000-00005C000000}"/>
    <cellStyle name="Check Cell" xfId="32" builtinId="23" customBuiltin="1"/>
    <cellStyle name="Check Cell 2" xfId="142" xr:uid="{00000000-0005-0000-0000-00005E000000}"/>
    <cellStyle name="Check Cell 3" xfId="143" xr:uid="{00000000-0005-0000-0000-00005F000000}"/>
    <cellStyle name="Comma" xfId="1" builtinId="3"/>
    <cellStyle name="Comma 2" xfId="15" xr:uid="{00000000-0005-0000-0000-000061000000}"/>
    <cellStyle name="Comma 3" xfId="94" xr:uid="{00000000-0005-0000-0000-000062000000}"/>
    <cellStyle name="Comma 3 2" xfId="144" xr:uid="{00000000-0005-0000-0000-000063000000}"/>
    <cellStyle name="Comma 4" xfId="185" xr:uid="{00000000-0005-0000-0000-000064000000}"/>
    <cellStyle name="Comma 5" xfId="17" xr:uid="{00000000-0005-0000-0000-000065000000}"/>
    <cellStyle name="Currency 2" xfId="145" xr:uid="{00000000-0005-0000-0000-000066000000}"/>
    <cellStyle name="Currency 3" xfId="146" xr:uid="{00000000-0005-0000-0000-000067000000}"/>
    <cellStyle name="Currency 3 2" xfId="147" xr:uid="{00000000-0005-0000-0000-000068000000}"/>
    <cellStyle name="Explanatory Text" xfId="34" builtinId="53" customBuiltin="1"/>
    <cellStyle name="Explanatory Text 2" xfId="148" xr:uid="{00000000-0005-0000-0000-00006A000000}"/>
    <cellStyle name="Explanatory Text 3" xfId="149" xr:uid="{00000000-0005-0000-0000-00006B000000}"/>
    <cellStyle name="Font: Calibri, 9pt regular" xfId="183" xr:uid="{00000000-0005-0000-0000-00006C000000}"/>
    <cellStyle name="Footnotes: all except top row" xfId="190" xr:uid="{00000000-0005-0000-0000-00006D000000}"/>
    <cellStyle name="Footnotes: top row" xfId="191" xr:uid="{00000000-0005-0000-0000-00006E000000}"/>
    <cellStyle name="Good" xfId="25" builtinId="26" customBuiltin="1"/>
    <cellStyle name="Good 2" xfId="150" xr:uid="{00000000-0005-0000-0000-000070000000}"/>
    <cellStyle name="Good 3" xfId="151" xr:uid="{00000000-0005-0000-0000-000071000000}"/>
    <cellStyle name="Header: bottom row" xfId="187" xr:uid="{00000000-0005-0000-0000-000072000000}"/>
    <cellStyle name="Header: top rows" xfId="192" xr:uid="{00000000-0005-0000-0000-000073000000}"/>
    <cellStyle name="Heading 1" xfId="21" builtinId="16" customBuiltin="1"/>
    <cellStyle name="Heading 1 2" xfId="152" xr:uid="{00000000-0005-0000-0000-000075000000}"/>
    <cellStyle name="Heading 1 3" xfId="153" xr:uid="{00000000-0005-0000-0000-000076000000}"/>
    <cellStyle name="Heading 2" xfId="22" builtinId="17" customBuiltin="1"/>
    <cellStyle name="Heading 2 2" xfId="154" xr:uid="{00000000-0005-0000-0000-000078000000}"/>
    <cellStyle name="Heading 2 3" xfId="155" xr:uid="{00000000-0005-0000-0000-000079000000}"/>
    <cellStyle name="Heading 3" xfId="23" builtinId="18" customBuiltin="1"/>
    <cellStyle name="Heading 3 2" xfId="156" xr:uid="{00000000-0005-0000-0000-00007B000000}"/>
    <cellStyle name="Heading 3 3" xfId="157" xr:uid="{00000000-0005-0000-0000-00007C000000}"/>
    <cellStyle name="Heading 4" xfId="24" builtinId="19" customBuiltin="1"/>
    <cellStyle name="Heading 4 2" xfId="158" xr:uid="{00000000-0005-0000-0000-00007E000000}"/>
    <cellStyle name="Heading 4 3" xfId="159" xr:uid="{00000000-0005-0000-0000-00007F000000}"/>
    <cellStyle name="Hyperlink" xfId="2" builtinId="8"/>
    <cellStyle name="Hyperlink 2" xfId="6" xr:uid="{00000000-0005-0000-0000-000081000000}"/>
    <cellStyle name="Hyperlink 2 2" xfId="160" xr:uid="{00000000-0005-0000-0000-000082000000}"/>
    <cellStyle name="Hyperlink 2 3" xfId="161" xr:uid="{00000000-0005-0000-0000-000083000000}"/>
    <cellStyle name="Hyperlink 3" xfId="111" xr:uid="{00000000-0005-0000-0000-000084000000}"/>
    <cellStyle name="Input" xfId="28" builtinId="20" customBuiltin="1"/>
    <cellStyle name="Input 2" xfId="162" xr:uid="{00000000-0005-0000-0000-000086000000}"/>
    <cellStyle name="Input 3" xfId="163" xr:uid="{00000000-0005-0000-0000-000087000000}"/>
    <cellStyle name="Input 4" xfId="164" xr:uid="{00000000-0005-0000-0000-000088000000}"/>
    <cellStyle name="Linked Cell" xfId="31" builtinId="24" customBuiltin="1"/>
    <cellStyle name="Linked Cell 2" xfId="165" xr:uid="{00000000-0005-0000-0000-00008A000000}"/>
    <cellStyle name="Linked Cell 3" xfId="166" xr:uid="{00000000-0005-0000-0000-00008B000000}"/>
    <cellStyle name="Neutral" xfId="27" builtinId="28" customBuiltin="1"/>
    <cellStyle name="Neutral 2" xfId="167" xr:uid="{00000000-0005-0000-0000-00008D000000}"/>
    <cellStyle name="Neutral 3" xfId="168" xr:uid="{00000000-0005-0000-0000-00008E000000}"/>
    <cellStyle name="Normal" xfId="0" builtinId="0"/>
    <cellStyle name="Normal 10" xfId="92" xr:uid="{00000000-0005-0000-0000-000090000000}"/>
    <cellStyle name="Normal 10 2" xfId="112" xr:uid="{00000000-0005-0000-0000-000091000000}"/>
    <cellStyle name="Normal 11" xfId="93" xr:uid="{00000000-0005-0000-0000-000092000000}"/>
    <cellStyle name="Normal 12" xfId="95" xr:uid="{00000000-0005-0000-0000-000093000000}"/>
    <cellStyle name="Normal 13" xfId="110" xr:uid="{00000000-0005-0000-0000-000094000000}"/>
    <cellStyle name="Normal 14" xfId="184" xr:uid="{00000000-0005-0000-0000-000095000000}"/>
    <cellStyle name="Normal 2" xfId="4" xr:uid="{00000000-0005-0000-0000-000096000000}"/>
    <cellStyle name="Normal 2 2" xfId="19" xr:uid="{00000000-0005-0000-0000-000097000000}"/>
    <cellStyle name="Normal 2 2 2" xfId="169" xr:uid="{00000000-0005-0000-0000-000098000000}"/>
    <cellStyle name="Normal 2 2_2010 San Mateo County Master Data Workbook" xfId="170" xr:uid="{00000000-0005-0000-0000-000099000000}"/>
    <cellStyle name="Normal 2_Inventory Data Checklist" xfId="171" xr:uid="{00000000-0005-0000-0000-00009A000000}"/>
    <cellStyle name="Normal 3" xfId="5" xr:uid="{00000000-0005-0000-0000-00009B000000}"/>
    <cellStyle name="Normal 3 2" xfId="9" xr:uid="{00000000-0005-0000-0000-00009C000000}"/>
    <cellStyle name="Normal 3 2 2" xfId="14" xr:uid="{00000000-0005-0000-0000-00009D000000}"/>
    <cellStyle name="Normal 3 2 3" xfId="12" xr:uid="{00000000-0005-0000-0000-00009E000000}"/>
    <cellStyle name="Normal 3 3" xfId="10" xr:uid="{00000000-0005-0000-0000-00009F000000}"/>
    <cellStyle name="Normal 3 4" xfId="172" xr:uid="{00000000-0005-0000-0000-0000A0000000}"/>
    <cellStyle name="Normal 4" xfId="8" xr:uid="{00000000-0005-0000-0000-0000A1000000}"/>
    <cellStyle name="Normal 4 2" xfId="13" xr:uid="{00000000-0005-0000-0000-0000A2000000}"/>
    <cellStyle name="Normal 4 3" xfId="11" xr:uid="{00000000-0005-0000-0000-0000A3000000}"/>
    <cellStyle name="Normal 4 4" xfId="16" xr:uid="{00000000-0005-0000-0000-0000A4000000}"/>
    <cellStyle name="Normal 5" xfId="60" xr:uid="{00000000-0005-0000-0000-0000A5000000}"/>
    <cellStyle name="Normal 5 2" xfId="109" xr:uid="{00000000-0005-0000-0000-0000A6000000}"/>
    <cellStyle name="Normal 6" xfId="62" xr:uid="{00000000-0005-0000-0000-0000A7000000}"/>
    <cellStyle name="Normal 7" xfId="76" xr:uid="{00000000-0005-0000-0000-0000A8000000}"/>
    <cellStyle name="Normal 8" xfId="90" xr:uid="{00000000-0005-0000-0000-0000A9000000}"/>
    <cellStyle name="Normal 9" xfId="91" xr:uid="{00000000-0005-0000-0000-0000AA000000}"/>
    <cellStyle name="Note 2" xfId="61" xr:uid="{00000000-0005-0000-0000-0000AB000000}"/>
    <cellStyle name="Note 3" xfId="63" xr:uid="{00000000-0005-0000-0000-0000AC000000}"/>
    <cellStyle name="Note 4" xfId="77" xr:uid="{00000000-0005-0000-0000-0000AD000000}"/>
    <cellStyle name="Note 5" xfId="96" xr:uid="{00000000-0005-0000-0000-0000AE000000}"/>
    <cellStyle name="Output" xfId="29" builtinId="21" customBuiltin="1"/>
    <cellStyle name="Output 2" xfId="173" xr:uid="{00000000-0005-0000-0000-0000B0000000}"/>
    <cellStyle name="Output 3" xfId="174" xr:uid="{00000000-0005-0000-0000-0000B1000000}"/>
    <cellStyle name="Output 4" xfId="175" xr:uid="{00000000-0005-0000-0000-0000B2000000}"/>
    <cellStyle name="Parent row" xfId="189" xr:uid="{00000000-0005-0000-0000-0000B3000000}"/>
    <cellStyle name="Percent" xfId="3" builtinId="5"/>
    <cellStyle name="Percent 2" xfId="18" xr:uid="{00000000-0005-0000-0000-0000B5000000}"/>
    <cellStyle name="Percent 3" xfId="186" xr:uid="{00000000-0005-0000-0000-0000B6000000}"/>
    <cellStyle name="Section Break" xfId="193" xr:uid="{00000000-0005-0000-0000-0000B7000000}"/>
    <cellStyle name="Section Break: parent row" xfId="194" xr:uid="{00000000-0005-0000-0000-0000B8000000}"/>
    <cellStyle name="Table title" xfId="195" xr:uid="{00000000-0005-0000-0000-0000B9000000}"/>
    <cellStyle name="Title" xfId="20" builtinId="15" customBuiltin="1"/>
    <cellStyle name="Title 2" xfId="176" xr:uid="{00000000-0005-0000-0000-0000BB000000}"/>
    <cellStyle name="Title 3" xfId="177" xr:uid="{00000000-0005-0000-0000-0000BC000000}"/>
    <cellStyle name="Total" xfId="35" builtinId="25" customBuiltin="1"/>
    <cellStyle name="Total 2" xfId="178" xr:uid="{00000000-0005-0000-0000-0000BE000000}"/>
    <cellStyle name="Total 3" xfId="179" xr:uid="{00000000-0005-0000-0000-0000BF000000}"/>
    <cellStyle name="Total 4" xfId="180" xr:uid="{00000000-0005-0000-0000-0000C0000000}"/>
    <cellStyle name="Warning Text" xfId="33" builtinId="11" customBuiltin="1"/>
    <cellStyle name="Warning Text 2" xfId="181" xr:uid="{00000000-0005-0000-0000-0000C2000000}"/>
    <cellStyle name="Warning Text 3" xfId="182" xr:uid="{00000000-0005-0000-0000-0000C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a:t>
            </a:r>
            <a:r>
              <a:rPr lang="en-US" baseline="0"/>
              <a:t> of Total Building Energy Emissions by Customer Type and Fuel</a:t>
            </a:r>
            <a:endParaRPr lang="en-US"/>
          </a:p>
        </c:rich>
      </c:tx>
      <c:layout>
        <c:manualLayout>
          <c:xMode val="edge"/>
          <c:yMode val="edge"/>
          <c:x val="0.21919968264072442"/>
          <c:y val="3.57729164964871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443787122790735"/>
          <c:y val="0.15624533109446734"/>
          <c:w val="0.35290323178640676"/>
          <c:h val="0.76492162797326269"/>
        </c:manualLayout>
      </c:layout>
      <c:barChart>
        <c:barDir val="col"/>
        <c:grouping val="stacked"/>
        <c:varyColors val="0"/>
        <c:ser>
          <c:idx val="3"/>
          <c:order val="0"/>
          <c:tx>
            <c:strRef>
              <c:f>'All Emissions - Summary'!$C$107</c:f>
              <c:strCache>
                <c:ptCount val="1"/>
                <c:pt idx="0">
                  <c:v> Comm. &amp; Man. Natural Gas</c:v>
                </c:pt>
              </c:strCache>
            </c:strRef>
          </c:tx>
          <c:spPr>
            <a:solidFill>
              <a:schemeClr val="accent4"/>
            </a:solidFill>
            <a:ln>
              <a:noFill/>
            </a:ln>
            <a:effectLst/>
          </c:spPr>
          <c:invertIfNegative val="0"/>
          <c:dLbls>
            <c:delete val="1"/>
          </c:dLbls>
          <c:cat>
            <c:strRef>
              <c:f>'All Emissions - Summary'!$F$40</c:f>
              <c:strCache>
                <c:ptCount val="1"/>
                <c:pt idx="0">
                  <c:v>Emissions 
(MT CO2e)</c:v>
                </c:pt>
              </c:strCache>
            </c:strRef>
          </c:cat>
          <c:val>
            <c:numRef>
              <c:f>'All Emissions - Summary'!$F$107</c:f>
              <c:numCache>
                <c:formatCode>0.0%</c:formatCode>
                <c:ptCount val="1"/>
                <c:pt idx="0">
                  <c:v>0</c:v>
                </c:pt>
              </c:numCache>
            </c:numRef>
          </c:val>
          <c:extLst>
            <c:ext xmlns:c16="http://schemas.microsoft.com/office/drawing/2014/chart" uri="{C3380CC4-5D6E-409C-BE32-E72D297353CC}">
              <c16:uniqueId val="{00000000-FB74-4655-8E23-058E93D0F67C}"/>
            </c:ext>
          </c:extLst>
        </c:ser>
        <c:ser>
          <c:idx val="1"/>
          <c:order val="1"/>
          <c:tx>
            <c:strRef>
              <c:f>'All Emissions - Summary'!$C$103</c:f>
              <c:strCache>
                <c:ptCount val="1"/>
                <c:pt idx="0">
                  <c:v> Res. Natural Gas</c:v>
                </c:pt>
              </c:strCache>
            </c:strRef>
          </c:tx>
          <c:spPr>
            <a:solidFill>
              <a:schemeClr val="accent2"/>
            </a:solidFill>
            <a:ln>
              <a:noFill/>
            </a:ln>
            <a:effectLst/>
          </c:spPr>
          <c:invertIfNegative val="0"/>
          <c:dLbls>
            <c:delete val="1"/>
          </c:dLbls>
          <c:cat>
            <c:strRef>
              <c:f>'All Emissions - Summary'!$F$40</c:f>
              <c:strCache>
                <c:ptCount val="1"/>
                <c:pt idx="0">
                  <c:v>Emissions 
(MT CO2e)</c:v>
                </c:pt>
              </c:strCache>
            </c:strRef>
          </c:cat>
          <c:val>
            <c:numRef>
              <c:f>'All Emissions - Summary'!$F$103</c:f>
              <c:numCache>
                <c:formatCode>0.0%</c:formatCode>
                <c:ptCount val="1"/>
                <c:pt idx="0">
                  <c:v>0</c:v>
                </c:pt>
              </c:numCache>
            </c:numRef>
          </c:val>
          <c:extLst>
            <c:ext xmlns:c16="http://schemas.microsoft.com/office/drawing/2014/chart" uri="{C3380CC4-5D6E-409C-BE32-E72D297353CC}">
              <c16:uniqueId val="{00000001-FB74-4655-8E23-058E93D0F67C}"/>
            </c:ext>
          </c:extLst>
        </c:ser>
        <c:ser>
          <c:idx val="2"/>
          <c:order val="2"/>
          <c:tx>
            <c:strRef>
              <c:f>'All Emissions - Summary'!$C$106</c:f>
              <c:strCache>
                <c:ptCount val="1"/>
                <c:pt idx="0">
                  <c:v> Comm. &amp; Man. Electricity</c:v>
                </c:pt>
              </c:strCache>
            </c:strRef>
          </c:tx>
          <c:spPr>
            <a:solidFill>
              <a:schemeClr val="accent3"/>
            </a:solidFill>
            <a:ln>
              <a:noFill/>
            </a:ln>
            <a:effectLst>
              <a:outerShdw blurRad="40000" dist="23000" dir="5400000" rotWithShape="0">
                <a:srgbClr val="000000">
                  <a:alpha val="35000"/>
                </a:srgbClr>
              </a:outerShdw>
            </a:effectLst>
          </c:spPr>
          <c:invertIfNegative val="0"/>
          <c:dLbls>
            <c:delete val="1"/>
          </c:dLbls>
          <c:cat>
            <c:strRef>
              <c:f>'All Emissions - Summary'!$F$40</c:f>
              <c:strCache>
                <c:ptCount val="1"/>
                <c:pt idx="0">
                  <c:v>Emissions 
(MT CO2e)</c:v>
                </c:pt>
              </c:strCache>
            </c:strRef>
          </c:cat>
          <c:val>
            <c:numRef>
              <c:f>'All Emissions - Summary'!$F$106</c:f>
              <c:numCache>
                <c:formatCode>0.0%</c:formatCode>
                <c:ptCount val="1"/>
                <c:pt idx="0">
                  <c:v>0.15218725916700193</c:v>
                </c:pt>
              </c:numCache>
            </c:numRef>
          </c:val>
          <c:extLst>
            <c:ext xmlns:c16="http://schemas.microsoft.com/office/drawing/2014/chart" uri="{C3380CC4-5D6E-409C-BE32-E72D297353CC}">
              <c16:uniqueId val="{00000002-FB74-4655-8E23-058E93D0F67C}"/>
            </c:ext>
          </c:extLst>
        </c:ser>
        <c:ser>
          <c:idx val="0"/>
          <c:order val="3"/>
          <c:tx>
            <c:strRef>
              <c:f>'All Emissions - Summary'!$C$102</c:f>
              <c:strCache>
                <c:ptCount val="1"/>
                <c:pt idx="0">
                  <c:v> Res. Electricity</c:v>
                </c:pt>
              </c:strCache>
            </c:strRef>
          </c:tx>
          <c:spPr>
            <a:solidFill>
              <a:schemeClr val="accent1"/>
            </a:solidFill>
            <a:ln>
              <a:noFill/>
            </a:ln>
            <a:effectLst/>
          </c:spPr>
          <c:invertIfNegative val="0"/>
          <c:dLbls>
            <c:delete val="1"/>
          </c:dLbls>
          <c:cat>
            <c:strRef>
              <c:f>'All Emissions - Summary'!$F$40</c:f>
              <c:strCache>
                <c:ptCount val="1"/>
                <c:pt idx="0">
                  <c:v>Emissions 
(MT CO2e)</c:v>
                </c:pt>
              </c:strCache>
            </c:strRef>
          </c:cat>
          <c:val>
            <c:numRef>
              <c:f>'All Emissions - Summary'!$F$102</c:f>
              <c:numCache>
                <c:formatCode>0.0%</c:formatCode>
                <c:ptCount val="1"/>
                <c:pt idx="0">
                  <c:v>0.30218278976114626</c:v>
                </c:pt>
              </c:numCache>
            </c:numRef>
          </c:val>
          <c:extLst>
            <c:ext xmlns:c16="http://schemas.microsoft.com/office/drawing/2014/chart" uri="{C3380CC4-5D6E-409C-BE32-E72D297353CC}">
              <c16:uniqueId val="{00000003-FB74-4655-8E23-058E93D0F67C}"/>
            </c:ext>
          </c:extLst>
        </c:ser>
        <c:ser>
          <c:idx val="4"/>
          <c:order val="4"/>
          <c:tx>
            <c:strRef>
              <c:f>'All Emissions - Summary'!$C$105</c:f>
              <c:strCache>
                <c:ptCount val="1"/>
                <c:pt idx="0">
                  <c:v> Res. Fuel Oil</c:v>
                </c:pt>
              </c:strCache>
            </c:strRef>
          </c:tx>
          <c:spPr>
            <a:solidFill>
              <a:schemeClr val="accent5"/>
            </a:solidFill>
            <a:ln>
              <a:noFill/>
            </a:ln>
            <a:effectLst/>
          </c:spPr>
          <c:invertIfNegative val="0"/>
          <c:dLbls>
            <c:delete val="1"/>
          </c:dLbls>
          <c:val>
            <c:numRef>
              <c:f>'All Emissions - Summary'!$F$105</c:f>
              <c:numCache>
                <c:formatCode>0.0%</c:formatCode>
                <c:ptCount val="1"/>
                <c:pt idx="0">
                  <c:v>0.12000050750119187</c:v>
                </c:pt>
              </c:numCache>
            </c:numRef>
          </c:val>
          <c:extLst>
            <c:ext xmlns:c16="http://schemas.microsoft.com/office/drawing/2014/chart" uri="{C3380CC4-5D6E-409C-BE32-E72D297353CC}">
              <c16:uniqueId val="{00000004-FB74-4655-8E23-058E93D0F67C}"/>
            </c:ext>
          </c:extLst>
        </c:ser>
        <c:ser>
          <c:idx val="5"/>
          <c:order val="5"/>
          <c:tx>
            <c:strRef>
              <c:f>'All Emissions - Summary'!$C$109</c:f>
              <c:strCache>
                <c:ptCount val="1"/>
                <c:pt idx="0">
                  <c:v> Comm. &amp; Man. Fuel Oil</c:v>
                </c:pt>
              </c:strCache>
            </c:strRef>
          </c:tx>
          <c:spPr>
            <a:solidFill>
              <a:schemeClr val="accent6"/>
            </a:solidFill>
            <a:ln>
              <a:noFill/>
            </a:ln>
            <a:effectLst/>
          </c:spPr>
          <c:invertIfNegative val="0"/>
          <c:dLbls>
            <c:delete val="1"/>
          </c:dLbls>
          <c:val>
            <c:numRef>
              <c:f>'All Emissions - Summary'!$F$109</c:f>
              <c:numCache>
                <c:formatCode>0.0%</c:formatCode>
                <c:ptCount val="1"/>
                <c:pt idx="0">
                  <c:v>6.4309590647194229E-2</c:v>
                </c:pt>
              </c:numCache>
            </c:numRef>
          </c:val>
          <c:extLst>
            <c:ext xmlns:c16="http://schemas.microsoft.com/office/drawing/2014/chart" uri="{C3380CC4-5D6E-409C-BE32-E72D297353CC}">
              <c16:uniqueId val="{00000005-FB74-4655-8E23-058E93D0F67C}"/>
            </c:ext>
          </c:extLst>
        </c:ser>
        <c:dLbls>
          <c:showLegendKey val="0"/>
          <c:showVal val="1"/>
          <c:showCatName val="0"/>
          <c:showSerName val="0"/>
          <c:showPercent val="0"/>
          <c:showBubbleSize val="0"/>
        </c:dLbls>
        <c:gapWidth val="150"/>
        <c:overlap val="100"/>
        <c:axId val="457779208"/>
        <c:axId val="457780384"/>
      </c:barChart>
      <c:catAx>
        <c:axId val="457779208"/>
        <c:scaling>
          <c:orientation val="minMax"/>
        </c:scaling>
        <c:delete val="1"/>
        <c:axPos val="b"/>
        <c:numFmt formatCode="General" sourceLinked="1"/>
        <c:majorTickMark val="none"/>
        <c:minorTickMark val="none"/>
        <c:tickLblPos val="nextTo"/>
        <c:crossAx val="457780384"/>
        <c:crosses val="autoZero"/>
        <c:auto val="1"/>
        <c:lblAlgn val="ctr"/>
        <c:lblOffset val="100"/>
        <c:noMultiLvlLbl val="0"/>
      </c:catAx>
      <c:valAx>
        <c:axId val="457780384"/>
        <c:scaling>
          <c:orientation val="minMax"/>
          <c:max val="1"/>
          <c:min val="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MT CO2e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7779208"/>
        <c:crosses val="autoZero"/>
        <c:crossBetween val="between"/>
      </c:valAx>
      <c:spPr>
        <a:noFill/>
        <a:ln>
          <a:noFill/>
        </a:ln>
        <a:effectLst/>
      </c:spPr>
    </c:plotArea>
    <c:legend>
      <c:legendPos val="r"/>
      <c:layout>
        <c:manualLayout>
          <c:xMode val="edge"/>
          <c:yMode val="edge"/>
          <c:x val="0.46832082317371665"/>
          <c:y val="0.2091438838326074"/>
          <c:w val="0.36062396122806378"/>
          <c:h val="0.3982110731103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600" b="1">
                <a:solidFill>
                  <a:schemeClr val="tx2"/>
                </a:solidFill>
              </a:rPr>
              <a:t>Percentage of Building</a:t>
            </a:r>
            <a:r>
              <a:rPr lang="en-US" sz="1600" b="1" baseline="0">
                <a:solidFill>
                  <a:schemeClr val="tx2"/>
                </a:solidFill>
              </a:rPr>
              <a:t> Energy </a:t>
            </a:r>
            <a:r>
              <a:rPr lang="en-US" sz="1600" b="1">
                <a:solidFill>
                  <a:schemeClr val="tx2"/>
                </a:solidFill>
              </a:rPr>
              <a:t>Emissions</a:t>
            </a:r>
            <a:r>
              <a:rPr lang="en-US" sz="1600" b="1" baseline="0">
                <a:solidFill>
                  <a:schemeClr val="tx2"/>
                </a:solidFill>
              </a:rPr>
              <a:t> by Source Energy</a:t>
            </a:r>
            <a:endParaRPr lang="en-US" sz="1600" b="1">
              <a:solidFill>
                <a:schemeClr val="tx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BA-415D-8523-BDC04C7575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BA-415D-8523-BDC04C7575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BA-415D-8523-BDC04C7575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1CB-45EC-A78D-9613BFCEA02B}"/>
              </c:ext>
            </c:extLst>
          </c:dPt>
          <c:dLbls>
            <c:dLbl>
              <c:idx val="0"/>
              <c:tx>
                <c:rich>
                  <a:bodyPr/>
                  <a:lstStyle/>
                  <a:p>
                    <a:fld id="{EF5EA90C-8663-4885-A759-527B509D78A5}" type="CATEGORYNAME">
                      <a:rPr lang="en-US"/>
                      <a:pPr/>
                      <a:t>[]</a:t>
                    </a:fld>
                    <a:r>
                      <a:rPr lang="en-US"/>
                      <a:t>
</a:t>
                    </a:r>
                    <a:fld id="{7BE5CC47-58B3-4444-BE1E-45A089A288FB}" type="PERCENTAGE">
                      <a:rPr lang="en-US"/>
                      <a:pPr/>
                      <a:t>[]</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4BA-415D-8523-BDC04C757511}"/>
                </c:ext>
              </c:extLst>
            </c:dLbl>
            <c:dLbl>
              <c:idx val="1"/>
              <c:tx>
                <c:rich>
                  <a:bodyPr/>
                  <a:lstStyle/>
                  <a:p>
                    <a:fld id="{C7044120-60A8-4B0D-AC04-79CF80A42A68}" type="CATEGORYNAME">
                      <a:rPr lang="en-US"/>
                      <a:pPr/>
                      <a:t>[]</a:t>
                    </a:fld>
                    <a:r>
                      <a:rPr lang="en-US"/>
                      <a:t>
</a:t>
                    </a:r>
                    <a:fld id="{998B1D95-EAD7-4C5F-ADEC-DF72E2CDB0D7}" type="PERCENTAGE">
                      <a:rPr lang="en-US"/>
                      <a:pPr/>
                      <a:t>[]</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4BA-415D-8523-BDC04C757511}"/>
                </c:ext>
              </c:extLst>
            </c:dLbl>
            <c:dLbl>
              <c:idx val="2"/>
              <c:tx>
                <c:rich>
                  <a:bodyPr/>
                  <a:lstStyle/>
                  <a:p>
                    <a:fld id="{D12425AA-E08A-4A74-B8AC-DD4A3B294C65}" type="CATEGORYNAME">
                      <a:rPr lang="en-US"/>
                      <a:pPr/>
                      <a:t>[]</a:t>
                    </a:fld>
                    <a:r>
                      <a:rPr lang="en-US"/>
                      <a:t>
</a:t>
                    </a:r>
                    <a:fld id="{47C1ECAE-E656-48FE-B2FB-C0DD123CD76A}" type="PERCENTAGE">
                      <a:rPr lang="en-US"/>
                      <a:pPr/>
                      <a:t>[]</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4BA-415D-8523-BDC04C7575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Emissions - Summary'!$C$110:$C$113</c:f>
              <c:strCache>
                <c:ptCount val="4"/>
                <c:pt idx="0">
                  <c:v>Electricity</c:v>
                </c:pt>
                <c:pt idx="1">
                  <c:v>Natural Gas</c:v>
                </c:pt>
                <c:pt idx="2">
                  <c:v>Propane</c:v>
                </c:pt>
                <c:pt idx="3">
                  <c:v>Fuel Oil</c:v>
                </c:pt>
              </c:strCache>
            </c:strRef>
          </c:cat>
          <c:val>
            <c:numRef>
              <c:f>'All Emissions - Summary'!$F$110:$F$113</c:f>
              <c:numCache>
                <c:formatCode>0.0%</c:formatCode>
                <c:ptCount val="4"/>
                <c:pt idx="0">
                  <c:v>0.4543700489281482</c:v>
                </c:pt>
                <c:pt idx="1">
                  <c:v>0</c:v>
                </c:pt>
                <c:pt idx="2">
                  <c:v>0.36131985292346569</c:v>
                </c:pt>
                <c:pt idx="3">
                  <c:v>0.18431009814838609</c:v>
                </c:pt>
              </c:numCache>
            </c:numRef>
          </c:val>
          <c:extLst>
            <c:ext xmlns:c16="http://schemas.microsoft.com/office/drawing/2014/chart" uri="{C3380CC4-5D6E-409C-BE32-E72D297353CC}">
              <c16:uniqueId val="{00000006-24BA-415D-8523-BDC04C757511}"/>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Community-wide Emissions</a:t>
            </a:r>
            <a:r>
              <a:rPr lang="en-US" baseline="0"/>
              <a:t> (MT CO2e) by 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418296231491836"/>
          <c:y val="0.3094982838634433"/>
          <c:w val="0.54991803290439489"/>
          <c:h val="0.66154702831024559"/>
        </c:manualLayout>
      </c:layout>
      <c:doughnut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3D7-49D9-A1C1-182C8D9328A8}"/>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3D7-49D9-A1C1-182C8D9328A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3D7-49D9-A1C1-182C8D9328A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Summary'!$C$12:$C$14</c:f>
              <c:numCache>
                <c:formatCode>General</c:formatCode>
                <c:ptCount val="3"/>
              </c:numCache>
            </c:numRef>
          </c:val>
          <c:extLst>
            <c:ext xmlns:c16="http://schemas.microsoft.com/office/drawing/2014/chart" uri="{C3380CC4-5D6E-409C-BE32-E72D297353CC}">
              <c16:uniqueId val="{00000006-F3D7-49D9-A1C1-182C8D9328A8}"/>
            </c:ext>
          </c:extLst>
        </c:ser>
        <c:ser>
          <c:idx val="1"/>
          <c:order val="1"/>
          <c:spPr>
            <a:effectLst/>
          </c:spPr>
          <c:dPt>
            <c:idx val="0"/>
            <c:bubble3D val="0"/>
            <c:spPr>
              <a:solidFill>
                <a:schemeClr val="accent5"/>
              </a:solidFill>
              <a:ln>
                <a:noFill/>
              </a:ln>
              <a:effectLst/>
            </c:spPr>
            <c:extLst>
              <c:ext xmlns:c16="http://schemas.microsoft.com/office/drawing/2014/chart" uri="{C3380CC4-5D6E-409C-BE32-E72D297353CC}">
                <c16:uniqueId val="{00000008-F3D7-49D9-A1C1-182C8D9328A8}"/>
              </c:ext>
            </c:extLst>
          </c:dPt>
          <c:dPt>
            <c:idx val="1"/>
            <c:bubble3D val="0"/>
            <c:spPr>
              <a:solidFill>
                <a:schemeClr val="accent2"/>
              </a:solidFill>
              <a:ln>
                <a:noFill/>
              </a:ln>
              <a:effectLst/>
            </c:spPr>
            <c:extLst>
              <c:ext xmlns:c16="http://schemas.microsoft.com/office/drawing/2014/chart" uri="{C3380CC4-5D6E-409C-BE32-E72D297353CC}">
                <c16:uniqueId val="{0000000A-F3D7-49D9-A1C1-182C8D9328A8}"/>
              </c:ext>
            </c:extLst>
          </c:dPt>
          <c:dPt>
            <c:idx val="2"/>
            <c:bubble3D val="0"/>
            <c:spPr>
              <a:solidFill>
                <a:schemeClr val="accent3"/>
              </a:solidFill>
              <a:ln>
                <a:noFill/>
              </a:ln>
              <a:effectLst/>
            </c:spPr>
            <c:extLst>
              <c:ext xmlns:c16="http://schemas.microsoft.com/office/drawing/2014/chart" uri="{C3380CC4-5D6E-409C-BE32-E72D297353CC}">
                <c16:uniqueId val="{0000000C-F3D7-49D9-A1C1-182C8D9328A8}"/>
              </c:ext>
            </c:extLst>
          </c:dPt>
          <c:dLbls>
            <c:dLbl>
              <c:idx val="0"/>
              <c:layout>
                <c:manualLayout>
                  <c:x val="0.2018691588785046"/>
                  <c:y val="2.5396821769161325E-2"/>
                </c:manualLayout>
              </c:layout>
              <c:tx>
                <c:rich>
                  <a:bodyPr/>
                  <a:lstStyle/>
                  <a:p>
                    <a:fld id="{21CAAB23-A861-4432-BCA4-6EF15D0DA03A}" type="CATEGORYNAME">
                      <a:rPr lang="en-US"/>
                      <a:pPr/>
                      <a:t>[]</a:t>
                    </a:fld>
                    <a:endParaRPr lang="en-US" baseline="0"/>
                  </a:p>
                  <a:p>
                    <a:fld id="{B55FDACA-B002-4337-A80D-EC441E6571D8}" type="VALUE">
                      <a:rPr lang="en-US" sz="1200" b="1"/>
                      <a:pPr/>
                      <a:t>[]</a:t>
                    </a:fld>
                    <a:endParaRPr lang="en-US" b="1" baseline="0"/>
                  </a:p>
                  <a:p>
                    <a:fld id="{65DD664D-2C07-46F8-9111-E658510249D7}" type="PERCENTAGE">
                      <a:rPr lang="en-US" sz="1100" b="0"/>
                      <a:pPr/>
                      <a:t>[]</a:t>
                    </a:fld>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F3D7-49D9-A1C1-182C8D9328A8}"/>
                </c:ext>
              </c:extLst>
            </c:dLbl>
            <c:dLbl>
              <c:idx val="1"/>
              <c:layout>
                <c:manualLayout>
                  <c:x val="-0.12025049178274942"/>
                  <c:y val="-0.1082441153490668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3F4E5717-6692-4620-9856-42128379B1B8}" type="CATEGORYNAME">
                      <a:rPr lang="en-US"/>
                      <a:pPr>
                        <a:defRPr/>
                      </a:pPr>
                      <a:t>[]</a:t>
                    </a:fld>
                    <a:endParaRPr lang="en-US" baseline="0"/>
                  </a:p>
                  <a:p>
                    <a:pPr>
                      <a:defRPr/>
                    </a:pPr>
                    <a:fld id="{27F4D892-83FA-4937-B6C6-C1B2D252ECCF}" type="VALUE">
                      <a:rPr lang="en-US" sz="1200" b="1"/>
                      <a:pPr>
                        <a:defRPr/>
                      </a:pPr>
                      <a:t>[]</a:t>
                    </a:fld>
                    <a:endParaRPr lang="en-US" b="1" baseline="0"/>
                  </a:p>
                  <a:p>
                    <a:pPr>
                      <a:defRPr/>
                    </a:pPr>
                    <a:fld id="{6B064613-CA08-4EF6-AB19-FAAAFD610AE3}" type="PERCENTAGE">
                      <a:rPr lang="en-US" sz="1100"/>
                      <a:pPr>
                        <a:defRPr/>
                      </a:pPr>
                      <a:t>[]</a:t>
                    </a:fld>
                    <a:endParaRP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917870976382253"/>
                      <c:h val="0.1133842001731568"/>
                    </c:manualLayout>
                  </c15:layout>
                  <c15:dlblFieldTable/>
                  <c15:showDataLabelsRange val="0"/>
                </c:ext>
                <c:ext xmlns:c16="http://schemas.microsoft.com/office/drawing/2014/chart" uri="{C3380CC4-5D6E-409C-BE32-E72D297353CC}">
                  <c16:uniqueId val="{0000000A-F3D7-49D9-A1C1-182C8D9328A8}"/>
                </c:ext>
              </c:extLst>
            </c:dLbl>
            <c:dLbl>
              <c:idx val="2"/>
              <c:layout>
                <c:manualLayout>
                  <c:x val="-6.2305295950155763E-2"/>
                  <c:y val="-0.11972787405461831"/>
                </c:manualLayout>
              </c:layout>
              <c:tx>
                <c:rich>
                  <a:bodyPr/>
                  <a:lstStyle/>
                  <a:p>
                    <a:fld id="{74E21B35-E2D1-45A2-AB7A-9D9A8EE03992}" type="CATEGORYNAME">
                      <a:rPr lang="en-US"/>
                      <a:pPr/>
                      <a:t>[]</a:t>
                    </a:fld>
                    <a:endParaRPr lang="en-US" baseline="0"/>
                  </a:p>
                  <a:p>
                    <a:fld id="{FE13F813-F95F-4226-B9B3-860279A14210}" type="VALUE">
                      <a:rPr lang="en-US" sz="1200" b="1"/>
                      <a:pPr/>
                      <a:t>[]</a:t>
                    </a:fld>
                    <a:endParaRPr lang="en-US" b="1" baseline="0"/>
                  </a:p>
                  <a:p>
                    <a:fld id="{2091A9C9-173E-4EAB-B9F8-2BAF2556934E}" type="PERCENTAGE">
                      <a:rPr lang="en-US" sz="1100"/>
                      <a:pPr/>
                      <a:t>[]</a:t>
                    </a:fld>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F3D7-49D9-A1C1-182C8D9328A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Summary'!$D$12:$D$14</c:f>
              <c:numCache>
                <c:formatCode>#,##0</c:formatCode>
                <c:ptCount val="3"/>
                <c:pt idx="0">
                  <c:v>95699.928790879218</c:v>
                </c:pt>
                <c:pt idx="1">
                  <c:v>39527.002472969303</c:v>
                </c:pt>
                <c:pt idx="2">
                  <c:v>6256.6827277309476</c:v>
                </c:pt>
              </c:numCache>
            </c:numRef>
          </c:val>
          <c:extLst>
            <c:ext xmlns:c16="http://schemas.microsoft.com/office/drawing/2014/chart" uri="{C3380CC4-5D6E-409C-BE32-E72D297353CC}">
              <c16:uniqueId val="{0000000D-F3D7-49D9-A1C1-182C8D9328A8}"/>
            </c:ext>
          </c:extLst>
        </c:ser>
        <c:dLbls>
          <c:showLegendKey val="0"/>
          <c:showVal val="1"/>
          <c:showCatName val="1"/>
          <c:showSerName val="0"/>
          <c:showPercent val="0"/>
          <c:showBubbleSize val="0"/>
          <c:showLeaderLines val="1"/>
        </c:dLbls>
        <c:firstSliceAng val="0"/>
        <c:holeSize val="1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 of Total Community-wide</a:t>
            </a:r>
            <a:r>
              <a:rPr lang="en-US" baseline="0"/>
              <a:t> </a:t>
            </a:r>
            <a:r>
              <a:rPr lang="en-US"/>
              <a:t>Emissions by Subsector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052950639234617"/>
          <c:y val="0.28204993314973059"/>
          <c:w val="0.56665921598509872"/>
          <c:h val="0.62427275730731191"/>
        </c:manualLayout>
      </c:layout>
      <c:doughnutChart>
        <c:varyColors val="1"/>
        <c:ser>
          <c:idx val="0"/>
          <c:order val="0"/>
          <c:spPr>
            <a:effectLst/>
          </c:spPr>
          <c:dPt>
            <c:idx val="0"/>
            <c:bubble3D val="0"/>
            <c:spPr>
              <a:solidFill>
                <a:schemeClr val="accent5"/>
              </a:solidFill>
              <a:ln>
                <a:noFill/>
              </a:ln>
              <a:effectLst/>
            </c:spPr>
            <c:extLst>
              <c:ext xmlns:c16="http://schemas.microsoft.com/office/drawing/2014/chart" uri="{C3380CC4-5D6E-409C-BE32-E72D297353CC}">
                <c16:uniqueId val="{00000001-9F8E-4DD1-BDFE-7B46B2831766}"/>
              </c:ext>
            </c:extLst>
          </c:dPt>
          <c:dPt>
            <c:idx val="1"/>
            <c:bubble3D val="0"/>
            <c:spPr>
              <a:solidFill>
                <a:schemeClr val="accent4"/>
              </a:solidFill>
              <a:ln>
                <a:noFill/>
              </a:ln>
              <a:effectLst/>
            </c:spPr>
            <c:extLst>
              <c:ext xmlns:c16="http://schemas.microsoft.com/office/drawing/2014/chart" uri="{C3380CC4-5D6E-409C-BE32-E72D297353CC}">
                <c16:uniqueId val="{00000003-9F8E-4DD1-BDFE-7B46B283176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c:spPr>
            <c:extLst>
              <c:ext xmlns:c16="http://schemas.microsoft.com/office/drawing/2014/chart" uri="{C3380CC4-5D6E-409C-BE32-E72D297353CC}">
                <c16:uniqueId val="{00000005-9F8E-4DD1-BDFE-7B46B2831766}"/>
              </c:ext>
            </c:extLst>
          </c:dPt>
          <c:dPt>
            <c:idx val="3"/>
            <c:bubble3D val="0"/>
            <c:spPr>
              <a:solidFill>
                <a:schemeClr val="accent2"/>
              </a:solidFill>
              <a:ln>
                <a:noFill/>
              </a:ln>
              <a:effectLst/>
            </c:spPr>
            <c:extLst>
              <c:ext xmlns:c16="http://schemas.microsoft.com/office/drawing/2014/chart" uri="{C3380CC4-5D6E-409C-BE32-E72D297353CC}">
                <c16:uniqueId val="{00000007-9F8E-4DD1-BDFE-7B46B2831766}"/>
              </c:ext>
            </c:extLst>
          </c:dPt>
          <c:dPt>
            <c:idx val="4"/>
            <c:bubble3D val="0"/>
            <c:spPr>
              <a:solidFill>
                <a:schemeClr val="accent6"/>
              </a:solidFill>
              <a:ln>
                <a:noFill/>
              </a:ln>
              <a:effectLst/>
            </c:spPr>
            <c:extLst>
              <c:ext xmlns:c16="http://schemas.microsoft.com/office/drawing/2014/chart" uri="{C3380CC4-5D6E-409C-BE32-E72D297353CC}">
                <c16:uniqueId val="{00000009-9F8E-4DD1-BDFE-7B46B283176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c:spPr>
            <c:extLst>
              <c:ext xmlns:c16="http://schemas.microsoft.com/office/drawing/2014/chart" uri="{C3380CC4-5D6E-409C-BE32-E72D297353CC}">
                <c16:uniqueId val="{0000000B-9F8E-4DD1-BDFE-7B46B283176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c:spPr>
            <c:extLst>
              <c:ext xmlns:c16="http://schemas.microsoft.com/office/drawing/2014/chart" uri="{C3380CC4-5D6E-409C-BE32-E72D297353CC}">
                <c16:uniqueId val="{0000000D-9F8E-4DD1-BDFE-7B46B283176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c:spPr>
            <c:extLst>
              <c:ext xmlns:c16="http://schemas.microsoft.com/office/drawing/2014/chart" uri="{C3380CC4-5D6E-409C-BE32-E72D297353CC}">
                <c16:uniqueId val="{0000000F-9F8E-4DD1-BDFE-7B46B2831766}"/>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c:spPr>
            <c:extLst>
              <c:ext xmlns:c16="http://schemas.microsoft.com/office/drawing/2014/chart" uri="{C3380CC4-5D6E-409C-BE32-E72D297353CC}">
                <c16:uniqueId val="{00000011-9F8E-4DD1-BDFE-7B46B2831766}"/>
              </c:ext>
            </c:extLst>
          </c:dPt>
          <c:dLbls>
            <c:dLbl>
              <c:idx val="0"/>
              <c:layout>
                <c:manualLayout>
                  <c:x val="8.0165048824231852E-2"/>
                  <c:y val="-7.9856120649394111E-3"/>
                </c:manualLayout>
              </c:layout>
              <c:tx>
                <c:rich>
                  <a:bodyPr/>
                  <a:lstStyle/>
                  <a:p>
                    <a:fld id="{0F857E4B-2158-4B9F-9018-EA4A70B31847}" type="CATEGORYNAME">
                      <a:rPr lang="en-US"/>
                      <a:pPr/>
                      <a:t>[]</a:t>
                    </a:fld>
                    <a:endParaRPr lang="en-US" baseline="0"/>
                  </a:p>
                  <a:p>
                    <a:fld id="{6961D8DB-FE3F-4D35-83C5-2C3DFE9DA6B3}"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F8E-4DD1-BDFE-7B46B2831766}"/>
                </c:ext>
              </c:extLst>
            </c:dLbl>
            <c:dLbl>
              <c:idx val="1"/>
              <c:layout>
                <c:manualLayout>
                  <c:x val="0.28291227510008105"/>
                  <c:y val="5.1893548668138979E-2"/>
                </c:manualLayout>
              </c:layout>
              <c:tx>
                <c:rich>
                  <a:bodyPr/>
                  <a:lstStyle/>
                  <a:p>
                    <a:fld id="{AB3D2466-BBC5-4C45-8B03-6176D19BBA8D}" type="CATEGORYNAME">
                      <a:rPr lang="en-US"/>
                      <a:pPr/>
                      <a:t>[]</a:t>
                    </a:fld>
                    <a:endParaRPr lang="en-US" baseline="0"/>
                  </a:p>
                  <a:p>
                    <a:fld id="{2486F34E-AA21-4A52-A680-7F997C24460A}"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F8E-4DD1-BDFE-7B46B2831766}"/>
                </c:ext>
              </c:extLst>
            </c:dLbl>
            <c:dLbl>
              <c:idx val="2"/>
              <c:layout>
                <c:manualLayout>
                  <c:x val="-0.17059482520075114"/>
                  <c:y val="5.0648934487996101E-2"/>
                </c:manualLayout>
              </c:layout>
              <c:tx>
                <c:rich>
                  <a:bodyPr/>
                  <a:lstStyle/>
                  <a:p>
                    <a:fld id="{B2ADE2B7-A396-4FE8-8194-57A3FC62D224}" type="CATEGORYNAME">
                      <a:rPr lang="en-US"/>
                      <a:pPr/>
                      <a:t>[]</a:t>
                    </a:fld>
                    <a:endParaRPr lang="en-US" baseline="0"/>
                  </a:p>
                  <a:p>
                    <a:fld id="{24A0C974-E1E2-433F-BA48-73819D523E1B}"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F8E-4DD1-BDFE-7B46B2831766}"/>
                </c:ext>
              </c:extLst>
            </c:dLbl>
            <c:dLbl>
              <c:idx val="3"/>
              <c:layout>
                <c:manualLayout>
                  <c:x val="-0.1741862952049775"/>
                  <c:y val="-8.8635635353993228E-2"/>
                </c:manualLayout>
              </c:layout>
              <c:tx>
                <c:rich>
                  <a:bodyPr/>
                  <a:lstStyle/>
                  <a:p>
                    <a:fld id="{3D0EE9DB-A817-45BD-9C56-4A3B84E0E850}" type="CATEGORYNAME">
                      <a:rPr lang="en-US"/>
                      <a:pPr/>
                      <a:t>[]</a:t>
                    </a:fld>
                    <a:endParaRPr lang="en-US" baseline="0"/>
                  </a:p>
                  <a:p>
                    <a:fld id="{5EC7841F-53E2-40D2-BB02-705D05D3BEFC}"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F8E-4DD1-BDFE-7B46B2831766}"/>
                </c:ext>
              </c:extLst>
            </c:dLbl>
            <c:dLbl>
              <c:idx val="4"/>
              <c:layout>
                <c:manualLayout>
                  <c:x val="-0.15585740692788741"/>
                  <c:y val="-9.9985207754029318E-2"/>
                </c:manualLayout>
              </c:layout>
              <c:tx>
                <c:rich>
                  <a:bodyPr/>
                  <a:lstStyle/>
                  <a:p>
                    <a:fld id="{08A2DA2A-A824-4152-80F7-8135F1F4C9B6}" type="CATEGORYNAME">
                      <a:rPr lang="en-US"/>
                      <a:pPr/>
                      <a:t>[]</a:t>
                    </a:fld>
                    <a:endParaRPr lang="en-US" baseline="0"/>
                  </a:p>
                  <a:p>
                    <a:fld id="{9E7715D8-EEC0-48C9-9A76-BAE8784213B1}"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F8E-4DD1-BDFE-7B46B2831766}"/>
                </c:ext>
              </c:extLst>
            </c:dLbl>
            <c:dLbl>
              <c:idx val="5"/>
              <c:layout>
                <c:manualLayout>
                  <c:x val="-0.16087519192620831"/>
                  <c:y val="-0.16672386020714489"/>
                </c:manualLayout>
              </c:layout>
              <c:tx>
                <c:rich>
                  <a:bodyPr/>
                  <a:lstStyle/>
                  <a:p>
                    <a:fld id="{31DC97C3-E67A-4D84-A32E-EF83159BAC98}" type="CATEGORYNAME">
                      <a:rPr lang="en-US"/>
                      <a:pPr/>
                      <a:t>[]</a:t>
                    </a:fld>
                    <a:endParaRPr lang="en-US" baseline="0"/>
                  </a:p>
                  <a:p>
                    <a:fld id="{D81FD5EB-28AC-41C2-9189-C8466E4DD22F}"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F8E-4DD1-BDFE-7B46B2831766}"/>
                </c:ext>
              </c:extLst>
            </c:dLbl>
            <c:dLbl>
              <c:idx val="6"/>
              <c:layout>
                <c:manualLayout>
                  <c:x val="0.15592512480572546"/>
                  <c:y val="-0.15956761618941068"/>
                </c:manualLayout>
              </c:layout>
              <c:tx>
                <c:rich>
                  <a:bodyPr/>
                  <a:lstStyle/>
                  <a:p>
                    <a:fld id="{1CFACE37-90DC-400C-836E-D394079472E8}" type="CATEGORYNAME">
                      <a:rPr lang="en-US"/>
                      <a:pPr/>
                      <a:t>[]</a:t>
                    </a:fld>
                    <a:endParaRPr lang="en-US" baseline="0"/>
                  </a:p>
                  <a:p>
                    <a:fld id="{26FCBC2C-2E7A-44A0-B5A5-612FE2F90A4F}"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F8E-4DD1-BDFE-7B46B2831766}"/>
                </c:ext>
              </c:extLst>
            </c:dLbl>
            <c:dLbl>
              <c:idx val="7"/>
              <c:layout>
                <c:manualLayout>
                  <c:x val="0.3214890879187654"/>
                  <c:y val="-0.11980884814848759"/>
                </c:manualLayout>
              </c:layout>
              <c:tx>
                <c:rich>
                  <a:bodyPr/>
                  <a:lstStyle/>
                  <a:p>
                    <a:fld id="{C204891D-CAD8-4C60-A164-BD28F73FEBEC}" type="CATEGORYNAME">
                      <a:rPr lang="en-US"/>
                      <a:pPr/>
                      <a:t>[]</a:t>
                    </a:fld>
                    <a:endParaRPr lang="en-US" baseline="0"/>
                  </a:p>
                  <a:p>
                    <a:fld id="{3CD2D3F1-5126-4F9F-A01B-B1269A10E554}"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F8E-4DD1-BDFE-7B46B2831766}"/>
                </c:ext>
              </c:extLst>
            </c:dLbl>
            <c:dLbl>
              <c:idx val="8"/>
              <c:layout>
                <c:manualLayout>
                  <c:x val="0.32782561794033849"/>
                  <c:y val="-1.0666245837579134E-2"/>
                </c:manualLayout>
              </c:layout>
              <c:tx>
                <c:rich>
                  <a:bodyPr/>
                  <a:lstStyle/>
                  <a:p>
                    <a:fld id="{4795DFB5-95E4-4918-B259-C638B01E7648}" type="CATEGORYNAME">
                      <a:rPr lang="en-US"/>
                      <a:pPr/>
                      <a:t>[]</a:t>
                    </a:fld>
                    <a:endParaRPr lang="en-US" baseline="0"/>
                  </a:p>
                  <a:p>
                    <a:fld id="{60836B80-1E5A-481F-80CB-AA0E28F84391}"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F8E-4DD1-BDFE-7B46B28317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Summary'!$B$122:$B$130</c:f>
              <c:strCache>
                <c:ptCount val="9"/>
                <c:pt idx="0">
                  <c:v>Residential Buildings</c:v>
                </c:pt>
                <c:pt idx="1">
                  <c:v>C&amp;I Buildings &amp; Manufacturing Industries</c:v>
                </c:pt>
                <c:pt idx="2">
                  <c:v>Construction</c:v>
                </c:pt>
                <c:pt idx="3">
                  <c:v>On-road</c:v>
                </c:pt>
                <c:pt idx="4">
                  <c:v>Railways</c:v>
                </c:pt>
                <c:pt idx="5">
                  <c:v>Solid Waste Disposal</c:v>
                </c:pt>
                <c:pt idx="6">
                  <c:v>Biological Treatment of Waste</c:v>
                </c:pt>
                <c:pt idx="7">
                  <c:v>Incineration and Open Burning</c:v>
                </c:pt>
                <c:pt idx="8">
                  <c:v>Wastewater Treatment and Discharge</c:v>
                </c:pt>
              </c:strCache>
            </c:strRef>
          </c:cat>
          <c:val>
            <c:numRef>
              <c:f>'All Emissions - Summary'!$C$122:$C$130</c:f>
              <c:numCache>
                <c:formatCode>0.0%</c:formatCode>
                <c:ptCount val="9"/>
                <c:pt idx="0">
                  <c:v>0.47923790781597575</c:v>
                </c:pt>
                <c:pt idx="1">
                  <c:v>0.19716500621034316</c:v>
                </c:pt>
                <c:pt idx="2">
                  <c:v>0</c:v>
                </c:pt>
                <c:pt idx="3">
                  <c:v>0.27937512590908081</c:v>
                </c:pt>
                <c:pt idx="4">
                  <c:v>0</c:v>
                </c:pt>
                <c:pt idx="5">
                  <c:v>0</c:v>
                </c:pt>
                <c:pt idx="6">
                  <c:v>3.0997410194511726E-2</c:v>
                </c:pt>
                <c:pt idx="7">
                  <c:v>0</c:v>
                </c:pt>
                <c:pt idx="8">
                  <c:v>1.3224549870088543E-2</c:v>
                </c:pt>
              </c:numCache>
            </c:numRef>
          </c:val>
          <c:extLst>
            <c:ext xmlns:c16="http://schemas.microsoft.com/office/drawing/2014/chart" uri="{C3380CC4-5D6E-409C-BE32-E72D297353CC}">
              <c16:uniqueId val="{00000012-9F8E-4DD1-BDFE-7B46B2831766}"/>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Percent of Total Community-Wide Emissions</a:t>
            </a:r>
            <a:r>
              <a:rPr lang="en-US" sz="1800" b="1" baseline="0">
                <a:solidFill>
                  <a:schemeClr val="tx2"/>
                </a:solidFill>
              </a:rPr>
              <a:t> by Subsector </a:t>
            </a:r>
          </a:p>
          <a:p>
            <a:pPr>
              <a:defRPr sz="1800" b="1">
                <a:solidFill>
                  <a:schemeClr val="tx2"/>
                </a:solidFill>
              </a:defRPr>
            </a:pPr>
            <a:r>
              <a:rPr lang="en-US" sz="1800" b="1" baseline="0">
                <a:solidFill>
                  <a:schemeClr val="tx2"/>
                </a:solidFill>
              </a:rPr>
              <a:t>(with Municipal Emissions Disaggregated)</a:t>
            </a:r>
            <a:endParaRPr lang="en-US" sz="1800" b="1">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spPr>
            <a:ln>
              <a:noFill/>
            </a:ln>
          </c:spPr>
          <c:dPt>
            <c:idx val="0"/>
            <c:bubble3D val="0"/>
            <c:spPr>
              <a:solidFill>
                <a:schemeClr val="accent5"/>
              </a:solidFill>
              <a:ln w="19050">
                <a:noFill/>
              </a:ln>
              <a:effectLst/>
            </c:spPr>
            <c:extLst>
              <c:ext xmlns:c16="http://schemas.microsoft.com/office/drawing/2014/chart" uri="{C3380CC4-5D6E-409C-BE32-E72D297353CC}">
                <c16:uniqueId val="{00000001-88EA-4852-A190-EE01E707B2CD}"/>
              </c:ext>
            </c:extLst>
          </c:dPt>
          <c:dPt>
            <c:idx val="1"/>
            <c:bubble3D val="0"/>
            <c:spPr>
              <a:solidFill>
                <a:schemeClr val="accent4"/>
              </a:solidFill>
              <a:ln w="19050">
                <a:noFill/>
              </a:ln>
              <a:effectLst/>
            </c:spPr>
            <c:extLst>
              <c:ext xmlns:c16="http://schemas.microsoft.com/office/drawing/2014/chart" uri="{C3380CC4-5D6E-409C-BE32-E72D297353CC}">
                <c16:uniqueId val="{00000003-88EA-4852-A190-EE01E707B2CD}"/>
              </c:ext>
            </c:extLst>
          </c:dPt>
          <c:dPt>
            <c:idx val="2"/>
            <c:bubble3D val="0"/>
            <c:spPr>
              <a:solidFill>
                <a:schemeClr val="accent3"/>
              </a:solidFill>
              <a:ln w="19050">
                <a:noFill/>
              </a:ln>
              <a:effectLst/>
            </c:spPr>
            <c:extLst>
              <c:ext xmlns:c16="http://schemas.microsoft.com/office/drawing/2014/chart" uri="{C3380CC4-5D6E-409C-BE32-E72D297353CC}">
                <c16:uniqueId val="{00000005-88EA-4852-A190-EE01E707B2CD}"/>
              </c:ext>
            </c:extLst>
          </c:dPt>
          <c:dPt>
            <c:idx val="3"/>
            <c:bubble3D val="0"/>
            <c:spPr>
              <a:solidFill>
                <a:schemeClr val="accent4"/>
              </a:solidFill>
              <a:ln w="19050">
                <a:noFill/>
              </a:ln>
              <a:effectLst/>
            </c:spPr>
            <c:extLst>
              <c:ext xmlns:c16="http://schemas.microsoft.com/office/drawing/2014/chart" uri="{C3380CC4-5D6E-409C-BE32-E72D297353CC}">
                <c16:uniqueId val="{00000007-88EA-4852-A190-EE01E707B2CD}"/>
              </c:ext>
            </c:extLst>
          </c:dPt>
          <c:dPt>
            <c:idx val="4"/>
            <c:bubble3D val="0"/>
            <c:spPr>
              <a:solidFill>
                <a:schemeClr val="accent2">
                  <a:lumMod val="60000"/>
                  <a:lumOff val="40000"/>
                </a:schemeClr>
              </a:solidFill>
              <a:ln w="19050">
                <a:noFill/>
              </a:ln>
              <a:effectLst/>
            </c:spPr>
            <c:extLst>
              <c:ext xmlns:c16="http://schemas.microsoft.com/office/drawing/2014/chart" uri="{C3380CC4-5D6E-409C-BE32-E72D297353CC}">
                <c16:uniqueId val="{00000009-88EA-4852-A190-EE01E707B2CD}"/>
              </c:ext>
            </c:extLst>
          </c:dPt>
          <c:dPt>
            <c:idx val="5"/>
            <c:bubble3D val="0"/>
            <c:spPr>
              <a:solidFill>
                <a:schemeClr val="accent2"/>
              </a:solidFill>
              <a:ln w="19050">
                <a:noFill/>
              </a:ln>
              <a:effectLst/>
            </c:spPr>
            <c:extLst>
              <c:ext xmlns:c16="http://schemas.microsoft.com/office/drawing/2014/chart" uri="{C3380CC4-5D6E-409C-BE32-E72D297353CC}">
                <c16:uniqueId val="{0000000B-88EA-4852-A190-EE01E707B2CD}"/>
              </c:ext>
            </c:extLst>
          </c:dPt>
          <c:dPt>
            <c:idx val="6"/>
            <c:bubble3D val="0"/>
            <c:spPr>
              <a:solidFill>
                <a:schemeClr val="accent2">
                  <a:lumMod val="50000"/>
                </a:schemeClr>
              </a:solidFill>
              <a:ln w="19050">
                <a:noFill/>
              </a:ln>
              <a:effectLst/>
            </c:spPr>
            <c:extLst>
              <c:ext xmlns:c16="http://schemas.microsoft.com/office/drawing/2014/chart" uri="{C3380CC4-5D6E-409C-BE32-E72D297353CC}">
                <c16:uniqueId val="{0000000D-88EA-4852-A190-EE01E707B2CD}"/>
              </c:ext>
            </c:extLst>
          </c:dPt>
          <c:dPt>
            <c:idx val="7"/>
            <c:bubble3D val="0"/>
            <c:spPr>
              <a:solidFill>
                <a:schemeClr val="accent6"/>
              </a:solidFill>
              <a:ln w="19050">
                <a:noFill/>
              </a:ln>
              <a:effectLst/>
            </c:spPr>
            <c:extLst>
              <c:ext xmlns:c16="http://schemas.microsoft.com/office/drawing/2014/chart" uri="{C3380CC4-5D6E-409C-BE32-E72D297353CC}">
                <c16:uniqueId val="{0000000F-88EA-4852-A190-EE01E707B2CD}"/>
              </c:ext>
            </c:extLst>
          </c:dPt>
          <c:dPt>
            <c:idx val="8"/>
            <c:bubble3D val="0"/>
            <c:spPr>
              <a:solidFill>
                <a:schemeClr val="tx1">
                  <a:lumMod val="60000"/>
                  <a:lumOff val="40000"/>
                </a:schemeClr>
              </a:solidFill>
              <a:ln w="19050">
                <a:noFill/>
              </a:ln>
              <a:effectLst/>
            </c:spPr>
            <c:extLst>
              <c:ext xmlns:c16="http://schemas.microsoft.com/office/drawing/2014/chart" uri="{C3380CC4-5D6E-409C-BE32-E72D297353CC}">
                <c16:uniqueId val="{00000011-88EA-4852-A190-EE01E707B2CD}"/>
              </c:ext>
            </c:extLst>
          </c:dPt>
          <c:dPt>
            <c:idx val="9"/>
            <c:bubble3D val="0"/>
            <c:spPr>
              <a:solidFill>
                <a:schemeClr val="tx1"/>
              </a:solidFill>
              <a:ln w="19050">
                <a:noFill/>
              </a:ln>
              <a:effectLst/>
            </c:spPr>
            <c:extLst>
              <c:ext xmlns:c16="http://schemas.microsoft.com/office/drawing/2014/chart" uri="{C3380CC4-5D6E-409C-BE32-E72D297353CC}">
                <c16:uniqueId val="{00000013-88EA-4852-A190-EE01E707B2CD}"/>
              </c:ext>
            </c:extLst>
          </c:dPt>
          <c:dLbls>
            <c:dLbl>
              <c:idx val="0"/>
              <c:layout>
                <c:manualLayout>
                  <c:x val="0.16376320099031605"/>
                  <c:y val="-4.4205052436938189E-2"/>
                </c:manualLayout>
              </c:layout>
              <c:tx>
                <c:rich>
                  <a:bodyPr/>
                  <a:lstStyle/>
                  <a:p>
                    <a:fld id="{79ED0C74-FB6F-4B9F-9578-11C9B68A3564}" type="CATEGORYNAME">
                      <a:rPr lang="en-US"/>
                      <a:pPr/>
                      <a:t>[]</a:t>
                    </a:fld>
                    <a:r>
                      <a:rPr lang="en-US" baseline="0"/>
                      <a:t>
</a:t>
                    </a:r>
                    <a:fld id="{D3E70D42-B8B8-4569-AAE4-FA9D0888AA9A}"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88EA-4852-A190-EE01E707B2CD}"/>
                </c:ext>
              </c:extLst>
            </c:dLbl>
            <c:dLbl>
              <c:idx val="1"/>
              <c:layout>
                <c:manualLayout>
                  <c:x val="0.22498308921099483"/>
                  <c:y val="7.5354603166046114E-2"/>
                </c:manualLayout>
              </c:layout>
              <c:tx>
                <c:rich>
                  <a:bodyPr/>
                  <a:lstStyle/>
                  <a:p>
                    <a:fld id="{0A2E9CD3-0EB8-48BB-8601-66F676189391}" type="CATEGORYNAME">
                      <a:rPr lang="en-US"/>
                      <a:pPr/>
                      <a:t>[]</a:t>
                    </a:fld>
                    <a:r>
                      <a:rPr lang="en-US" baseline="0"/>
                      <a:t>
</a:t>
                    </a:r>
                    <a:fld id="{228EBD2D-66B7-48B8-B0F5-67D7F45EAD13}"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88EA-4852-A190-EE01E707B2CD}"/>
                </c:ext>
              </c:extLst>
            </c:dLbl>
            <c:dLbl>
              <c:idx val="2"/>
              <c:layout>
                <c:manualLayout>
                  <c:x val="-4.5914916165509231E-2"/>
                  <c:y val="0.12917931971322175"/>
                </c:manualLayout>
              </c:layout>
              <c:tx>
                <c:rich>
                  <a:bodyPr/>
                  <a:lstStyle/>
                  <a:p>
                    <a:fld id="{3535B692-0C2C-44A2-9DB2-B81683D52AF5}" type="CATEGORYNAME">
                      <a:rPr lang="en-US"/>
                      <a:pPr/>
                      <a:t>[]</a:t>
                    </a:fld>
                    <a:r>
                      <a:rPr lang="en-US" baseline="0"/>
                      <a:t>
</a:t>
                    </a:r>
                    <a:fld id="{73DA87F4-DFE8-4254-A946-6BB58246B441}"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88EA-4852-A190-EE01E707B2CD}"/>
                </c:ext>
              </c:extLst>
            </c:dLbl>
            <c:dLbl>
              <c:idx val="3"/>
              <c:layout>
                <c:manualLayout>
                  <c:x val="-0.1499887261406633"/>
                  <c:y val="4.9518739223401574E-2"/>
                </c:manualLayout>
              </c:layout>
              <c:tx>
                <c:rich>
                  <a:bodyPr/>
                  <a:lstStyle/>
                  <a:p>
                    <a:fld id="{64146BDD-CA44-415D-AB64-296E2C794D9B}" type="CATEGORYNAME">
                      <a:rPr lang="en-US"/>
                      <a:pPr/>
                      <a:t>[]</a:t>
                    </a:fld>
                    <a:r>
                      <a:rPr lang="en-US" baseline="0"/>
                      <a:t>
</a:t>
                    </a:r>
                    <a:fld id="{483E0110-A40C-430D-BC6D-0B9393B32456}"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8EA-4852-A190-EE01E707B2CD}"/>
                </c:ext>
              </c:extLst>
            </c:dLbl>
            <c:dLbl>
              <c:idx val="4"/>
              <c:layout>
                <c:manualLayout>
                  <c:x val="-0.13774474849652754"/>
                  <c:y val="-1.5070920633209223E-2"/>
                </c:manualLayout>
              </c:layout>
              <c:tx>
                <c:rich>
                  <a:bodyPr/>
                  <a:lstStyle/>
                  <a:p>
                    <a:fld id="{F9D070F5-92A9-4DC1-BE95-E4319B7989EB}" type="CATEGORYNAME">
                      <a:rPr lang="en-US"/>
                      <a:pPr/>
                      <a:t>[]</a:t>
                    </a:fld>
                    <a:r>
                      <a:rPr lang="en-US" baseline="0"/>
                      <a:t>
</a:t>
                    </a:r>
                    <a:fld id="{356F10DB-DA0B-4070-8FFF-67BB2578B887}"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88EA-4852-A190-EE01E707B2CD}"/>
                </c:ext>
              </c:extLst>
            </c:dLbl>
            <c:dLbl>
              <c:idx val="5"/>
              <c:layout>
                <c:manualLayout>
                  <c:x val="-0.24334905567719861"/>
                  <c:y val="-4.8765211166785973E-3"/>
                </c:manualLayout>
              </c:layout>
              <c:tx>
                <c:rich>
                  <a:bodyPr/>
                  <a:lstStyle/>
                  <a:p>
                    <a:fld id="{34A64EF4-F4D4-49F4-B053-9BE833AABDA6}" type="CATEGORYNAME">
                      <a:rPr lang="en-US"/>
                      <a:pPr/>
                      <a:t>[]</a:t>
                    </a:fld>
                    <a:r>
                      <a:rPr lang="en-US" baseline="0"/>
                      <a:t>
</a:t>
                    </a:r>
                    <a:fld id="{DEACE8F6-B23C-409E-99E9-A68A93478427}"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88EA-4852-A190-EE01E707B2CD}"/>
                </c:ext>
              </c:extLst>
            </c:dLbl>
            <c:dLbl>
              <c:idx val="6"/>
              <c:layout>
                <c:manualLayout>
                  <c:x val="1.2243977644135836E-2"/>
                  <c:y val="0.1641994750656168"/>
                </c:manualLayout>
              </c:layout>
              <c:tx>
                <c:rich>
                  <a:bodyPr/>
                  <a:lstStyle/>
                  <a:p>
                    <a:fld id="{1BA89B57-5D2B-4E13-9DB5-88F213742FFA}" type="CATEGORYNAME">
                      <a:rPr lang="en-US"/>
                      <a:pPr/>
                      <a:t>[]</a:t>
                    </a:fld>
                    <a:r>
                      <a:rPr lang="en-US" baseline="0"/>
                      <a:t>
</a:t>
                    </a:r>
                    <a:fld id="{94CDB804-DEE9-4D81-824A-05A1CBCB506C}"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88EA-4852-A190-EE01E707B2CD}"/>
                </c:ext>
              </c:extLst>
            </c:dLbl>
            <c:dLbl>
              <c:idx val="7"/>
              <c:layout>
                <c:manualLayout>
                  <c:x val="-0.278550491404089"/>
                  <c:y val="-7.8774606299212596E-2"/>
                </c:manualLayout>
              </c:layout>
              <c:tx>
                <c:rich>
                  <a:bodyPr/>
                  <a:lstStyle/>
                  <a:p>
                    <a:fld id="{A4EA9BF3-301B-4B05-BFAD-4D880530E1B2}" type="CATEGORYNAME">
                      <a:rPr lang="en-US"/>
                      <a:pPr/>
                      <a:t>[]</a:t>
                    </a:fld>
                    <a:r>
                      <a:rPr lang="en-US" baseline="0"/>
                      <a:t>
</a:t>
                    </a:r>
                    <a:fld id="{C235719B-CF89-4B09-95A8-6D278B1AD730}"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88EA-4852-A190-EE01E707B2CD}"/>
                </c:ext>
              </c:extLst>
            </c:dLbl>
            <c:dLbl>
              <c:idx val="8"/>
              <c:layout>
                <c:manualLayout>
                  <c:x val="0.12397027364687477"/>
                  <c:y val="0.15671602839417798"/>
                </c:manualLayout>
              </c:layout>
              <c:tx>
                <c:rich>
                  <a:bodyPr/>
                  <a:lstStyle/>
                  <a:p>
                    <a:fld id="{4A1849D9-44FC-48F2-8314-D7F8610E7F87}" type="CATEGORYNAME">
                      <a:rPr lang="en-US"/>
                      <a:pPr/>
                      <a:t>[]</a:t>
                    </a:fld>
                    <a:r>
                      <a:rPr lang="en-US" baseline="0"/>
                      <a:t>
</a:t>
                    </a:r>
                    <a:fld id="{9BE02023-7CCC-408C-ACF0-7ED31D6CD69C}"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88EA-4852-A190-EE01E707B2CD}"/>
                </c:ext>
              </c:extLst>
            </c:dLbl>
            <c:dLbl>
              <c:idx val="9"/>
              <c:layout>
                <c:manualLayout>
                  <c:x val="0.21733060318340996"/>
                  <c:y val="-5.1856806251491291E-2"/>
                </c:manualLayout>
              </c:layout>
              <c:tx>
                <c:rich>
                  <a:bodyPr/>
                  <a:lstStyle/>
                  <a:p>
                    <a:fld id="{B661D2A0-AD90-4A3E-B593-470CC91C65AE}" type="CATEGORYNAME">
                      <a:rPr lang="en-US"/>
                      <a:pPr/>
                      <a:t>[]</a:t>
                    </a:fld>
                    <a:r>
                      <a:rPr lang="en-US" baseline="0"/>
                      <a:t>
</a:t>
                    </a:r>
                    <a:fld id="{0863D405-EDE3-41AA-B418-5CD08DE72F66}"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88EA-4852-A190-EE01E707B2CD}"/>
                </c:ext>
              </c:extLst>
            </c:dLbl>
            <c:dLbl>
              <c:idx val="10"/>
              <c:layout>
                <c:manualLayout>
                  <c:x val="7.4994363070331541E-2"/>
                  <c:y val="-0.1557701847777822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88EA-4852-A190-EE01E707B2CD}"/>
                </c:ext>
              </c:extLst>
            </c:dLbl>
            <c:dLbl>
              <c:idx val="11"/>
              <c:layout>
                <c:manualLayout>
                  <c:x val="0.22957458082754587"/>
                  <c:y val="-0.111565132340843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8EA-4852-A190-EE01E707B2CD}"/>
                </c:ext>
              </c:extLst>
            </c:dLbl>
            <c:dLbl>
              <c:idx val="12"/>
              <c:layout>
                <c:manualLayout>
                  <c:x val="0.36731932932407341"/>
                  <c:y val="-7.367508739489697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88EA-4852-A190-EE01E707B2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2">
                      <a:lumMod val="25000"/>
                      <a:lumOff val="75000"/>
                    </a:schemeClr>
                  </a:solidFill>
                  <a:round/>
                </a:ln>
                <a:effectLst/>
              </c:spPr>
            </c:leaderLines>
            <c:extLst>
              <c:ext xmlns:c15="http://schemas.microsoft.com/office/drawing/2012/chart" uri="{CE6537A1-D6FC-4f65-9D91-7224C49458BB}"/>
            </c:extLst>
          </c:dLbls>
          <c:cat>
            <c:strRef>
              <c:f>'All Emissions - Summary'!$B$151:$B$160</c:f>
              <c:strCache>
                <c:ptCount val="10"/>
                <c:pt idx="0">
                  <c:v>Residential Buildings</c:v>
                </c:pt>
                <c:pt idx="1">
                  <c:v>C&amp;I Buildings &amp; Manufacturing Industries</c:v>
                </c:pt>
                <c:pt idx="2">
                  <c:v>Municipal Buildings</c:v>
                </c:pt>
                <c:pt idx="3">
                  <c:v>Construction</c:v>
                </c:pt>
                <c:pt idx="4">
                  <c:v>Passenger Vehicles</c:v>
                </c:pt>
                <c:pt idx="5">
                  <c:v>Commercial Vehicles</c:v>
                </c:pt>
                <c:pt idx="6">
                  <c:v>Municipal Vehicles</c:v>
                </c:pt>
                <c:pt idx="7">
                  <c:v>Public Transportation (Buses, Trolleys, &amp; Railways)</c:v>
                </c:pt>
                <c:pt idx="8">
                  <c:v>Waste (Landfill, Biological Treatment, &amp; Incineration &amp; Open Burning)</c:v>
                </c:pt>
                <c:pt idx="9">
                  <c:v>Wastewater Treatment and Discharge</c:v>
                </c:pt>
              </c:strCache>
            </c:strRef>
          </c:cat>
          <c:val>
            <c:numRef>
              <c:f>'All Emissions - Summary'!$C$151:$C$160</c:f>
              <c:numCache>
                <c:formatCode>0.0%</c:formatCode>
                <c:ptCount val="10"/>
                <c:pt idx="0">
                  <c:v>0.47923790781597564</c:v>
                </c:pt>
                <c:pt idx="1">
                  <c:v>0.16302173651633312</c:v>
                </c:pt>
                <c:pt idx="2">
                  <c:v>3.4143269694009999E-2</c:v>
                </c:pt>
                <c:pt idx="3">
                  <c:v>0</c:v>
                </c:pt>
                <c:pt idx="4">
                  <c:v>0.23496826507093979</c:v>
                </c:pt>
                <c:pt idx="5">
                  <c:v>3.0537573883397295E-2</c:v>
                </c:pt>
                <c:pt idx="6">
                  <c:v>8.9052901621324062E-3</c:v>
                </c:pt>
                <c:pt idx="7">
                  <c:v>4.9639967926112336E-3</c:v>
                </c:pt>
                <c:pt idx="8">
                  <c:v>3.0997410194511719E-2</c:v>
                </c:pt>
                <c:pt idx="9">
                  <c:v>1.322454987008854E-2</c:v>
                </c:pt>
              </c:numCache>
            </c:numRef>
          </c:val>
          <c:extLst>
            <c:ext xmlns:c16="http://schemas.microsoft.com/office/drawing/2014/chart" uri="{C3380CC4-5D6E-409C-BE32-E72D297353CC}">
              <c16:uniqueId val="{00000017-88EA-4852-A190-EE01E707B2C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6.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0.emf"/><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114300</xdr:colOff>
      <xdr:row>5</xdr:row>
      <xdr:rowOff>161922</xdr:rowOff>
    </xdr:from>
    <xdr:to>
      <xdr:col>12</xdr:col>
      <xdr:colOff>545410</xdr:colOff>
      <xdr:row>26</xdr:row>
      <xdr:rowOff>149087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4300" y="1122705"/>
          <a:ext cx="7065480" cy="3465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Community Greenhouse</a:t>
          </a:r>
          <a:r>
            <a:rPr lang="en-US" sz="1600" b="1" baseline="0"/>
            <a:t> Gas Inventory</a:t>
          </a:r>
          <a:endParaRPr lang="en-US" sz="1600" b="1"/>
        </a:p>
        <a:p>
          <a:endParaRPr lang="en-US" sz="1400"/>
        </a:p>
        <a:p>
          <a:pPr rtl="0" fontAlgn="base"/>
          <a:r>
            <a:rPr lang="en-US" sz="1100" b="0" i="0" baseline="0">
              <a:solidFill>
                <a:schemeClr val="dk1"/>
              </a:solidFill>
              <a:latin typeface="+mn-lt"/>
              <a:ea typeface="+mn-ea"/>
              <a:cs typeface="+mn-cs"/>
            </a:rPr>
            <a:t>This workbook serves to document the calculations associated with the community-wide greenhouse gas inventory completed for the City/Town of _______ for the year of ______. The  inventory is designed according to the Global Protocol for Community-Scale Greenhouse Gas Emission Inventories (GPC) and includes raw data, assumptions, and calculations for the City/Town in each of the following GPC emission sectors: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1. Stationary Energy</a:t>
          </a:r>
        </a:p>
        <a:p>
          <a:pPr rtl="0" fontAlgn="base"/>
          <a:r>
            <a:rPr lang="en-US" sz="1100" b="0" i="0" baseline="0">
              <a:solidFill>
                <a:schemeClr val="dk1"/>
              </a:solidFill>
              <a:latin typeface="+mn-lt"/>
              <a:ea typeface="+mn-ea"/>
              <a:cs typeface="+mn-cs"/>
            </a:rPr>
            <a:t>2. Transportation</a:t>
          </a:r>
        </a:p>
        <a:p>
          <a:pPr rtl="0" fontAlgn="base"/>
          <a:r>
            <a:rPr lang="en-US" sz="1100" b="0" i="0" baseline="0">
              <a:solidFill>
                <a:schemeClr val="dk1"/>
              </a:solidFill>
              <a:latin typeface="+mn-lt"/>
              <a:ea typeface="+mn-ea"/>
              <a:cs typeface="+mn-cs"/>
            </a:rPr>
            <a:t>3. Waste</a:t>
          </a:r>
        </a:p>
        <a:p>
          <a:pPr rtl="0" fontAlgn="base"/>
          <a:endParaRPr lang="en-US" sz="1100" b="0" i="0" baseline="0">
            <a:solidFill>
              <a:schemeClr val="dk1"/>
            </a:solidFill>
            <a:latin typeface="+mn-lt"/>
            <a:ea typeface="+mn-ea"/>
            <a:cs typeface="+mn-cs"/>
          </a:endParaRPr>
        </a:p>
        <a:p>
          <a:r>
            <a:rPr lang="en-US" sz="1100"/>
            <a:t>In the</a:t>
          </a:r>
          <a:r>
            <a:rPr lang="en-US" sz="1100" baseline="0"/>
            <a:t> All Emissions Summary and Multi-year Emissions trend there are tables where communities may enter data from Mass Energy Insight to compare emissions from municipal operations energy use and fleet vehicles with the overall community-wide emissions. The tables are shown in </a:t>
          </a:r>
          <a:r>
            <a:rPr lang="en-US" sz="1100" baseline="0">
              <a:solidFill>
                <a:srgbClr val="00B050"/>
              </a:solidFill>
            </a:rPr>
            <a:t>GREEN</a:t>
          </a:r>
          <a:r>
            <a:rPr lang="en-US" sz="1100" baseline="0"/>
            <a:t>.  </a:t>
          </a:r>
          <a:r>
            <a:rPr lang="en-US" sz="1100" u="sng" baseline="0"/>
            <a:t>Please note, these emissions are included in the community-wide emissions and are not to in addition to the community-wide emissions. </a:t>
          </a:r>
          <a:endParaRPr lang="en-US" sz="1100" u="sng"/>
        </a:p>
        <a:p>
          <a:endParaRPr lang="en-US" sz="1100"/>
        </a:p>
        <a:p>
          <a:r>
            <a:rPr lang="en-US" sz="1100" i="1"/>
            <a:t>Version 4.1</a:t>
          </a:r>
          <a:r>
            <a:rPr lang="en-US" sz="1100" i="1" baseline="0"/>
            <a:t>: August 10, 2020</a:t>
          </a:r>
        </a:p>
        <a:p>
          <a:r>
            <a:rPr lang="en-US" sz="1100" baseline="0"/>
            <a:t>Created by DNV GL, with support from MAPC</a:t>
          </a:r>
          <a:br>
            <a:rPr lang="en-US" sz="1100" baseline="0"/>
          </a:br>
          <a:r>
            <a:rPr lang="en-US" sz="1100" baseline="0"/>
            <a:t>Maintained by MAPC</a:t>
          </a:r>
        </a:p>
      </xdr:txBody>
    </xdr:sp>
    <xdr:clientData/>
  </xdr:twoCellAnchor>
  <xdr:twoCellAnchor editAs="oneCell">
    <xdr:from>
      <xdr:col>0</xdr:col>
      <xdr:colOff>0</xdr:colOff>
      <xdr:row>0</xdr:row>
      <xdr:rowOff>1</xdr:rowOff>
    </xdr:from>
    <xdr:to>
      <xdr:col>13</xdr:col>
      <xdr:colOff>28575</xdr:colOff>
      <xdr:row>2</xdr:row>
      <xdr:rowOff>85725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277100" cy="409574"/>
        </a:xfrm>
        <a:prstGeom prst="rect">
          <a:avLst/>
        </a:prstGeom>
        <a:noFill/>
        <a:ln>
          <a:noFill/>
        </a:ln>
      </xdr:spPr>
    </xdr:pic>
    <xdr:clientData/>
  </xdr:twoCellAnchor>
  <xdr:twoCellAnchor editAs="oneCell">
    <xdr:from>
      <xdr:col>11</xdr:col>
      <xdr:colOff>454819</xdr:colOff>
      <xdr:row>3</xdr:row>
      <xdr:rowOff>16668</xdr:rowOff>
    </xdr:from>
    <xdr:to>
      <xdr:col>13</xdr:col>
      <xdr:colOff>21431</xdr:colOff>
      <xdr:row>3</xdr:row>
      <xdr:rowOff>166584</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74632" y="516731"/>
          <a:ext cx="757237" cy="150951"/>
        </a:xfrm>
        <a:prstGeom prst="rect">
          <a:avLst/>
        </a:prstGeom>
        <a:noFill/>
      </xdr:spPr>
    </xdr:pic>
    <xdr:clientData/>
  </xdr:twoCellAnchor>
  <xdr:twoCellAnchor>
    <xdr:from>
      <xdr:col>0</xdr:col>
      <xdr:colOff>123825</xdr:colOff>
      <xdr:row>27</xdr:row>
      <xdr:rowOff>57147</xdr:rowOff>
    </xdr:from>
    <xdr:to>
      <xdr:col>12</xdr:col>
      <xdr:colOff>554935</xdr:colOff>
      <xdr:row>37</xdr:row>
      <xdr:rowOff>95250</xdr:rowOff>
    </xdr:to>
    <xdr:sp macro="" textlink="">
      <xdr:nvSpPr>
        <xdr:cNvPr id="6" name="TextBox 5">
          <a:extLst>
            <a:ext uri="{FF2B5EF4-FFF2-40B4-BE49-F238E27FC236}">
              <a16:creationId xmlns:a16="http://schemas.microsoft.com/office/drawing/2014/main" id="{929718F8-F712-4FE5-B944-4F78FEE2C929}"/>
            </a:ext>
          </a:extLst>
        </xdr:cNvPr>
        <xdr:cNvSpPr txBox="1"/>
      </xdr:nvSpPr>
      <xdr:spPr>
        <a:xfrm>
          <a:off x="123825" y="4562472"/>
          <a:ext cx="7089085" cy="1657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Updating the work</a:t>
          </a:r>
          <a:r>
            <a:rPr lang="en-US" sz="1600" b="1" baseline="0"/>
            <a:t> for other inventory years</a:t>
          </a:r>
        </a:p>
        <a:p>
          <a:endParaRPr lang="en-US" sz="1400"/>
        </a:p>
        <a:p>
          <a:pPr rtl="0" fontAlgn="base"/>
          <a:r>
            <a:rPr lang="en-US" sz="1100" b="0" i="0" baseline="0">
              <a:solidFill>
                <a:schemeClr val="dk1"/>
              </a:solidFill>
              <a:latin typeface="+mn-lt"/>
              <a:ea typeface="+mn-ea"/>
              <a:cs typeface="+mn-cs"/>
            </a:rPr>
            <a:t>If this workbook is to be used for creating emissions inventories for any year other than 2017, there are several tables where the data is subject to annual or other periodic updates. The supporting data in these tables will need to be updated to reflect the conditions or data from the year of interest.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Below is a list of tables to review and update prior to creating an inventory for another year. Instructions on where to collect this data for alternate years are provided in the "Adjust Inventory Year" section of this workbook.</a:t>
          </a:r>
        </a:p>
        <a:p>
          <a:pPr rtl="0" fontAlgn="base"/>
          <a:endParaRPr lang="en-US" sz="1100" b="0" i="0" baseline="0">
            <a:solidFill>
              <a:schemeClr val="dk1"/>
            </a:solidFill>
            <a:latin typeface="+mn-lt"/>
            <a:ea typeface="+mn-ea"/>
            <a:cs typeface="+mn-cs"/>
          </a:endParaRPr>
        </a:p>
      </xdr:txBody>
    </xdr:sp>
    <xdr:clientData/>
  </xdr:twoCellAnchor>
  <xdr:twoCellAnchor editAs="oneCell">
    <xdr:from>
      <xdr:col>11</xdr:col>
      <xdr:colOff>331305</xdr:colOff>
      <xdr:row>3</xdr:row>
      <xdr:rowOff>306457</xdr:rowOff>
    </xdr:from>
    <xdr:to>
      <xdr:col>13</xdr:col>
      <xdr:colOff>49696</xdr:colOff>
      <xdr:row>5</xdr:row>
      <xdr:rowOff>45845</xdr:rowOff>
    </xdr:to>
    <xdr:pic>
      <xdr:nvPicPr>
        <xdr:cNvPr id="7" name="Picture 6">
          <a:extLst>
            <a:ext uri="{FF2B5EF4-FFF2-40B4-BE49-F238E27FC236}">
              <a16:creationId xmlns:a16="http://schemas.microsoft.com/office/drawing/2014/main" id="{C9009030-B615-4285-8889-D604876D6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77609" y="803414"/>
          <a:ext cx="894522" cy="5013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123825</xdr:colOff>
      <xdr:row>0</xdr:row>
      <xdr:rowOff>95250</xdr:rowOff>
    </xdr:from>
    <xdr:to>
      <xdr:col>9</xdr:col>
      <xdr:colOff>940777</xdr:colOff>
      <xdr:row>6</xdr:row>
      <xdr:rowOff>36410</xdr:rowOff>
    </xdr:to>
    <xdr:pic>
      <xdr:nvPicPr>
        <xdr:cNvPr id="5" name="Picture 4">
          <a:extLst>
            <a:ext uri="{FF2B5EF4-FFF2-40B4-BE49-F238E27FC236}">
              <a16:creationId xmlns:a16="http://schemas.microsoft.com/office/drawing/2014/main" id="{7237EA44-7ADA-4D08-888D-A3E8DBECD4B7}"/>
            </a:ext>
          </a:extLst>
        </xdr:cNvPr>
        <xdr:cNvPicPr>
          <a:picLocks noChangeAspect="1"/>
        </xdr:cNvPicPr>
      </xdr:nvPicPr>
      <xdr:blipFill>
        <a:blip xmlns:r="http://schemas.openxmlformats.org/officeDocument/2006/relationships" r:embed="rId1"/>
        <a:stretch>
          <a:fillRect/>
        </a:stretch>
      </xdr:blipFill>
      <xdr:spPr>
        <a:xfrm>
          <a:off x="7867650" y="95250"/>
          <a:ext cx="2702902" cy="10746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304800</xdr:colOff>
      <xdr:row>45</xdr:row>
      <xdr:rowOff>175458</xdr:rowOff>
    </xdr:to>
    <xdr:sp macro="" textlink="">
      <xdr:nvSpPr>
        <xdr:cNvPr id="2" name="AutoShape 4" descr="+">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3" name="AutoShape 5" descr="+">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205434</xdr:rowOff>
    </xdr:to>
    <xdr:sp macro="" textlink="">
      <xdr:nvSpPr>
        <xdr:cNvPr id="4" name="AutoShape 6" descr="+">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178392</xdr:rowOff>
    </xdr:to>
    <xdr:sp macro="" textlink="">
      <xdr:nvSpPr>
        <xdr:cNvPr id="5" name="AutoShape 7" descr="+">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6" name="AutoShape 8" descr="+">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205432</xdr:rowOff>
    </xdr:to>
    <xdr:sp macro="" textlink="">
      <xdr:nvSpPr>
        <xdr:cNvPr id="7" name="AutoShape 9" descr="+">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8" name="AutoShape 10" descr="+">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195907</xdr:rowOff>
    </xdr:to>
    <xdr:sp macro="" textlink="">
      <xdr:nvSpPr>
        <xdr:cNvPr id="9" name="AutoShape 11" descr="+">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274275</xdr:rowOff>
    </xdr:to>
    <xdr:sp macro="" textlink="">
      <xdr:nvSpPr>
        <xdr:cNvPr id="10" name="AutoShape 12" descr="+">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1" name="AutoShape 13" descr="+">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12" name="AutoShape 14" descr="+">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205432</xdr:rowOff>
    </xdr:to>
    <xdr:sp macro="" textlink="">
      <xdr:nvSpPr>
        <xdr:cNvPr id="13" name="AutoShape 15" descr="+">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195628</xdr:rowOff>
    </xdr:to>
    <xdr:sp macro="" textlink="">
      <xdr:nvSpPr>
        <xdr:cNvPr id="14" name="AutoShape 16" descr="+">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181860</xdr:rowOff>
    </xdr:to>
    <xdr:sp macro="" textlink="">
      <xdr:nvSpPr>
        <xdr:cNvPr id="15" name="AutoShape 17" descr="+">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181862</xdr:rowOff>
    </xdr:to>
    <xdr:sp macro="" textlink="">
      <xdr:nvSpPr>
        <xdr:cNvPr id="16" name="AutoShape 18" descr="+">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183262</xdr:rowOff>
    </xdr:to>
    <xdr:sp macro="" textlink="">
      <xdr:nvSpPr>
        <xdr:cNvPr id="17" name="AutoShape 19" descr="+">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181859</xdr:rowOff>
    </xdr:to>
    <xdr:sp macro="" textlink="">
      <xdr:nvSpPr>
        <xdr:cNvPr id="18" name="AutoShape 20" descr="+">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211839</xdr:rowOff>
    </xdr:to>
    <xdr:sp macro="" textlink="">
      <xdr:nvSpPr>
        <xdr:cNvPr id="19" name="AutoShape 21" descr="+">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211834</xdr:rowOff>
    </xdr:to>
    <xdr:sp macro="" textlink="">
      <xdr:nvSpPr>
        <xdr:cNvPr id="20" name="AutoShape 22" descr="+">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211838</xdr:rowOff>
    </xdr:to>
    <xdr:sp macro="" textlink="">
      <xdr:nvSpPr>
        <xdr:cNvPr id="21" name="AutoShape 23" descr="+">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202311</xdr:rowOff>
    </xdr:to>
    <xdr:sp macro="" textlink="">
      <xdr:nvSpPr>
        <xdr:cNvPr id="22" name="AutoShape 24" descr="+">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211837</xdr:rowOff>
    </xdr:to>
    <xdr:sp macro="" textlink="">
      <xdr:nvSpPr>
        <xdr:cNvPr id="23" name="AutoShape 25" descr="+">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211837</xdr:rowOff>
    </xdr:to>
    <xdr:sp macro="" textlink="">
      <xdr:nvSpPr>
        <xdr:cNvPr id="24" name="AutoShape 26" descr="+">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183262</xdr:rowOff>
    </xdr:to>
    <xdr:sp macro="" textlink="">
      <xdr:nvSpPr>
        <xdr:cNvPr id="25" name="AutoShape 27" descr="+">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211834</xdr:rowOff>
    </xdr:to>
    <xdr:sp macro="" textlink="">
      <xdr:nvSpPr>
        <xdr:cNvPr id="26" name="AutoShape 28" descr="+">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205438</xdr:rowOff>
    </xdr:to>
    <xdr:sp macro="" textlink="">
      <xdr:nvSpPr>
        <xdr:cNvPr id="27" name="AutoShape 29" descr="+">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8" name="AutoShape 30" descr="+">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9" name="AutoShape 31" descr="+">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30" name="AutoShape 32" descr="+">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206815</xdr:rowOff>
    </xdr:to>
    <xdr:sp macro="" textlink="">
      <xdr:nvSpPr>
        <xdr:cNvPr id="31" name="AutoShape 33" descr="+">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32" name="AutoShape 34" descr="+">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33" name="AutoShape 52" descr="+">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34" name="AutoShape 53" descr="+">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190425</xdr:rowOff>
    </xdr:to>
    <xdr:sp macro="" textlink="">
      <xdr:nvSpPr>
        <xdr:cNvPr id="35" name="AutoShape 54" descr="+">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36" name="AutoShape 55" descr="+">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37" name="AutoShape 56" descr="+">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38" name="AutoShape 57" descr="+">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39" name="AutoShape 58" descr="+">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40" name="AutoShape 59" descr="+">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41" name="AutoShape 60" descr="+">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42" name="AutoShape 61" descr="+">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43" name="AutoShape 62" descr="+">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44" name="AutoShape 63" descr="+">
          <a:extLst>
            <a:ext uri="{FF2B5EF4-FFF2-40B4-BE49-F238E27FC236}">
              <a16:creationId xmlns:a16="http://schemas.microsoft.com/office/drawing/2014/main" id="{00000000-0008-0000-0A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45" name="AutoShape 64" descr="+">
          <a:extLst>
            <a:ext uri="{FF2B5EF4-FFF2-40B4-BE49-F238E27FC236}">
              <a16:creationId xmlns:a16="http://schemas.microsoft.com/office/drawing/2014/main" id="{00000000-0008-0000-0A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190423</xdr:rowOff>
    </xdr:to>
    <xdr:sp macro="" textlink="">
      <xdr:nvSpPr>
        <xdr:cNvPr id="46" name="AutoShape 65" descr="+">
          <a:extLst>
            <a:ext uri="{FF2B5EF4-FFF2-40B4-BE49-F238E27FC236}">
              <a16:creationId xmlns:a16="http://schemas.microsoft.com/office/drawing/2014/main" id="{00000000-0008-0000-0A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47" name="AutoShape 66" descr="+">
          <a:extLst>
            <a:ext uri="{FF2B5EF4-FFF2-40B4-BE49-F238E27FC236}">
              <a16:creationId xmlns:a16="http://schemas.microsoft.com/office/drawing/2014/main" id="{00000000-0008-0000-0A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48" name="AutoShape 67" descr="+">
          <a:extLst>
            <a:ext uri="{FF2B5EF4-FFF2-40B4-BE49-F238E27FC236}">
              <a16:creationId xmlns:a16="http://schemas.microsoft.com/office/drawing/2014/main" id="{00000000-0008-0000-0A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49" name="AutoShape 68" descr="+">
          <a:extLst>
            <a:ext uri="{FF2B5EF4-FFF2-40B4-BE49-F238E27FC236}">
              <a16:creationId xmlns:a16="http://schemas.microsoft.com/office/drawing/2014/main" id="{00000000-0008-0000-0A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50" name="AutoShape 69" descr="+">
          <a:extLst>
            <a:ext uri="{FF2B5EF4-FFF2-40B4-BE49-F238E27FC236}">
              <a16:creationId xmlns:a16="http://schemas.microsoft.com/office/drawing/2014/main" id="{00000000-0008-0000-0A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51" name="AutoShape 70" descr="+">
          <a:extLst>
            <a:ext uri="{FF2B5EF4-FFF2-40B4-BE49-F238E27FC236}">
              <a16:creationId xmlns:a16="http://schemas.microsoft.com/office/drawing/2014/main" id="{00000000-0008-0000-0A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52" name="AutoShape 71" descr="+">
          <a:extLst>
            <a:ext uri="{FF2B5EF4-FFF2-40B4-BE49-F238E27FC236}">
              <a16:creationId xmlns:a16="http://schemas.microsoft.com/office/drawing/2014/main" id="{00000000-0008-0000-0A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3" name="AutoShape 72" descr="+">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54" name="AutoShape 73" descr="+">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55" name="AutoShape 74" descr="+">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56" name="AutoShape 75" descr="+">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7" name="AutoShape 76" descr="+">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58" name="AutoShape 77" descr="+">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9" name="AutoShape 78" descr="+">
          <a:extLst>
            <a:ext uri="{FF2B5EF4-FFF2-40B4-BE49-F238E27FC236}">
              <a16:creationId xmlns:a16="http://schemas.microsoft.com/office/drawing/2014/main" id="{00000000-0008-0000-0A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170416</xdr:rowOff>
    </xdr:to>
    <xdr:sp macro="" textlink="">
      <xdr:nvSpPr>
        <xdr:cNvPr id="60" name="AutoShape 79" descr="+">
          <a:extLst>
            <a:ext uri="{FF2B5EF4-FFF2-40B4-BE49-F238E27FC236}">
              <a16:creationId xmlns:a16="http://schemas.microsoft.com/office/drawing/2014/main" id="{00000000-0008-0000-0A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1" name="AutoShape 80" descr="+">
          <a:extLst>
            <a:ext uri="{FF2B5EF4-FFF2-40B4-BE49-F238E27FC236}">
              <a16:creationId xmlns:a16="http://schemas.microsoft.com/office/drawing/2014/main" id="{00000000-0008-0000-0A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185382</xdr:rowOff>
    </xdr:to>
    <xdr:sp macro="" textlink="">
      <xdr:nvSpPr>
        <xdr:cNvPr id="62" name="AutoShape 81" descr="+">
          <a:extLst>
            <a:ext uri="{FF2B5EF4-FFF2-40B4-BE49-F238E27FC236}">
              <a16:creationId xmlns:a16="http://schemas.microsoft.com/office/drawing/2014/main" id="{00000000-0008-0000-0A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3" name="AutoShape 82" descr="+">
          <a:extLst>
            <a:ext uri="{FF2B5EF4-FFF2-40B4-BE49-F238E27FC236}">
              <a16:creationId xmlns:a16="http://schemas.microsoft.com/office/drawing/2014/main" id="{00000000-0008-0000-0A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209198</xdr:rowOff>
    </xdr:to>
    <xdr:sp macro="" textlink="">
      <xdr:nvSpPr>
        <xdr:cNvPr id="64" name="AutoShape 83" descr="+">
          <a:extLst>
            <a:ext uri="{FF2B5EF4-FFF2-40B4-BE49-F238E27FC236}">
              <a16:creationId xmlns:a16="http://schemas.microsoft.com/office/drawing/2014/main" id="{00000000-0008-0000-0A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5" name="AutoShape 84" descr="+">
          <a:extLst>
            <a:ext uri="{FF2B5EF4-FFF2-40B4-BE49-F238E27FC236}">
              <a16:creationId xmlns:a16="http://schemas.microsoft.com/office/drawing/2014/main" id="{00000000-0008-0000-0A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209195</xdr:rowOff>
    </xdr:to>
    <xdr:sp macro="" textlink="">
      <xdr:nvSpPr>
        <xdr:cNvPr id="66" name="AutoShape 85" descr="+">
          <a:extLst>
            <a:ext uri="{FF2B5EF4-FFF2-40B4-BE49-F238E27FC236}">
              <a16:creationId xmlns:a16="http://schemas.microsoft.com/office/drawing/2014/main" id="{00000000-0008-0000-0A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7" name="AutoShape 86" descr="+">
          <a:extLst>
            <a:ext uri="{FF2B5EF4-FFF2-40B4-BE49-F238E27FC236}">
              <a16:creationId xmlns:a16="http://schemas.microsoft.com/office/drawing/2014/main" id="{00000000-0008-0000-0A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8" name="AutoShape 87" descr="+">
          <a:extLst>
            <a:ext uri="{FF2B5EF4-FFF2-40B4-BE49-F238E27FC236}">
              <a16:creationId xmlns:a16="http://schemas.microsoft.com/office/drawing/2014/main" id="{00000000-0008-0000-0A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9" name="AutoShape 88" descr="+">
          <a:extLst>
            <a:ext uri="{FF2B5EF4-FFF2-40B4-BE49-F238E27FC236}">
              <a16:creationId xmlns:a16="http://schemas.microsoft.com/office/drawing/2014/main" id="{00000000-0008-0000-0A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0" name="AutoShape 89" descr="+">
          <a:extLst>
            <a:ext uri="{FF2B5EF4-FFF2-40B4-BE49-F238E27FC236}">
              <a16:creationId xmlns:a16="http://schemas.microsoft.com/office/drawing/2014/main" id="{00000000-0008-0000-0A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209194</xdr:rowOff>
    </xdr:to>
    <xdr:sp macro="" textlink="">
      <xdr:nvSpPr>
        <xdr:cNvPr id="71" name="AutoShape 90" descr="+">
          <a:extLst>
            <a:ext uri="{FF2B5EF4-FFF2-40B4-BE49-F238E27FC236}">
              <a16:creationId xmlns:a16="http://schemas.microsoft.com/office/drawing/2014/main" id="{00000000-0008-0000-0A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310771</xdr:rowOff>
    </xdr:to>
    <xdr:sp macro="" textlink="">
      <xdr:nvSpPr>
        <xdr:cNvPr id="72" name="AutoShape 91" descr="+">
          <a:extLst>
            <a:ext uri="{FF2B5EF4-FFF2-40B4-BE49-F238E27FC236}">
              <a16:creationId xmlns:a16="http://schemas.microsoft.com/office/drawing/2014/main" id="{00000000-0008-0000-0A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175177</xdr:rowOff>
    </xdr:to>
    <xdr:sp macro="" textlink="">
      <xdr:nvSpPr>
        <xdr:cNvPr id="73" name="AutoShape 92" descr="+">
          <a:extLst>
            <a:ext uri="{FF2B5EF4-FFF2-40B4-BE49-F238E27FC236}">
              <a16:creationId xmlns:a16="http://schemas.microsoft.com/office/drawing/2014/main" id="{00000000-0008-0000-0A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4" name="AutoShape 93" descr="+">
          <a:extLst>
            <a:ext uri="{FF2B5EF4-FFF2-40B4-BE49-F238E27FC236}">
              <a16:creationId xmlns:a16="http://schemas.microsoft.com/office/drawing/2014/main" id="{00000000-0008-0000-0A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5" name="AutoShape 94" descr="+">
          <a:extLst>
            <a:ext uri="{FF2B5EF4-FFF2-40B4-BE49-F238E27FC236}">
              <a16:creationId xmlns:a16="http://schemas.microsoft.com/office/drawing/2014/main" id="{00000000-0008-0000-0A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204435</xdr:rowOff>
    </xdr:to>
    <xdr:sp macro="" textlink="">
      <xdr:nvSpPr>
        <xdr:cNvPr id="76" name="AutoShape 95" descr="+">
          <a:extLst>
            <a:ext uri="{FF2B5EF4-FFF2-40B4-BE49-F238E27FC236}">
              <a16:creationId xmlns:a16="http://schemas.microsoft.com/office/drawing/2014/main" id="{00000000-0008-0000-0A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77" name="AutoShape 96" descr="+">
          <a:extLst>
            <a:ext uri="{FF2B5EF4-FFF2-40B4-BE49-F238E27FC236}">
              <a16:creationId xmlns:a16="http://schemas.microsoft.com/office/drawing/2014/main" id="{00000000-0008-0000-0A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78" name="AutoShape 97" descr="+">
          <a:extLst>
            <a:ext uri="{FF2B5EF4-FFF2-40B4-BE49-F238E27FC236}">
              <a16:creationId xmlns:a16="http://schemas.microsoft.com/office/drawing/2014/main" id="{00000000-0008-0000-0A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79" name="AutoShape 98" descr="+">
          <a:extLst>
            <a:ext uri="{FF2B5EF4-FFF2-40B4-BE49-F238E27FC236}">
              <a16:creationId xmlns:a16="http://schemas.microsoft.com/office/drawing/2014/main" id="{00000000-0008-0000-0A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80" name="AutoShape 99" descr="+">
          <a:extLst>
            <a:ext uri="{FF2B5EF4-FFF2-40B4-BE49-F238E27FC236}">
              <a16:creationId xmlns:a16="http://schemas.microsoft.com/office/drawing/2014/main" id="{00000000-0008-0000-0A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81" name="AutoShape 100" descr="+">
          <a:extLst>
            <a:ext uri="{FF2B5EF4-FFF2-40B4-BE49-F238E27FC236}">
              <a16:creationId xmlns:a16="http://schemas.microsoft.com/office/drawing/2014/main" id="{00000000-0008-0000-0A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82" name="AutoShape 101" descr="+">
          <a:extLst>
            <a:ext uri="{FF2B5EF4-FFF2-40B4-BE49-F238E27FC236}">
              <a16:creationId xmlns:a16="http://schemas.microsoft.com/office/drawing/2014/main" id="{00000000-0008-0000-0A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83" name="AutoShape 102" descr="+">
          <a:extLst>
            <a:ext uri="{FF2B5EF4-FFF2-40B4-BE49-F238E27FC236}">
              <a16:creationId xmlns:a16="http://schemas.microsoft.com/office/drawing/2014/main" id="{00000000-0008-0000-0A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84" name="AutoShape 103" descr="+">
          <a:extLst>
            <a:ext uri="{FF2B5EF4-FFF2-40B4-BE49-F238E27FC236}">
              <a16:creationId xmlns:a16="http://schemas.microsoft.com/office/drawing/2014/main" id="{00000000-0008-0000-0A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85" name="AutoShape 104" descr="+">
          <a:extLst>
            <a:ext uri="{FF2B5EF4-FFF2-40B4-BE49-F238E27FC236}">
              <a16:creationId xmlns:a16="http://schemas.microsoft.com/office/drawing/2014/main" id="{00000000-0008-0000-0A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175860</xdr:rowOff>
    </xdr:to>
    <xdr:sp macro="" textlink="">
      <xdr:nvSpPr>
        <xdr:cNvPr id="86" name="AutoShape 105" descr="+">
          <a:extLst>
            <a:ext uri="{FF2B5EF4-FFF2-40B4-BE49-F238E27FC236}">
              <a16:creationId xmlns:a16="http://schemas.microsoft.com/office/drawing/2014/main" id="{00000000-0008-0000-0A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204432</xdr:rowOff>
    </xdr:to>
    <xdr:sp macro="" textlink="">
      <xdr:nvSpPr>
        <xdr:cNvPr id="87" name="AutoShape 106" descr="+">
          <a:extLst>
            <a:ext uri="{FF2B5EF4-FFF2-40B4-BE49-F238E27FC236}">
              <a16:creationId xmlns:a16="http://schemas.microsoft.com/office/drawing/2014/main" id="{00000000-0008-0000-0A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207837</xdr:rowOff>
    </xdr:to>
    <xdr:sp macro="" textlink="">
      <xdr:nvSpPr>
        <xdr:cNvPr id="88" name="AutoShape 107" descr="+">
          <a:extLst>
            <a:ext uri="{FF2B5EF4-FFF2-40B4-BE49-F238E27FC236}">
              <a16:creationId xmlns:a16="http://schemas.microsoft.com/office/drawing/2014/main" id="{00000000-0008-0000-0A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89" name="AutoShape 108" descr="+">
          <a:extLst>
            <a:ext uri="{FF2B5EF4-FFF2-40B4-BE49-F238E27FC236}">
              <a16:creationId xmlns:a16="http://schemas.microsoft.com/office/drawing/2014/main" id="{00000000-0008-0000-0A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90" name="AutoShape 109" descr="+">
          <a:extLst>
            <a:ext uri="{FF2B5EF4-FFF2-40B4-BE49-F238E27FC236}">
              <a16:creationId xmlns:a16="http://schemas.microsoft.com/office/drawing/2014/main" id="{00000000-0008-0000-0A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91" name="AutoShape 110" descr="+">
          <a:extLst>
            <a:ext uri="{FF2B5EF4-FFF2-40B4-BE49-F238E27FC236}">
              <a16:creationId xmlns:a16="http://schemas.microsoft.com/office/drawing/2014/main" id="{00000000-0008-0000-0A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2" name="AutoShape 111" descr="+">
          <a:extLst>
            <a:ext uri="{FF2B5EF4-FFF2-40B4-BE49-F238E27FC236}">
              <a16:creationId xmlns:a16="http://schemas.microsoft.com/office/drawing/2014/main" id="{00000000-0008-0000-0A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3" name="AutoShape 112" descr="+">
          <a:extLst>
            <a:ext uri="{FF2B5EF4-FFF2-40B4-BE49-F238E27FC236}">
              <a16:creationId xmlns:a16="http://schemas.microsoft.com/office/drawing/2014/main" id="{00000000-0008-0000-0A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195185</xdr:rowOff>
    </xdr:to>
    <xdr:sp macro="" textlink="">
      <xdr:nvSpPr>
        <xdr:cNvPr id="94" name="AutoShape 113" descr="+">
          <a:extLst>
            <a:ext uri="{FF2B5EF4-FFF2-40B4-BE49-F238E27FC236}">
              <a16:creationId xmlns:a16="http://schemas.microsoft.com/office/drawing/2014/main" id="{00000000-0008-0000-0A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5" name="AutoShape 114" descr="+">
          <a:extLst>
            <a:ext uri="{FF2B5EF4-FFF2-40B4-BE49-F238E27FC236}">
              <a16:creationId xmlns:a16="http://schemas.microsoft.com/office/drawing/2014/main" id="{00000000-0008-0000-0A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6" name="AutoShape 115" descr="+">
          <a:extLst>
            <a:ext uri="{FF2B5EF4-FFF2-40B4-BE49-F238E27FC236}">
              <a16:creationId xmlns:a16="http://schemas.microsoft.com/office/drawing/2014/main" id="{00000000-0008-0000-0A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7" name="AutoShape 116" descr="+">
          <a:extLst>
            <a:ext uri="{FF2B5EF4-FFF2-40B4-BE49-F238E27FC236}">
              <a16:creationId xmlns:a16="http://schemas.microsoft.com/office/drawing/2014/main" id="{00000000-0008-0000-0A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8" name="AutoShape 117" descr="+">
          <a:extLst>
            <a:ext uri="{FF2B5EF4-FFF2-40B4-BE49-F238E27FC236}">
              <a16:creationId xmlns:a16="http://schemas.microsoft.com/office/drawing/2014/main" id="{00000000-0008-0000-0A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9" name="AutoShape 118" descr="+">
          <a:extLst>
            <a:ext uri="{FF2B5EF4-FFF2-40B4-BE49-F238E27FC236}">
              <a16:creationId xmlns:a16="http://schemas.microsoft.com/office/drawing/2014/main" id="{00000000-0008-0000-0A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00" name="AutoShape 119" descr="+">
          <a:extLst>
            <a:ext uri="{FF2B5EF4-FFF2-40B4-BE49-F238E27FC236}">
              <a16:creationId xmlns:a16="http://schemas.microsoft.com/office/drawing/2014/main" id="{00000000-0008-0000-0A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01" name="AutoShape 120" descr="+">
          <a:extLst>
            <a:ext uri="{FF2B5EF4-FFF2-40B4-BE49-F238E27FC236}">
              <a16:creationId xmlns:a16="http://schemas.microsoft.com/office/drawing/2014/main" id="{00000000-0008-0000-0A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02" name="AutoShape 121" descr="+">
          <a:extLst>
            <a:ext uri="{FF2B5EF4-FFF2-40B4-BE49-F238E27FC236}">
              <a16:creationId xmlns:a16="http://schemas.microsoft.com/office/drawing/2014/main" id="{00000000-0008-0000-0A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103" name="AutoShape 122" descr="+">
          <a:extLst>
            <a:ext uri="{FF2B5EF4-FFF2-40B4-BE49-F238E27FC236}">
              <a16:creationId xmlns:a16="http://schemas.microsoft.com/office/drawing/2014/main" id="{00000000-0008-0000-0A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04" name="AutoShape 123" descr="+">
          <a:extLst>
            <a:ext uri="{FF2B5EF4-FFF2-40B4-BE49-F238E27FC236}">
              <a16:creationId xmlns:a16="http://schemas.microsoft.com/office/drawing/2014/main" id="{00000000-0008-0000-0A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05" name="AutoShape 124" descr="+">
          <a:extLst>
            <a:ext uri="{FF2B5EF4-FFF2-40B4-BE49-F238E27FC236}">
              <a16:creationId xmlns:a16="http://schemas.microsoft.com/office/drawing/2014/main" id="{00000000-0008-0000-0A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06" name="AutoShape 125" descr="+">
          <a:extLst>
            <a:ext uri="{FF2B5EF4-FFF2-40B4-BE49-F238E27FC236}">
              <a16:creationId xmlns:a16="http://schemas.microsoft.com/office/drawing/2014/main" id="{00000000-0008-0000-0A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07" name="AutoShape 126" descr="+">
          <a:extLst>
            <a:ext uri="{FF2B5EF4-FFF2-40B4-BE49-F238E27FC236}">
              <a16:creationId xmlns:a16="http://schemas.microsoft.com/office/drawing/2014/main" id="{00000000-0008-0000-0A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206815</xdr:rowOff>
    </xdr:to>
    <xdr:sp macro="" textlink="">
      <xdr:nvSpPr>
        <xdr:cNvPr id="108" name="AutoShape 127" descr="+">
          <a:extLst>
            <a:ext uri="{FF2B5EF4-FFF2-40B4-BE49-F238E27FC236}">
              <a16:creationId xmlns:a16="http://schemas.microsoft.com/office/drawing/2014/main" id="{00000000-0008-0000-0A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206816</xdr:rowOff>
    </xdr:to>
    <xdr:sp macro="" textlink="">
      <xdr:nvSpPr>
        <xdr:cNvPr id="109" name="AutoShape 128" descr="+">
          <a:extLst>
            <a:ext uri="{FF2B5EF4-FFF2-40B4-BE49-F238E27FC236}">
              <a16:creationId xmlns:a16="http://schemas.microsoft.com/office/drawing/2014/main" id="{00000000-0008-0000-0A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10" name="AutoShape 129" descr="+">
          <a:extLst>
            <a:ext uri="{FF2B5EF4-FFF2-40B4-BE49-F238E27FC236}">
              <a16:creationId xmlns:a16="http://schemas.microsoft.com/office/drawing/2014/main" id="{00000000-0008-0000-0A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11" name="AutoShape 130" descr="+">
          <a:extLst>
            <a:ext uri="{FF2B5EF4-FFF2-40B4-BE49-F238E27FC236}">
              <a16:creationId xmlns:a16="http://schemas.microsoft.com/office/drawing/2014/main" id="{00000000-0008-0000-0A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12" name="AutoShape 131" descr="+">
          <a:extLst>
            <a:ext uri="{FF2B5EF4-FFF2-40B4-BE49-F238E27FC236}">
              <a16:creationId xmlns:a16="http://schemas.microsoft.com/office/drawing/2014/main" id="{00000000-0008-0000-0A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3" name="AutoShape 132" descr="+">
          <a:extLst>
            <a:ext uri="{FF2B5EF4-FFF2-40B4-BE49-F238E27FC236}">
              <a16:creationId xmlns:a16="http://schemas.microsoft.com/office/drawing/2014/main" id="{00000000-0008-0000-0A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4" name="AutoShape 133" descr="+">
          <a:extLst>
            <a:ext uri="{FF2B5EF4-FFF2-40B4-BE49-F238E27FC236}">
              <a16:creationId xmlns:a16="http://schemas.microsoft.com/office/drawing/2014/main" id="{00000000-0008-0000-0A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15" name="AutoShape 134" descr="+">
          <a:extLst>
            <a:ext uri="{FF2B5EF4-FFF2-40B4-BE49-F238E27FC236}">
              <a16:creationId xmlns:a16="http://schemas.microsoft.com/office/drawing/2014/main" id="{00000000-0008-0000-0A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6" name="AutoShape 135" descr="+">
          <a:extLst>
            <a:ext uri="{FF2B5EF4-FFF2-40B4-BE49-F238E27FC236}">
              <a16:creationId xmlns:a16="http://schemas.microsoft.com/office/drawing/2014/main" id="{00000000-0008-0000-0A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7" name="AutoShape 136" descr="+">
          <a:extLst>
            <a:ext uri="{FF2B5EF4-FFF2-40B4-BE49-F238E27FC236}">
              <a16:creationId xmlns:a16="http://schemas.microsoft.com/office/drawing/2014/main" id="{00000000-0008-0000-0A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18" name="AutoShape 137" descr="+">
          <a:extLst>
            <a:ext uri="{FF2B5EF4-FFF2-40B4-BE49-F238E27FC236}">
              <a16:creationId xmlns:a16="http://schemas.microsoft.com/office/drawing/2014/main" id="{00000000-0008-0000-0A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9" name="AutoShape 138" descr="+">
          <a:extLst>
            <a:ext uri="{FF2B5EF4-FFF2-40B4-BE49-F238E27FC236}">
              <a16:creationId xmlns:a16="http://schemas.microsoft.com/office/drawing/2014/main" id="{00000000-0008-0000-0A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20" name="AutoShape 139" descr="+">
          <a:extLst>
            <a:ext uri="{FF2B5EF4-FFF2-40B4-BE49-F238E27FC236}">
              <a16:creationId xmlns:a16="http://schemas.microsoft.com/office/drawing/2014/main" id="{00000000-0008-0000-0A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21" name="AutoShape 140" descr="+">
          <a:extLst>
            <a:ext uri="{FF2B5EF4-FFF2-40B4-BE49-F238E27FC236}">
              <a16:creationId xmlns:a16="http://schemas.microsoft.com/office/drawing/2014/main" id="{00000000-0008-0000-0A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22" name="AutoShape 141" descr="+">
          <a:extLst>
            <a:ext uri="{FF2B5EF4-FFF2-40B4-BE49-F238E27FC236}">
              <a16:creationId xmlns:a16="http://schemas.microsoft.com/office/drawing/2014/main" id="{00000000-0008-0000-0A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23" name="AutoShape 142" descr="+">
          <a:extLst>
            <a:ext uri="{FF2B5EF4-FFF2-40B4-BE49-F238E27FC236}">
              <a16:creationId xmlns:a16="http://schemas.microsoft.com/office/drawing/2014/main" id="{00000000-0008-0000-0A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334786</xdr:rowOff>
    </xdr:to>
    <xdr:sp macro="" textlink="">
      <xdr:nvSpPr>
        <xdr:cNvPr id="124" name="AutoShape 143" descr="+">
          <a:extLst>
            <a:ext uri="{FF2B5EF4-FFF2-40B4-BE49-F238E27FC236}">
              <a16:creationId xmlns:a16="http://schemas.microsoft.com/office/drawing/2014/main" id="{00000000-0008-0000-0A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25" name="AutoShape 144" descr="+">
          <a:extLst>
            <a:ext uri="{FF2B5EF4-FFF2-40B4-BE49-F238E27FC236}">
              <a16:creationId xmlns:a16="http://schemas.microsoft.com/office/drawing/2014/main" id="{00000000-0008-0000-0A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26" name="AutoShape 145" descr="+">
          <a:extLst>
            <a:ext uri="{FF2B5EF4-FFF2-40B4-BE49-F238E27FC236}">
              <a16:creationId xmlns:a16="http://schemas.microsoft.com/office/drawing/2014/main" id="{00000000-0008-0000-0A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27" name="AutoShape 146" descr="+">
          <a:extLst>
            <a:ext uri="{FF2B5EF4-FFF2-40B4-BE49-F238E27FC236}">
              <a16:creationId xmlns:a16="http://schemas.microsoft.com/office/drawing/2014/main" id="{00000000-0008-0000-0A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28" name="AutoShape 147" descr="+">
          <a:extLst>
            <a:ext uri="{FF2B5EF4-FFF2-40B4-BE49-F238E27FC236}">
              <a16:creationId xmlns:a16="http://schemas.microsoft.com/office/drawing/2014/main" id="{00000000-0008-0000-0A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129" name="AutoShape 148" descr="+">
          <a:extLst>
            <a:ext uri="{FF2B5EF4-FFF2-40B4-BE49-F238E27FC236}">
              <a16:creationId xmlns:a16="http://schemas.microsoft.com/office/drawing/2014/main" id="{00000000-0008-0000-0A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130" name="AutoShape 149" descr="+">
          <a:extLst>
            <a:ext uri="{FF2B5EF4-FFF2-40B4-BE49-F238E27FC236}">
              <a16:creationId xmlns:a16="http://schemas.microsoft.com/office/drawing/2014/main" id="{00000000-0008-0000-0A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31" name="AutoShape 150" descr="+">
          <a:extLst>
            <a:ext uri="{FF2B5EF4-FFF2-40B4-BE49-F238E27FC236}">
              <a16:creationId xmlns:a16="http://schemas.microsoft.com/office/drawing/2014/main" id="{00000000-0008-0000-0A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32" name="AutoShape 151" descr="+">
          <a:extLst>
            <a:ext uri="{FF2B5EF4-FFF2-40B4-BE49-F238E27FC236}">
              <a16:creationId xmlns:a16="http://schemas.microsoft.com/office/drawing/2014/main" id="{00000000-0008-0000-0A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33" name="AutoShape 152" descr="+">
          <a:extLst>
            <a:ext uri="{FF2B5EF4-FFF2-40B4-BE49-F238E27FC236}">
              <a16:creationId xmlns:a16="http://schemas.microsoft.com/office/drawing/2014/main" id="{00000000-0008-0000-0A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308523</xdr:rowOff>
    </xdr:to>
    <xdr:sp macro="" textlink="">
      <xdr:nvSpPr>
        <xdr:cNvPr id="134" name="AutoShape 153" descr="+">
          <a:extLst>
            <a:ext uri="{FF2B5EF4-FFF2-40B4-BE49-F238E27FC236}">
              <a16:creationId xmlns:a16="http://schemas.microsoft.com/office/drawing/2014/main" id="{00000000-0008-0000-0A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176137</xdr:rowOff>
    </xdr:to>
    <xdr:sp macro="" textlink="">
      <xdr:nvSpPr>
        <xdr:cNvPr id="135" name="AutoShape 154" descr="+">
          <a:extLst>
            <a:ext uri="{FF2B5EF4-FFF2-40B4-BE49-F238E27FC236}">
              <a16:creationId xmlns:a16="http://schemas.microsoft.com/office/drawing/2014/main" id="{00000000-0008-0000-0A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36" name="AutoShape 155" descr="+">
          <a:extLst>
            <a:ext uri="{FF2B5EF4-FFF2-40B4-BE49-F238E27FC236}">
              <a16:creationId xmlns:a16="http://schemas.microsoft.com/office/drawing/2014/main" id="{00000000-0008-0000-0A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207837</xdr:rowOff>
    </xdr:to>
    <xdr:sp macro="" textlink="">
      <xdr:nvSpPr>
        <xdr:cNvPr id="137" name="AutoShape 156" descr="+">
          <a:extLst>
            <a:ext uri="{FF2B5EF4-FFF2-40B4-BE49-F238E27FC236}">
              <a16:creationId xmlns:a16="http://schemas.microsoft.com/office/drawing/2014/main" id="{00000000-0008-0000-0A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207839</xdr:rowOff>
    </xdr:to>
    <xdr:sp macro="" textlink="">
      <xdr:nvSpPr>
        <xdr:cNvPr id="138" name="AutoShape 157" descr="+">
          <a:extLst>
            <a:ext uri="{FF2B5EF4-FFF2-40B4-BE49-F238E27FC236}">
              <a16:creationId xmlns:a16="http://schemas.microsoft.com/office/drawing/2014/main" id="{00000000-0008-0000-0A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39" name="AutoShape 158" descr="+">
          <a:extLst>
            <a:ext uri="{FF2B5EF4-FFF2-40B4-BE49-F238E27FC236}">
              <a16:creationId xmlns:a16="http://schemas.microsoft.com/office/drawing/2014/main" id="{00000000-0008-0000-0A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40" name="AutoShape 159" descr="+">
          <a:extLst>
            <a:ext uri="{FF2B5EF4-FFF2-40B4-BE49-F238E27FC236}">
              <a16:creationId xmlns:a16="http://schemas.microsoft.com/office/drawing/2014/main" id="{00000000-0008-0000-0A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190423</xdr:rowOff>
    </xdr:to>
    <xdr:sp macro="" textlink="">
      <xdr:nvSpPr>
        <xdr:cNvPr id="141" name="AutoShape 160" descr="+">
          <a:extLst>
            <a:ext uri="{FF2B5EF4-FFF2-40B4-BE49-F238E27FC236}">
              <a16:creationId xmlns:a16="http://schemas.microsoft.com/office/drawing/2014/main" id="{00000000-0008-0000-0A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42" name="AutoShape 161" descr="+">
          <a:extLst>
            <a:ext uri="{FF2B5EF4-FFF2-40B4-BE49-F238E27FC236}">
              <a16:creationId xmlns:a16="http://schemas.microsoft.com/office/drawing/2014/main" id="{00000000-0008-0000-0A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3" name="AutoShape 162" descr="+">
          <a:extLst>
            <a:ext uri="{FF2B5EF4-FFF2-40B4-BE49-F238E27FC236}">
              <a16:creationId xmlns:a16="http://schemas.microsoft.com/office/drawing/2014/main" id="{00000000-0008-0000-0A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44" name="AutoShape 163" descr="+">
          <a:extLst>
            <a:ext uri="{FF2B5EF4-FFF2-40B4-BE49-F238E27FC236}">
              <a16:creationId xmlns:a16="http://schemas.microsoft.com/office/drawing/2014/main" id="{00000000-0008-0000-0A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145" name="AutoShape 164" descr="+">
          <a:extLst>
            <a:ext uri="{FF2B5EF4-FFF2-40B4-BE49-F238E27FC236}">
              <a16:creationId xmlns:a16="http://schemas.microsoft.com/office/drawing/2014/main" id="{00000000-0008-0000-0A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6" name="AutoShape 165" descr="+">
          <a:extLst>
            <a:ext uri="{FF2B5EF4-FFF2-40B4-BE49-F238E27FC236}">
              <a16:creationId xmlns:a16="http://schemas.microsoft.com/office/drawing/2014/main" id="{00000000-0008-0000-0A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7" name="AutoShape 166" descr="+">
          <a:extLst>
            <a:ext uri="{FF2B5EF4-FFF2-40B4-BE49-F238E27FC236}">
              <a16:creationId xmlns:a16="http://schemas.microsoft.com/office/drawing/2014/main" id="{00000000-0008-0000-0A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148" name="AutoShape 167" descr="+">
          <a:extLst>
            <a:ext uri="{FF2B5EF4-FFF2-40B4-BE49-F238E27FC236}">
              <a16:creationId xmlns:a16="http://schemas.microsoft.com/office/drawing/2014/main" id="{00000000-0008-0000-0A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312612</xdr:rowOff>
    </xdr:to>
    <xdr:sp macro="" textlink="">
      <xdr:nvSpPr>
        <xdr:cNvPr id="149" name="AutoShape 168" descr="+">
          <a:extLst>
            <a:ext uri="{FF2B5EF4-FFF2-40B4-BE49-F238E27FC236}">
              <a16:creationId xmlns:a16="http://schemas.microsoft.com/office/drawing/2014/main" id="{00000000-0008-0000-0A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179260</xdr:rowOff>
    </xdr:to>
    <xdr:sp macro="" textlink="">
      <xdr:nvSpPr>
        <xdr:cNvPr id="150" name="AutoShape 169" descr="+">
          <a:extLst>
            <a:ext uri="{FF2B5EF4-FFF2-40B4-BE49-F238E27FC236}">
              <a16:creationId xmlns:a16="http://schemas.microsoft.com/office/drawing/2014/main" id="{00000000-0008-0000-0A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207833</xdr:rowOff>
    </xdr:to>
    <xdr:sp macro="" textlink="">
      <xdr:nvSpPr>
        <xdr:cNvPr id="151" name="AutoShape 170" descr="+">
          <a:extLst>
            <a:ext uri="{FF2B5EF4-FFF2-40B4-BE49-F238E27FC236}">
              <a16:creationId xmlns:a16="http://schemas.microsoft.com/office/drawing/2014/main" id="{00000000-0008-0000-0A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312610</xdr:rowOff>
    </xdr:to>
    <xdr:sp macro="" textlink="">
      <xdr:nvSpPr>
        <xdr:cNvPr id="152" name="AutoShape 171" descr="+">
          <a:extLst>
            <a:ext uri="{FF2B5EF4-FFF2-40B4-BE49-F238E27FC236}">
              <a16:creationId xmlns:a16="http://schemas.microsoft.com/office/drawing/2014/main" id="{00000000-0008-0000-0A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153" name="AutoShape 172" descr="+">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54" name="AutoShape 173" descr="+">
          <a:extLst>
            <a:ext uri="{FF2B5EF4-FFF2-40B4-BE49-F238E27FC236}">
              <a16:creationId xmlns:a16="http://schemas.microsoft.com/office/drawing/2014/main" id="{00000000-0008-0000-0A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55" name="AutoShape 174" descr="+">
          <a:extLst>
            <a:ext uri="{FF2B5EF4-FFF2-40B4-BE49-F238E27FC236}">
              <a16:creationId xmlns:a16="http://schemas.microsoft.com/office/drawing/2014/main" id="{00000000-0008-0000-0A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56" name="AutoShape 175" descr="+">
          <a:extLst>
            <a:ext uri="{FF2B5EF4-FFF2-40B4-BE49-F238E27FC236}">
              <a16:creationId xmlns:a16="http://schemas.microsoft.com/office/drawing/2014/main" id="{00000000-0008-0000-0A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57" name="AutoShape 176" descr="+">
          <a:extLst>
            <a:ext uri="{FF2B5EF4-FFF2-40B4-BE49-F238E27FC236}">
              <a16:creationId xmlns:a16="http://schemas.microsoft.com/office/drawing/2014/main" id="{00000000-0008-0000-0A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58" name="AutoShape 177" descr="+">
          <a:extLst>
            <a:ext uri="{FF2B5EF4-FFF2-40B4-BE49-F238E27FC236}">
              <a16:creationId xmlns:a16="http://schemas.microsoft.com/office/drawing/2014/main" id="{00000000-0008-0000-0A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59" name="AutoShape 178" descr="+">
          <a:extLst>
            <a:ext uri="{FF2B5EF4-FFF2-40B4-BE49-F238E27FC236}">
              <a16:creationId xmlns:a16="http://schemas.microsoft.com/office/drawing/2014/main" id="{00000000-0008-0000-0A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60" name="AutoShape 179" descr="+">
          <a:extLst>
            <a:ext uri="{FF2B5EF4-FFF2-40B4-BE49-F238E27FC236}">
              <a16:creationId xmlns:a16="http://schemas.microsoft.com/office/drawing/2014/main" id="{00000000-0008-0000-0A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195189</xdr:rowOff>
    </xdr:to>
    <xdr:sp macro="" textlink="">
      <xdr:nvSpPr>
        <xdr:cNvPr id="161" name="AutoShape 180" descr="+">
          <a:extLst>
            <a:ext uri="{FF2B5EF4-FFF2-40B4-BE49-F238E27FC236}">
              <a16:creationId xmlns:a16="http://schemas.microsoft.com/office/drawing/2014/main" id="{00000000-0008-0000-0A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214235</xdr:rowOff>
    </xdr:to>
    <xdr:sp macro="" textlink="">
      <xdr:nvSpPr>
        <xdr:cNvPr id="162" name="AutoShape 181" descr="+">
          <a:extLst>
            <a:ext uri="{FF2B5EF4-FFF2-40B4-BE49-F238E27FC236}">
              <a16:creationId xmlns:a16="http://schemas.microsoft.com/office/drawing/2014/main" id="{00000000-0008-0000-0A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313643</xdr:rowOff>
    </xdr:to>
    <xdr:sp macro="" textlink="">
      <xdr:nvSpPr>
        <xdr:cNvPr id="163" name="AutoShape 182" descr="+">
          <a:extLst>
            <a:ext uri="{FF2B5EF4-FFF2-40B4-BE49-F238E27FC236}">
              <a16:creationId xmlns:a16="http://schemas.microsoft.com/office/drawing/2014/main" id="{00000000-0008-0000-0A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64" name="AutoShape 183" descr="+">
          <a:extLst>
            <a:ext uri="{FF2B5EF4-FFF2-40B4-BE49-F238E27FC236}">
              <a16:creationId xmlns:a16="http://schemas.microsoft.com/office/drawing/2014/main" id="{00000000-0008-0000-0A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65" name="AutoShape 184" descr="+">
          <a:extLst>
            <a:ext uri="{FF2B5EF4-FFF2-40B4-BE49-F238E27FC236}">
              <a16:creationId xmlns:a16="http://schemas.microsoft.com/office/drawing/2014/main" id="{00000000-0008-0000-0A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166" name="AutoShape 185" descr="+">
          <a:extLst>
            <a:ext uri="{FF2B5EF4-FFF2-40B4-BE49-F238E27FC236}">
              <a16:creationId xmlns:a16="http://schemas.microsoft.com/office/drawing/2014/main" id="{00000000-0008-0000-0A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67" name="AutoShape 186" descr="+">
          <a:extLst>
            <a:ext uri="{FF2B5EF4-FFF2-40B4-BE49-F238E27FC236}">
              <a16:creationId xmlns:a16="http://schemas.microsoft.com/office/drawing/2014/main" id="{00000000-0008-0000-0A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68" name="AutoShape 187" descr="+">
          <a:extLst>
            <a:ext uri="{FF2B5EF4-FFF2-40B4-BE49-F238E27FC236}">
              <a16:creationId xmlns:a16="http://schemas.microsoft.com/office/drawing/2014/main" id="{00000000-0008-0000-0A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169" name="AutoShape 188" descr="+">
          <a:extLst>
            <a:ext uri="{FF2B5EF4-FFF2-40B4-BE49-F238E27FC236}">
              <a16:creationId xmlns:a16="http://schemas.microsoft.com/office/drawing/2014/main" id="{00000000-0008-0000-0A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70" name="AutoShape 189" descr="+">
          <a:extLst>
            <a:ext uri="{FF2B5EF4-FFF2-40B4-BE49-F238E27FC236}">
              <a16:creationId xmlns:a16="http://schemas.microsoft.com/office/drawing/2014/main" id="{00000000-0008-0000-0A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176136</xdr:rowOff>
    </xdr:to>
    <xdr:sp macro="" textlink="">
      <xdr:nvSpPr>
        <xdr:cNvPr id="171" name="AutoShape 190" descr="+">
          <a:extLst>
            <a:ext uri="{FF2B5EF4-FFF2-40B4-BE49-F238E27FC236}">
              <a16:creationId xmlns:a16="http://schemas.microsoft.com/office/drawing/2014/main" id="{00000000-0008-0000-0A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72" name="AutoShape 191" descr="+">
          <a:extLst>
            <a:ext uri="{FF2B5EF4-FFF2-40B4-BE49-F238E27FC236}">
              <a16:creationId xmlns:a16="http://schemas.microsoft.com/office/drawing/2014/main" id="{00000000-0008-0000-0A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73" name="AutoShape 192" descr="+">
          <a:extLst>
            <a:ext uri="{FF2B5EF4-FFF2-40B4-BE49-F238E27FC236}">
              <a16:creationId xmlns:a16="http://schemas.microsoft.com/office/drawing/2014/main" id="{00000000-0008-0000-0A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74" name="AutoShape 193" descr="+">
          <a:extLst>
            <a:ext uri="{FF2B5EF4-FFF2-40B4-BE49-F238E27FC236}">
              <a16:creationId xmlns:a16="http://schemas.microsoft.com/office/drawing/2014/main" id="{00000000-0008-0000-0A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75" name="AutoShape 194" descr="+">
          <a:extLst>
            <a:ext uri="{FF2B5EF4-FFF2-40B4-BE49-F238E27FC236}">
              <a16:creationId xmlns:a16="http://schemas.microsoft.com/office/drawing/2014/main" id="{00000000-0008-0000-0A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176" name="AutoShape 195" descr="+">
          <a:extLst>
            <a:ext uri="{FF2B5EF4-FFF2-40B4-BE49-F238E27FC236}">
              <a16:creationId xmlns:a16="http://schemas.microsoft.com/office/drawing/2014/main" id="{00000000-0008-0000-0A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204431</xdr:rowOff>
    </xdr:to>
    <xdr:sp macro="" textlink="">
      <xdr:nvSpPr>
        <xdr:cNvPr id="177" name="AutoShape 196" descr="+">
          <a:extLst>
            <a:ext uri="{FF2B5EF4-FFF2-40B4-BE49-F238E27FC236}">
              <a16:creationId xmlns:a16="http://schemas.microsoft.com/office/drawing/2014/main" id="{00000000-0008-0000-0A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308527</xdr:rowOff>
    </xdr:to>
    <xdr:sp macro="" textlink="">
      <xdr:nvSpPr>
        <xdr:cNvPr id="178" name="AutoShape 197" descr="+">
          <a:extLst>
            <a:ext uri="{FF2B5EF4-FFF2-40B4-BE49-F238E27FC236}">
              <a16:creationId xmlns:a16="http://schemas.microsoft.com/office/drawing/2014/main" id="{00000000-0008-0000-0A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79" name="AutoShape 198" descr="+">
          <a:extLst>
            <a:ext uri="{FF2B5EF4-FFF2-40B4-BE49-F238E27FC236}">
              <a16:creationId xmlns:a16="http://schemas.microsoft.com/office/drawing/2014/main" id="{00000000-0008-0000-0A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80" name="AutoShape 199" descr="+">
          <a:extLst>
            <a:ext uri="{FF2B5EF4-FFF2-40B4-BE49-F238E27FC236}">
              <a16:creationId xmlns:a16="http://schemas.microsoft.com/office/drawing/2014/main" id="{00000000-0008-0000-0A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187197</xdr:rowOff>
    </xdr:to>
    <xdr:sp macro="" textlink="">
      <xdr:nvSpPr>
        <xdr:cNvPr id="181" name="AutoShape 200" descr="+">
          <a:extLst>
            <a:ext uri="{FF2B5EF4-FFF2-40B4-BE49-F238E27FC236}">
              <a16:creationId xmlns:a16="http://schemas.microsoft.com/office/drawing/2014/main" id="{00000000-0008-0000-0A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82" name="AutoShape 201" descr="+">
          <a:extLst>
            <a:ext uri="{FF2B5EF4-FFF2-40B4-BE49-F238E27FC236}">
              <a16:creationId xmlns:a16="http://schemas.microsoft.com/office/drawing/2014/main" id="{00000000-0008-0000-0A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83" name="AutoShape 202" descr="+">
          <a:extLst>
            <a:ext uri="{FF2B5EF4-FFF2-40B4-BE49-F238E27FC236}">
              <a16:creationId xmlns:a16="http://schemas.microsoft.com/office/drawing/2014/main" id="{00000000-0008-0000-0A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84" name="AutoShape 203" descr="+">
          <a:extLst>
            <a:ext uri="{FF2B5EF4-FFF2-40B4-BE49-F238E27FC236}">
              <a16:creationId xmlns:a16="http://schemas.microsoft.com/office/drawing/2014/main" id="{00000000-0008-0000-0A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85" name="AutoShape 204" descr="+">
          <a:extLst>
            <a:ext uri="{FF2B5EF4-FFF2-40B4-BE49-F238E27FC236}">
              <a16:creationId xmlns:a16="http://schemas.microsoft.com/office/drawing/2014/main" id="{00000000-0008-0000-0A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86" name="AutoShape 205" descr="+">
          <a:extLst>
            <a:ext uri="{FF2B5EF4-FFF2-40B4-BE49-F238E27FC236}">
              <a16:creationId xmlns:a16="http://schemas.microsoft.com/office/drawing/2014/main" id="{00000000-0008-0000-0A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87" name="AutoShape 206" descr="+">
          <a:extLst>
            <a:ext uri="{FF2B5EF4-FFF2-40B4-BE49-F238E27FC236}">
              <a16:creationId xmlns:a16="http://schemas.microsoft.com/office/drawing/2014/main" id="{00000000-0008-0000-0A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188" name="AutoShape 207" descr="+">
          <a:extLst>
            <a:ext uri="{FF2B5EF4-FFF2-40B4-BE49-F238E27FC236}">
              <a16:creationId xmlns:a16="http://schemas.microsoft.com/office/drawing/2014/main" id="{00000000-0008-0000-0A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89" name="AutoShape 208" descr="+">
          <a:extLst>
            <a:ext uri="{FF2B5EF4-FFF2-40B4-BE49-F238E27FC236}">
              <a16:creationId xmlns:a16="http://schemas.microsoft.com/office/drawing/2014/main" id="{00000000-0008-0000-0A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90" name="AutoShape 209" descr="+">
          <a:extLst>
            <a:ext uri="{FF2B5EF4-FFF2-40B4-BE49-F238E27FC236}">
              <a16:creationId xmlns:a16="http://schemas.microsoft.com/office/drawing/2014/main" id="{00000000-0008-0000-0A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195188</xdr:rowOff>
    </xdr:to>
    <xdr:sp macro="" textlink="">
      <xdr:nvSpPr>
        <xdr:cNvPr id="191" name="AutoShape 210" descr="+">
          <a:extLst>
            <a:ext uri="{FF2B5EF4-FFF2-40B4-BE49-F238E27FC236}">
              <a16:creationId xmlns:a16="http://schemas.microsoft.com/office/drawing/2014/main" id="{00000000-0008-0000-0A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308527</xdr:rowOff>
    </xdr:to>
    <xdr:sp macro="" textlink="">
      <xdr:nvSpPr>
        <xdr:cNvPr id="192" name="AutoShape 211" descr="+">
          <a:extLst>
            <a:ext uri="{FF2B5EF4-FFF2-40B4-BE49-F238E27FC236}">
              <a16:creationId xmlns:a16="http://schemas.microsoft.com/office/drawing/2014/main" id="{00000000-0008-0000-0A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280557</xdr:rowOff>
    </xdr:to>
    <xdr:sp macro="" textlink="">
      <xdr:nvSpPr>
        <xdr:cNvPr id="193" name="AutoShape 212" descr="+">
          <a:extLst>
            <a:ext uri="{FF2B5EF4-FFF2-40B4-BE49-F238E27FC236}">
              <a16:creationId xmlns:a16="http://schemas.microsoft.com/office/drawing/2014/main" id="{00000000-0008-0000-0A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94" name="AutoShape 213" descr="+">
          <a:extLst>
            <a:ext uri="{FF2B5EF4-FFF2-40B4-BE49-F238E27FC236}">
              <a16:creationId xmlns:a16="http://schemas.microsoft.com/office/drawing/2014/main" id="{00000000-0008-0000-0A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95" name="AutoShape 214" descr="+">
          <a:extLst>
            <a:ext uri="{FF2B5EF4-FFF2-40B4-BE49-F238E27FC236}">
              <a16:creationId xmlns:a16="http://schemas.microsoft.com/office/drawing/2014/main" id="{00000000-0008-0000-0A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96" name="AutoShape 215" descr="+">
          <a:extLst>
            <a:ext uri="{FF2B5EF4-FFF2-40B4-BE49-F238E27FC236}">
              <a16:creationId xmlns:a16="http://schemas.microsoft.com/office/drawing/2014/main" id="{00000000-0008-0000-0A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206817</xdr:rowOff>
    </xdr:to>
    <xdr:sp macro="" textlink="">
      <xdr:nvSpPr>
        <xdr:cNvPr id="197" name="AutoShape 216" descr="+">
          <a:extLst>
            <a:ext uri="{FF2B5EF4-FFF2-40B4-BE49-F238E27FC236}">
              <a16:creationId xmlns:a16="http://schemas.microsoft.com/office/drawing/2014/main" id="{00000000-0008-0000-0A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98" name="AutoShape 217" descr="+">
          <a:extLst>
            <a:ext uri="{FF2B5EF4-FFF2-40B4-BE49-F238E27FC236}">
              <a16:creationId xmlns:a16="http://schemas.microsoft.com/office/drawing/2014/main" id="{00000000-0008-0000-0A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99" name="AutoShape 218" descr="+">
          <a:extLst>
            <a:ext uri="{FF2B5EF4-FFF2-40B4-BE49-F238E27FC236}">
              <a16:creationId xmlns:a16="http://schemas.microsoft.com/office/drawing/2014/main" id="{00000000-0008-0000-0A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190424</xdr:rowOff>
    </xdr:to>
    <xdr:sp macro="" textlink="">
      <xdr:nvSpPr>
        <xdr:cNvPr id="200" name="AutoShape 219" descr="+">
          <a:extLst>
            <a:ext uri="{FF2B5EF4-FFF2-40B4-BE49-F238E27FC236}">
              <a16:creationId xmlns:a16="http://schemas.microsoft.com/office/drawing/2014/main" id="{00000000-0008-0000-0A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01" name="AutoShape 220" descr="+">
          <a:extLst>
            <a:ext uri="{FF2B5EF4-FFF2-40B4-BE49-F238E27FC236}">
              <a16:creationId xmlns:a16="http://schemas.microsoft.com/office/drawing/2014/main" id="{00000000-0008-0000-0A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02" name="AutoShape 221" descr="+">
          <a:extLst>
            <a:ext uri="{FF2B5EF4-FFF2-40B4-BE49-F238E27FC236}">
              <a16:creationId xmlns:a16="http://schemas.microsoft.com/office/drawing/2014/main" id="{00000000-0008-0000-0A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03" name="AutoShape 222" descr="+">
          <a:extLst>
            <a:ext uri="{FF2B5EF4-FFF2-40B4-BE49-F238E27FC236}">
              <a16:creationId xmlns:a16="http://schemas.microsoft.com/office/drawing/2014/main" id="{00000000-0008-0000-0A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4" name="AutoShape 223" descr="+">
          <a:extLst>
            <a:ext uri="{FF2B5EF4-FFF2-40B4-BE49-F238E27FC236}">
              <a16:creationId xmlns:a16="http://schemas.microsoft.com/office/drawing/2014/main" id="{00000000-0008-0000-0A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5" name="AutoShape 224" descr="+">
          <a:extLst>
            <a:ext uri="{FF2B5EF4-FFF2-40B4-BE49-F238E27FC236}">
              <a16:creationId xmlns:a16="http://schemas.microsoft.com/office/drawing/2014/main" id="{00000000-0008-0000-0A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206" name="AutoShape 225" descr="+">
          <a:extLst>
            <a:ext uri="{FF2B5EF4-FFF2-40B4-BE49-F238E27FC236}">
              <a16:creationId xmlns:a16="http://schemas.microsoft.com/office/drawing/2014/main" id="{00000000-0008-0000-0A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308529</xdr:rowOff>
    </xdr:to>
    <xdr:sp macro="" textlink="">
      <xdr:nvSpPr>
        <xdr:cNvPr id="207" name="AutoShape 226" descr="+">
          <a:extLst>
            <a:ext uri="{FF2B5EF4-FFF2-40B4-BE49-F238E27FC236}">
              <a16:creationId xmlns:a16="http://schemas.microsoft.com/office/drawing/2014/main" id="{00000000-0008-0000-0A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8" name="AutoShape 227" descr="+">
          <a:extLst>
            <a:ext uri="{FF2B5EF4-FFF2-40B4-BE49-F238E27FC236}">
              <a16:creationId xmlns:a16="http://schemas.microsoft.com/office/drawing/2014/main" id="{00000000-0008-0000-0A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09" name="AutoShape 228" descr="+">
          <a:extLst>
            <a:ext uri="{FF2B5EF4-FFF2-40B4-BE49-F238E27FC236}">
              <a16:creationId xmlns:a16="http://schemas.microsoft.com/office/drawing/2014/main" id="{00000000-0008-0000-0A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310206</xdr:rowOff>
    </xdr:to>
    <xdr:sp macro="" textlink="">
      <xdr:nvSpPr>
        <xdr:cNvPr id="210" name="AutoShape 229" descr="+">
          <a:extLst>
            <a:ext uri="{FF2B5EF4-FFF2-40B4-BE49-F238E27FC236}">
              <a16:creationId xmlns:a16="http://schemas.microsoft.com/office/drawing/2014/main" id="{00000000-0008-0000-0A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211" name="AutoShape 230" descr="+">
          <a:extLst>
            <a:ext uri="{FF2B5EF4-FFF2-40B4-BE49-F238E27FC236}">
              <a16:creationId xmlns:a16="http://schemas.microsoft.com/office/drawing/2014/main" id="{00000000-0008-0000-0A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2" name="AutoShape 231" descr="+">
          <a:extLst>
            <a:ext uri="{FF2B5EF4-FFF2-40B4-BE49-F238E27FC236}">
              <a16:creationId xmlns:a16="http://schemas.microsoft.com/office/drawing/2014/main" id="{00000000-0008-0000-0A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13" name="AutoShape 232" descr="+">
          <a:extLst>
            <a:ext uri="{FF2B5EF4-FFF2-40B4-BE49-F238E27FC236}">
              <a16:creationId xmlns:a16="http://schemas.microsoft.com/office/drawing/2014/main" id="{00000000-0008-0000-0A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4" name="AutoShape 233" descr="+">
          <a:extLst>
            <a:ext uri="{FF2B5EF4-FFF2-40B4-BE49-F238E27FC236}">
              <a16:creationId xmlns:a16="http://schemas.microsoft.com/office/drawing/2014/main" id="{00000000-0008-0000-0A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15" name="AutoShape 234" descr="+">
          <a:extLst>
            <a:ext uri="{FF2B5EF4-FFF2-40B4-BE49-F238E27FC236}">
              <a16:creationId xmlns:a16="http://schemas.microsoft.com/office/drawing/2014/main" id="{00000000-0008-0000-0A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16" name="AutoShape 235" descr="+">
          <a:extLst>
            <a:ext uri="{FF2B5EF4-FFF2-40B4-BE49-F238E27FC236}">
              <a16:creationId xmlns:a16="http://schemas.microsoft.com/office/drawing/2014/main" id="{00000000-0008-0000-0A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17" name="AutoShape 236" descr="+">
          <a:extLst>
            <a:ext uri="{FF2B5EF4-FFF2-40B4-BE49-F238E27FC236}">
              <a16:creationId xmlns:a16="http://schemas.microsoft.com/office/drawing/2014/main" id="{00000000-0008-0000-0A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8" name="AutoShape 237" descr="+">
          <a:extLst>
            <a:ext uri="{FF2B5EF4-FFF2-40B4-BE49-F238E27FC236}">
              <a16:creationId xmlns:a16="http://schemas.microsoft.com/office/drawing/2014/main" id="{00000000-0008-0000-0A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214241</xdr:rowOff>
    </xdr:to>
    <xdr:sp macro="" textlink="">
      <xdr:nvSpPr>
        <xdr:cNvPr id="219" name="AutoShape 238" descr="+">
          <a:extLst>
            <a:ext uri="{FF2B5EF4-FFF2-40B4-BE49-F238E27FC236}">
              <a16:creationId xmlns:a16="http://schemas.microsoft.com/office/drawing/2014/main" id="{00000000-0008-0000-0A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20" name="AutoShape 239" descr="+">
          <a:extLst>
            <a:ext uri="{FF2B5EF4-FFF2-40B4-BE49-F238E27FC236}">
              <a16:creationId xmlns:a16="http://schemas.microsoft.com/office/drawing/2014/main" id="{00000000-0008-0000-0A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21" name="AutoShape 240" descr="+">
          <a:extLst>
            <a:ext uri="{FF2B5EF4-FFF2-40B4-BE49-F238E27FC236}">
              <a16:creationId xmlns:a16="http://schemas.microsoft.com/office/drawing/2014/main" id="{00000000-0008-0000-0A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22" name="AutoShape 241" descr="+">
          <a:extLst>
            <a:ext uri="{FF2B5EF4-FFF2-40B4-BE49-F238E27FC236}">
              <a16:creationId xmlns:a16="http://schemas.microsoft.com/office/drawing/2014/main" id="{00000000-0008-0000-0A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190425</xdr:rowOff>
    </xdr:to>
    <xdr:sp macro="" textlink="">
      <xdr:nvSpPr>
        <xdr:cNvPr id="223" name="AutoShape 242" descr="+">
          <a:extLst>
            <a:ext uri="{FF2B5EF4-FFF2-40B4-BE49-F238E27FC236}">
              <a16:creationId xmlns:a16="http://schemas.microsoft.com/office/drawing/2014/main" id="{00000000-0008-0000-0A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24" name="AutoShape 243" descr="+">
          <a:extLst>
            <a:ext uri="{FF2B5EF4-FFF2-40B4-BE49-F238E27FC236}">
              <a16:creationId xmlns:a16="http://schemas.microsoft.com/office/drawing/2014/main" id="{00000000-0008-0000-0A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25" name="AutoShape 244" descr="+">
          <a:extLst>
            <a:ext uri="{FF2B5EF4-FFF2-40B4-BE49-F238E27FC236}">
              <a16:creationId xmlns:a16="http://schemas.microsoft.com/office/drawing/2014/main" id="{00000000-0008-0000-0A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26" name="AutoShape 245" descr="+">
          <a:extLst>
            <a:ext uri="{FF2B5EF4-FFF2-40B4-BE49-F238E27FC236}">
              <a16:creationId xmlns:a16="http://schemas.microsoft.com/office/drawing/2014/main" id="{00000000-0008-0000-0A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227" name="AutoShape 246" descr="+">
          <a:extLst>
            <a:ext uri="{FF2B5EF4-FFF2-40B4-BE49-F238E27FC236}">
              <a16:creationId xmlns:a16="http://schemas.microsoft.com/office/drawing/2014/main" id="{00000000-0008-0000-0A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28" name="AutoShape 247" descr="+">
          <a:extLst>
            <a:ext uri="{FF2B5EF4-FFF2-40B4-BE49-F238E27FC236}">
              <a16:creationId xmlns:a16="http://schemas.microsoft.com/office/drawing/2014/main" id="{00000000-0008-0000-0A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29" name="AutoShape 248" descr="+">
          <a:extLst>
            <a:ext uri="{FF2B5EF4-FFF2-40B4-BE49-F238E27FC236}">
              <a16:creationId xmlns:a16="http://schemas.microsoft.com/office/drawing/2014/main" id="{00000000-0008-0000-0A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30" name="AutoShape 249" descr="+">
          <a:extLst>
            <a:ext uri="{FF2B5EF4-FFF2-40B4-BE49-F238E27FC236}">
              <a16:creationId xmlns:a16="http://schemas.microsoft.com/office/drawing/2014/main" id="{00000000-0008-0000-0A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31" name="AutoShape 250" descr="+">
          <a:extLst>
            <a:ext uri="{FF2B5EF4-FFF2-40B4-BE49-F238E27FC236}">
              <a16:creationId xmlns:a16="http://schemas.microsoft.com/office/drawing/2014/main" id="{00000000-0008-0000-0A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2" name="AutoShape 251" descr="+">
          <a:extLst>
            <a:ext uri="{FF2B5EF4-FFF2-40B4-BE49-F238E27FC236}">
              <a16:creationId xmlns:a16="http://schemas.microsoft.com/office/drawing/2014/main" id="{00000000-0008-0000-0A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33" name="AutoShape 252" descr="+">
          <a:extLst>
            <a:ext uri="{FF2B5EF4-FFF2-40B4-BE49-F238E27FC236}">
              <a16:creationId xmlns:a16="http://schemas.microsoft.com/office/drawing/2014/main" id="{00000000-0008-0000-0A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234" name="AutoShape 253" descr="+">
          <a:extLst>
            <a:ext uri="{FF2B5EF4-FFF2-40B4-BE49-F238E27FC236}">
              <a16:creationId xmlns:a16="http://schemas.microsoft.com/office/drawing/2014/main" id="{00000000-0008-0000-0A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5" name="AutoShape 254" descr="+">
          <a:extLst>
            <a:ext uri="{FF2B5EF4-FFF2-40B4-BE49-F238E27FC236}">
              <a16:creationId xmlns:a16="http://schemas.microsoft.com/office/drawing/2014/main" id="{00000000-0008-0000-0A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6" name="AutoShape 255" descr="+">
          <a:extLst>
            <a:ext uri="{FF2B5EF4-FFF2-40B4-BE49-F238E27FC236}">
              <a16:creationId xmlns:a16="http://schemas.microsoft.com/office/drawing/2014/main" id="{00000000-0008-0000-0A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37" name="AutoShape 256" descr="+">
          <a:extLst>
            <a:ext uri="{FF2B5EF4-FFF2-40B4-BE49-F238E27FC236}">
              <a16:creationId xmlns:a16="http://schemas.microsoft.com/office/drawing/2014/main" id="{00000000-0008-0000-0A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38" name="AutoShape 257" descr="+">
          <a:extLst>
            <a:ext uri="{FF2B5EF4-FFF2-40B4-BE49-F238E27FC236}">
              <a16:creationId xmlns:a16="http://schemas.microsoft.com/office/drawing/2014/main" id="{00000000-0008-0000-0A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275470</xdr:rowOff>
    </xdr:to>
    <xdr:sp macro="" textlink="">
      <xdr:nvSpPr>
        <xdr:cNvPr id="239" name="AutoShape 258" descr="+">
          <a:extLst>
            <a:ext uri="{FF2B5EF4-FFF2-40B4-BE49-F238E27FC236}">
              <a16:creationId xmlns:a16="http://schemas.microsoft.com/office/drawing/2014/main" id="{00000000-0008-0000-0A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240" name="AutoShape 259" descr="+">
          <a:extLst>
            <a:ext uri="{FF2B5EF4-FFF2-40B4-BE49-F238E27FC236}">
              <a16:creationId xmlns:a16="http://schemas.microsoft.com/office/drawing/2014/main" id="{00000000-0008-0000-0A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241" name="AutoShape 260" descr="+">
          <a:extLst>
            <a:ext uri="{FF2B5EF4-FFF2-40B4-BE49-F238E27FC236}">
              <a16:creationId xmlns:a16="http://schemas.microsoft.com/office/drawing/2014/main" id="{00000000-0008-0000-0A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42" name="AutoShape 261" descr="+">
          <a:extLst>
            <a:ext uri="{FF2B5EF4-FFF2-40B4-BE49-F238E27FC236}">
              <a16:creationId xmlns:a16="http://schemas.microsoft.com/office/drawing/2014/main" id="{00000000-0008-0000-0A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43" name="AutoShape 262" descr="+">
          <a:extLst>
            <a:ext uri="{FF2B5EF4-FFF2-40B4-BE49-F238E27FC236}">
              <a16:creationId xmlns:a16="http://schemas.microsoft.com/office/drawing/2014/main" id="{00000000-0008-0000-0A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169056</xdr:rowOff>
    </xdr:to>
    <xdr:sp macro="" textlink="">
      <xdr:nvSpPr>
        <xdr:cNvPr id="244" name="AutoShape 263" descr="+">
          <a:extLst>
            <a:ext uri="{FF2B5EF4-FFF2-40B4-BE49-F238E27FC236}">
              <a16:creationId xmlns:a16="http://schemas.microsoft.com/office/drawing/2014/main" id="{00000000-0008-0000-0A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169055</xdr:rowOff>
    </xdr:to>
    <xdr:sp macro="" textlink="">
      <xdr:nvSpPr>
        <xdr:cNvPr id="245" name="AutoShape 264" descr="+">
          <a:extLst>
            <a:ext uri="{FF2B5EF4-FFF2-40B4-BE49-F238E27FC236}">
              <a16:creationId xmlns:a16="http://schemas.microsoft.com/office/drawing/2014/main" id="{00000000-0008-0000-0A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207838</xdr:rowOff>
    </xdr:to>
    <xdr:sp macro="" textlink="">
      <xdr:nvSpPr>
        <xdr:cNvPr id="246" name="AutoShape 265" descr="+">
          <a:extLst>
            <a:ext uri="{FF2B5EF4-FFF2-40B4-BE49-F238E27FC236}">
              <a16:creationId xmlns:a16="http://schemas.microsoft.com/office/drawing/2014/main" id="{00000000-0008-0000-0A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207833</xdr:rowOff>
    </xdr:to>
    <xdr:sp macro="" textlink="">
      <xdr:nvSpPr>
        <xdr:cNvPr id="247" name="AutoShape 266" descr="+">
          <a:extLst>
            <a:ext uri="{FF2B5EF4-FFF2-40B4-BE49-F238E27FC236}">
              <a16:creationId xmlns:a16="http://schemas.microsoft.com/office/drawing/2014/main" id="{00000000-0008-0000-0A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248" name="AutoShape 267" descr="+">
          <a:extLst>
            <a:ext uri="{FF2B5EF4-FFF2-40B4-BE49-F238E27FC236}">
              <a16:creationId xmlns:a16="http://schemas.microsoft.com/office/drawing/2014/main" id="{00000000-0008-0000-0A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207838</xdr:rowOff>
    </xdr:to>
    <xdr:sp macro="" textlink="">
      <xdr:nvSpPr>
        <xdr:cNvPr id="249" name="AutoShape 268" descr="+">
          <a:extLst>
            <a:ext uri="{FF2B5EF4-FFF2-40B4-BE49-F238E27FC236}">
              <a16:creationId xmlns:a16="http://schemas.microsoft.com/office/drawing/2014/main" id="{00000000-0008-0000-0A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0" name="AutoShape 269" descr="+">
          <a:extLst>
            <a:ext uri="{FF2B5EF4-FFF2-40B4-BE49-F238E27FC236}">
              <a16:creationId xmlns:a16="http://schemas.microsoft.com/office/drawing/2014/main" id="{00000000-0008-0000-0A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1" name="AutoShape 270" descr="+">
          <a:extLst>
            <a:ext uri="{FF2B5EF4-FFF2-40B4-BE49-F238E27FC236}">
              <a16:creationId xmlns:a16="http://schemas.microsoft.com/office/drawing/2014/main" id="{00000000-0008-0000-0A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312610</xdr:rowOff>
    </xdr:to>
    <xdr:sp macro="" textlink="">
      <xdr:nvSpPr>
        <xdr:cNvPr id="252" name="AutoShape 271" descr="+">
          <a:extLst>
            <a:ext uri="{FF2B5EF4-FFF2-40B4-BE49-F238E27FC236}">
              <a16:creationId xmlns:a16="http://schemas.microsoft.com/office/drawing/2014/main" id="{00000000-0008-0000-0A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3" name="AutoShape 272" descr="+">
          <a:extLst>
            <a:ext uri="{FF2B5EF4-FFF2-40B4-BE49-F238E27FC236}">
              <a16:creationId xmlns:a16="http://schemas.microsoft.com/office/drawing/2014/main" id="{00000000-0008-0000-0A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4" name="AutoShape 273" descr="+">
          <a:extLst>
            <a:ext uri="{FF2B5EF4-FFF2-40B4-BE49-F238E27FC236}">
              <a16:creationId xmlns:a16="http://schemas.microsoft.com/office/drawing/2014/main" id="{00000000-0008-0000-0A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5" name="AutoShape 274" descr="+">
          <a:extLst>
            <a:ext uri="{FF2B5EF4-FFF2-40B4-BE49-F238E27FC236}">
              <a16:creationId xmlns:a16="http://schemas.microsoft.com/office/drawing/2014/main" id="{00000000-0008-0000-0A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189024</xdr:rowOff>
    </xdr:to>
    <xdr:sp macro="" textlink="">
      <xdr:nvSpPr>
        <xdr:cNvPr id="256" name="AutoShape 275" descr="+">
          <a:extLst>
            <a:ext uri="{FF2B5EF4-FFF2-40B4-BE49-F238E27FC236}">
              <a16:creationId xmlns:a16="http://schemas.microsoft.com/office/drawing/2014/main" id="{00000000-0008-0000-0A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7" name="AutoShape 276" descr="+">
          <a:extLst>
            <a:ext uri="{FF2B5EF4-FFF2-40B4-BE49-F238E27FC236}">
              <a16:creationId xmlns:a16="http://schemas.microsoft.com/office/drawing/2014/main" id="{00000000-0008-0000-0A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58" name="AutoShape 277" descr="+">
          <a:extLst>
            <a:ext uri="{FF2B5EF4-FFF2-40B4-BE49-F238E27FC236}">
              <a16:creationId xmlns:a16="http://schemas.microsoft.com/office/drawing/2014/main" id="{00000000-0008-0000-0A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59" name="AutoShape 278" descr="+">
          <a:extLst>
            <a:ext uri="{FF2B5EF4-FFF2-40B4-BE49-F238E27FC236}">
              <a16:creationId xmlns:a16="http://schemas.microsoft.com/office/drawing/2014/main" id="{00000000-0008-0000-0A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195188</xdr:rowOff>
    </xdr:to>
    <xdr:sp macro="" textlink="">
      <xdr:nvSpPr>
        <xdr:cNvPr id="260" name="AutoShape 279" descr="+">
          <a:extLst>
            <a:ext uri="{FF2B5EF4-FFF2-40B4-BE49-F238E27FC236}">
              <a16:creationId xmlns:a16="http://schemas.microsoft.com/office/drawing/2014/main" id="{00000000-0008-0000-0A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261" name="AutoShape 280" descr="+">
          <a:extLst>
            <a:ext uri="{FF2B5EF4-FFF2-40B4-BE49-F238E27FC236}">
              <a16:creationId xmlns:a16="http://schemas.microsoft.com/office/drawing/2014/main" id="{00000000-0008-0000-0A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62" name="AutoShape 281" descr="+">
          <a:extLst>
            <a:ext uri="{FF2B5EF4-FFF2-40B4-BE49-F238E27FC236}">
              <a16:creationId xmlns:a16="http://schemas.microsoft.com/office/drawing/2014/main" id="{00000000-0008-0000-0A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214235</xdr:rowOff>
    </xdr:to>
    <xdr:sp macro="" textlink="">
      <xdr:nvSpPr>
        <xdr:cNvPr id="263" name="AutoShape 282" descr="+">
          <a:extLst>
            <a:ext uri="{FF2B5EF4-FFF2-40B4-BE49-F238E27FC236}">
              <a16:creationId xmlns:a16="http://schemas.microsoft.com/office/drawing/2014/main" id="{00000000-0008-0000-0A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64" name="AutoShape 283" descr="+">
          <a:extLst>
            <a:ext uri="{FF2B5EF4-FFF2-40B4-BE49-F238E27FC236}">
              <a16:creationId xmlns:a16="http://schemas.microsoft.com/office/drawing/2014/main" id="{00000000-0008-0000-0A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65" name="AutoShape 284" descr="+">
          <a:extLst>
            <a:ext uri="{FF2B5EF4-FFF2-40B4-BE49-F238E27FC236}">
              <a16:creationId xmlns:a16="http://schemas.microsoft.com/office/drawing/2014/main" id="{00000000-0008-0000-0A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266" name="AutoShape 285" descr="+">
          <a:extLst>
            <a:ext uri="{FF2B5EF4-FFF2-40B4-BE49-F238E27FC236}">
              <a16:creationId xmlns:a16="http://schemas.microsoft.com/office/drawing/2014/main" id="{00000000-0008-0000-0A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204431</xdr:rowOff>
    </xdr:to>
    <xdr:sp macro="" textlink="">
      <xdr:nvSpPr>
        <xdr:cNvPr id="267" name="AutoShape 286" descr="+">
          <a:extLst>
            <a:ext uri="{FF2B5EF4-FFF2-40B4-BE49-F238E27FC236}">
              <a16:creationId xmlns:a16="http://schemas.microsoft.com/office/drawing/2014/main" id="{00000000-0008-0000-0A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204434</xdr:rowOff>
    </xdr:to>
    <xdr:sp macro="" textlink="">
      <xdr:nvSpPr>
        <xdr:cNvPr id="268" name="AutoShape 287" descr="+">
          <a:extLst>
            <a:ext uri="{FF2B5EF4-FFF2-40B4-BE49-F238E27FC236}">
              <a16:creationId xmlns:a16="http://schemas.microsoft.com/office/drawing/2014/main" id="{00000000-0008-0000-0A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207834</xdr:rowOff>
    </xdr:to>
    <xdr:sp macro="" textlink="">
      <xdr:nvSpPr>
        <xdr:cNvPr id="269" name="AutoShape 288" descr="+">
          <a:extLst>
            <a:ext uri="{FF2B5EF4-FFF2-40B4-BE49-F238E27FC236}">
              <a16:creationId xmlns:a16="http://schemas.microsoft.com/office/drawing/2014/main" id="{00000000-0008-0000-0A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70" name="AutoShape 289" descr="+">
          <a:extLst>
            <a:ext uri="{FF2B5EF4-FFF2-40B4-BE49-F238E27FC236}">
              <a16:creationId xmlns:a16="http://schemas.microsoft.com/office/drawing/2014/main" id="{00000000-0008-0000-0A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1" name="AutoShape 290" descr="+">
          <a:extLst>
            <a:ext uri="{FF2B5EF4-FFF2-40B4-BE49-F238E27FC236}">
              <a16:creationId xmlns:a16="http://schemas.microsoft.com/office/drawing/2014/main" id="{00000000-0008-0000-0A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72" name="AutoShape 291" descr="+">
          <a:extLst>
            <a:ext uri="{FF2B5EF4-FFF2-40B4-BE49-F238E27FC236}">
              <a16:creationId xmlns:a16="http://schemas.microsoft.com/office/drawing/2014/main" id="{00000000-0008-0000-0A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3" name="AutoShape 292" descr="+">
          <a:extLst>
            <a:ext uri="{FF2B5EF4-FFF2-40B4-BE49-F238E27FC236}">
              <a16:creationId xmlns:a16="http://schemas.microsoft.com/office/drawing/2014/main" id="{00000000-0008-0000-0A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74" name="AutoShape 293" descr="+">
          <a:extLst>
            <a:ext uri="{FF2B5EF4-FFF2-40B4-BE49-F238E27FC236}">
              <a16:creationId xmlns:a16="http://schemas.microsoft.com/office/drawing/2014/main" id="{00000000-0008-0000-0A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5" name="AutoShape 294" descr="+">
          <a:extLst>
            <a:ext uri="{FF2B5EF4-FFF2-40B4-BE49-F238E27FC236}">
              <a16:creationId xmlns:a16="http://schemas.microsoft.com/office/drawing/2014/main" id="{00000000-0008-0000-0A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308806</xdr:rowOff>
    </xdr:to>
    <xdr:sp macro="" textlink="">
      <xdr:nvSpPr>
        <xdr:cNvPr id="276" name="AutoShape 295" descr="+">
          <a:extLst>
            <a:ext uri="{FF2B5EF4-FFF2-40B4-BE49-F238E27FC236}">
              <a16:creationId xmlns:a16="http://schemas.microsoft.com/office/drawing/2014/main" id="{00000000-0008-0000-0A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77" name="AutoShape 296" descr="+">
          <a:extLst>
            <a:ext uri="{FF2B5EF4-FFF2-40B4-BE49-F238E27FC236}">
              <a16:creationId xmlns:a16="http://schemas.microsoft.com/office/drawing/2014/main" id="{00000000-0008-0000-0A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310205</xdr:rowOff>
    </xdr:to>
    <xdr:sp macro="" textlink="">
      <xdr:nvSpPr>
        <xdr:cNvPr id="278" name="AutoShape 297" descr="+">
          <a:extLst>
            <a:ext uri="{FF2B5EF4-FFF2-40B4-BE49-F238E27FC236}">
              <a16:creationId xmlns:a16="http://schemas.microsoft.com/office/drawing/2014/main" id="{00000000-0008-0000-0A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9" name="AutoShape 298" descr="+">
          <a:extLst>
            <a:ext uri="{FF2B5EF4-FFF2-40B4-BE49-F238E27FC236}">
              <a16:creationId xmlns:a16="http://schemas.microsoft.com/office/drawing/2014/main" id="{00000000-0008-0000-0A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45</xdr:row>
      <xdr:rowOff>0</xdr:rowOff>
    </xdr:from>
    <xdr:ext cx="304800" cy="166687"/>
    <xdr:sp macro="" textlink="">
      <xdr:nvSpPr>
        <xdr:cNvPr id="282" name="AutoShape 80" descr="+">
          <a:extLst>
            <a:ext uri="{FF2B5EF4-FFF2-40B4-BE49-F238E27FC236}">
              <a16:creationId xmlns:a16="http://schemas.microsoft.com/office/drawing/2014/main" id="{00000000-0008-0000-0A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1496786</xdr:colOff>
      <xdr:row>45</xdr:row>
      <xdr:rowOff>0</xdr:rowOff>
    </xdr:from>
    <xdr:ext cx="304800" cy="166687"/>
    <xdr:sp macro="" textlink="">
      <xdr:nvSpPr>
        <xdr:cNvPr id="283" name="AutoShape 80" descr="+">
          <a:extLst>
            <a:ext uri="{FF2B5EF4-FFF2-40B4-BE49-F238E27FC236}">
              <a16:creationId xmlns:a16="http://schemas.microsoft.com/office/drawing/2014/main" id="{00000000-0008-0000-0A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8965</xdr:colOff>
      <xdr:row>14</xdr:row>
      <xdr:rowOff>28577</xdr:rowOff>
    </xdr:from>
    <xdr:to>
      <xdr:col>3</xdr:col>
      <xdr:colOff>1393772</xdr:colOff>
      <xdr:row>14</xdr:row>
      <xdr:rowOff>3454612</xdr:rowOff>
    </xdr:to>
    <xdr:pic>
      <xdr:nvPicPr>
        <xdr:cNvPr id="289" name="Picture 288">
          <a:extLst>
            <a:ext uri="{FF2B5EF4-FFF2-40B4-BE49-F238E27FC236}">
              <a16:creationId xmlns:a16="http://schemas.microsoft.com/office/drawing/2014/main" id="{00000000-0008-0000-0A00-000021010000}"/>
            </a:ext>
          </a:extLst>
        </xdr:cNvPr>
        <xdr:cNvPicPr>
          <a:picLocks noChangeAspect="1"/>
        </xdr:cNvPicPr>
      </xdr:nvPicPr>
      <xdr:blipFill rotWithShape="1">
        <a:blip xmlns:r="http://schemas.openxmlformats.org/officeDocument/2006/relationships" r:embed="rId1"/>
        <a:srcRect l="1609" t="6734" r="1851" b="2920"/>
        <a:stretch/>
      </xdr:blipFill>
      <xdr:spPr>
        <a:xfrm>
          <a:off x="189940" y="4114802"/>
          <a:ext cx="7633207" cy="3426035"/>
        </a:xfrm>
        <a:prstGeom prst="rect">
          <a:avLst/>
        </a:prstGeom>
        <a:ln>
          <a:solidFill>
            <a:schemeClr val="tx1"/>
          </a:solidFill>
        </a:ln>
      </xdr:spPr>
    </xdr:pic>
    <xdr:clientData/>
  </xdr:twoCellAnchor>
  <xdr:twoCellAnchor editAs="oneCell">
    <xdr:from>
      <xdr:col>3</xdr:col>
      <xdr:colOff>1543181</xdr:colOff>
      <xdr:row>47</xdr:row>
      <xdr:rowOff>94125</xdr:rowOff>
    </xdr:from>
    <xdr:to>
      <xdr:col>6</xdr:col>
      <xdr:colOff>674030</xdr:colOff>
      <xdr:row>47</xdr:row>
      <xdr:rowOff>3290587</xdr:rowOff>
    </xdr:to>
    <xdr:pic>
      <xdr:nvPicPr>
        <xdr:cNvPr id="295" name="Picture 294">
          <a:extLst>
            <a:ext uri="{FF2B5EF4-FFF2-40B4-BE49-F238E27FC236}">
              <a16:creationId xmlns:a16="http://schemas.microsoft.com/office/drawing/2014/main" id="{00000000-0008-0000-0A00-000027010000}"/>
            </a:ext>
          </a:extLst>
        </xdr:cNvPr>
        <xdr:cNvPicPr>
          <a:picLocks noChangeAspect="1"/>
        </xdr:cNvPicPr>
      </xdr:nvPicPr>
      <xdr:blipFill>
        <a:blip xmlns:r="http://schemas.openxmlformats.org/officeDocument/2006/relationships" r:embed="rId2"/>
        <a:stretch>
          <a:fillRect/>
        </a:stretch>
      </xdr:blipFill>
      <xdr:spPr>
        <a:xfrm>
          <a:off x="7965752" y="18028339"/>
          <a:ext cx="3662028" cy="3196462"/>
        </a:xfrm>
        <a:prstGeom prst="rect">
          <a:avLst/>
        </a:prstGeom>
        <a:ln>
          <a:solidFill>
            <a:schemeClr val="tx1"/>
          </a:solidFill>
        </a:ln>
      </xdr:spPr>
    </xdr:pic>
    <xdr:clientData/>
  </xdr:twoCellAnchor>
  <xdr:twoCellAnchor editAs="oneCell">
    <xdr:from>
      <xdr:col>1</xdr:col>
      <xdr:colOff>22676</xdr:colOff>
      <xdr:row>47</xdr:row>
      <xdr:rowOff>87246</xdr:rowOff>
    </xdr:from>
    <xdr:to>
      <xdr:col>3</xdr:col>
      <xdr:colOff>1277616</xdr:colOff>
      <xdr:row>47</xdr:row>
      <xdr:rowOff>4184814</xdr:rowOff>
    </xdr:to>
    <xdr:pic>
      <xdr:nvPicPr>
        <xdr:cNvPr id="287" name="Picture 286">
          <a:extLst>
            <a:ext uri="{FF2B5EF4-FFF2-40B4-BE49-F238E27FC236}">
              <a16:creationId xmlns:a16="http://schemas.microsoft.com/office/drawing/2014/main" id="{00000000-0008-0000-0A00-00001F010000}"/>
            </a:ext>
          </a:extLst>
        </xdr:cNvPr>
        <xdr:cNvPicPr>
          <a:picLocks noChangeAspect="1"/>
        </xdr:cNvPicPr>
      </xdr:nvPicPr>
      <xdr:blipFill>
        <a:blip xmlns:r="http://schemas.openxmlformats.org/officeDocument/2006/relationships" r:embed="rId3"/>
        <a:stretch>
          <a:fillRect/>
        </a:stretch>
      </xdr:blipFill>
      <xdr:spPr>
        <a:xfrm>
          <a:off x="199569" y="26308210"/>
          <a:ext cx="7500618" cy="4097568"/>
        </a:xfrm>
        <a:prstGeom prst="rect">
          <a:avLst/>
        </a:prstGeom>
        <a:ln>
          <a:solidFill>
            <a:schemeClr val="tx1"/>
          </a:solidFill>
        </a:ln>
      </xdr:spPr>
    </xdr:pic>
    <xdr:clientData/>
  </xdr:twoCellAnchor>
  <xdr:twoCellAnchor editAs="oneCell">
    <xdr:from>
      <xdr:col>5</xdr:col>
      <xdr:colOff>161925</xdr:colOff>
      <xdr:row>0</xdr:row>
      <xdr:rowOff>123825</xdr:rowOff>
    </xdr:from>
    <xdr:to>
      <xdr:col>7</xdr:col>
      <xdr:colOff>626452</xdr:colOff>
      <xdr:row>5</xdr:row>
      <xdr:rowOff>169760</xdr:rowOff>
    </xdr:to>
    <xdr:pic>
      <xdr:nvPicPr>
        <xdr:cNvPr id="286" name="Picture 285">
          <a:extLst>
            <a:ext uri="{FF2B5EF4-FFF2-40B4-BE49-F238E27FC236}">
              <a16:creationId xmlns:a16="http://schemas.microsoft.com/office/drawing/2014/main" id="{C16DBA83-387E-47C2-93E5-FF1283285CC0}"/>
            </a:ext>
          </a:extLst>
        </xdr:cNvPr>
        <xdr:cNvPicPr>
          <a:picLocks noChangeAspect="1"/>
        </xdr:cNvPicPr>
      </xdr:nvPicPr>
      <xdr:blipFill>
        <a:blip xmlns:r="http://schemas.openxmlformats.org/officeDocument/2006/relationships" r:embed="rId4"/>
        <a:stretch>
          <a:fillRect/>
        </a:stretch>
      </xdr:blipFill>
      <xdr:spPr>
        <a:xfrm>
          <a:off x="9820275" y="123825"/>
          <a:ext cx="2702902" cy="10746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13</xdr:row>
      <xdr:rowOff>171731</xdr:rowOff>
    </xdr:to>
    <xdr:sp macro="" textlink="">
      <xdr:nvSpPr>
        <xdr:cNvPr id="2" name="AutoShape 4" descr="+">
          <a:extLst>
            <a:ext uri="{FF2B5EF4-FFF2-40B4-BE49-F238E27FC236}">
              <a16:creationId xmlns:a16="http://schemas.microsoft.com/office/drawing/2014/main" id="{E89FC88B-F8F8-41C3-98C5-A601E70507F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 name="AutoShape 5" descr="+">
          <a:extLst>
            <a:ext uri="{FF2B5EF4-FFF2-40B4-BE49-F238E27FC236}">
              <a16:creationId xmlns:a16="http://schemas.microsoft.com/office/drawing/2014/main" id="{1FFC1D42-4D10-4E7D-8BDA-F1E2C4193D4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201707</xdr:rowOff>
    </xdr:to>
    <xdr:sp macro="" textlink="">
      <xdr:nvSpPr>
        <xdr:cNvPr id="4" name="AutoShape 6" descr="+">
          <a:extLst>
            <a:ext uri="{FF2B5EF4-FFF2-40B4-BE49-F238E27FC236}">
              <a16:creationId xmlns:a16="http://schemas.microsoft.com/office/drawing/2014/main" id="{6590FBCB-85DA-4A14-8CD1-F011B55B961D}"/>
            </a:ext>
          </a:extLst>
        </xdr:cNvPr>
        <xdr:cNvSpPr>
          <a:spLocks noChangeAspect="1" noChangeArrowheads="1"/>
        </xdr:cNvSpPr>
      </xdr:nvSpPr>
      <xdr:spPr bwMode="auto">
        <a:xfrm>
          <a:off x="1885950" y="1436370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174665</xdr:rowOff>
    </xdr:to>
    <xdr:sp macro="" textlink="">
      <xdr:nvSpPr>
        <xdr:cNvPr id="5" name="AutoShape 7" descr="+">
          <a:extLst>
            <a:ext uri="{FF2B5EF4-FFF2-40B4-BE49-F238E27FC236}">
              <a16:creationId xmlns:a16="http://schemas.microsoft.com/office/drawing/2014/main" id="{6F242B36-76DD-407E-A4A3-1254282746B2}"/>
            </a:ext>
          </a:extLst>
        </xdr:cNvPr>
        <xdr:cNvSpPr>
          <a:spLocks noChangeAspect="1" noChangeArrowheads="1"/>
        </xdr:cNvSpPr>
      </xdr:nvSpPr>
      <xdr:spPr bwMode="auto">
        <a:xfrm>
          <a:off x="1885950" y="14363700"/>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6" name="AutoShape 8" descr="+">
          <a:extLst>
            <a:ext uri="{FF2B5EF4-FFF2-40B4-BE49-F238E27FC236}">
              <a16:creationId xmlns:a16="http://schemas.microsoft.com/office/drawing/2014/main" id="{6976DA58-2725-4341-9BFA-107E15715283}"/>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7" name="AutoShape 9" descr="+">
          <a:extLst>
            <a:ext uri="{FF2B5EF4-FFF2-40B4-BE49-F238E27FC236}">
              <a16:creationId xmlns:a16="http://schemas.microsoft.com/office/drawing/2014/main" id="{10442C02-7D88-4D1D-8891-715BAA3FDBD3}"/>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8" name="AutoShape 10" descr="+">
          <a:extLst>
            <a:ext uri="{FF2B5EF4-FFF2-40B4-BE49-F238E27FC236}">
              <a16:creationId xmlns:a16="http://schemas.microsoft.com/office/drawing/2014/main" id="{E63E7CAC-0DDE-427B-8995-F69A0E6D6DE0}"/>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192180</xdr:rowOff>
    </xdr:to>
    <xdr:sp macro="" textlink="">
      <xdr:nvSpPr>
        <xdr:cNvPr id="9" name="AutoShape 11" descr="+">
          <a:extLst>
            <a:ext uri="{FF2B5EF4-FFF2-40B4-BE49-F238E27FC236}">
              <a16:creationId xmlns:a16="http://schemas.microsoft.com/office/drawing/2014/main" id="{69EDDA06-A4BA-46DA-825D-B577082B8A74}"/>
            </a:ext>
          </a:extLst>
        </xdr:cNvPr>
        <xdr:cNvSpPr>
          <a:spLocks noChangeAspect="1" noChangeArrowheads="1"/>
        </xdr:cNvSpPr>
      </xdr:nvSpPr>
      <xdr:spPr bwMode="auto">
        <a:xfrm>
          <a:off x="1885950" y="14363700"/>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63068</xdr:rowOff>
    </xdr:to>
    <xdr:sp macro="" textlink="">
      <xdr:nvSpPr>
        <xdr:cNvPr id="10" name="AutoShape 12" descr="+">
          <a:extLst>
            <a:ext uri="{FF2B5EF4-FFF2-40B4-BE49-F238E27FC236}">
              <a16:creationId xmlns:a16="http://schemas.microsoft.com/office/drawing/2014/main" id="{B60E5FAB-AF82-4BF2-89B2-8D3620501E2C}"/>
            </a:ext>
          </a:extLst>
        </xdr:cNvPr>
        <xdr:cNvSpPr>
          <a:spLocks noChangeAspect="1" noChangeArrowheads="1"/>
        </xdr:cNvSpPr>
      </xdr:nvSpPr>
      <xdr:spPr bwMode="auto">
        <a:xfrm>
          <a:off x="1885950" y="143637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1" name="AutoShape 13" descr="+">
          <a:extLst>
            <a:ext uri="{FF2B5EF4-FFF2-40B4-BE49-F238E27FC236}">
              <a16:creationId xmlns:a16="http://schemas.microsoft.com/office/drawing/2014/main" id="{8B8AD967-5A44-46DF-A8DC-012610CCC3C5}"/>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12" name="AutoShape 14" descr="+">
          <a:extLst>
            <a:ext uri="{FF2B5EF4-FFF2-40B4-BE49-F238E27FC236}">
              <a16:creationId xmlns:a16="http://schemas.microsoft.com/office/drawing/2014/main" id="{D8FE2E4C-1019-486A-A13B-5657228A5E5F}"/>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13" name="AutoShape 15" descr="+">
          <a:extLst>
            <a:ext uri="{FF2B5EF4-FFF2-40B4-BE49-F238E27FC236}">
              <a16:creationId xmlns:a16="http://schemas.microsoft.com/office/drawing/2014/main" id="{F1AAA840-F1A6-48C9-A0DB-46ECA8F39D62}"/>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191901</xdr:rowOff>
    </xdr:to>
    <xdr:sp macro="" textlink="">
      <xdr:nvSpPr>
        <xdr:cNvPr id="14" name="AutoShape 16" descr="+">
          <a:extLst>
            <a:ext uri="{FF2B5EF4-FFF2-40B4-BE49-F238E27FC236}">
              <a16:creationId xmlns:a16="http://schemas.microsoft.com/office/drawing/2014/main" id="{987CE4F6-6FEE-4E7A-A9C3-097B3337B69A}"/>
            </a:ext>
          </a:extLst>
        </xdr:cNvPr>
        <xdr:cNvSpPr>
          <a:spLocks noChangeAspect="1" noChangeArrowheads="1"/>
        </xdr:cNvSpPr>
      </xdr:nvSpPr>
      <xdr:spPr bwMode="auto">
        <a:xfrm>
          <a:off x="1885950" y="14363700"/>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178133</xdr:rowOff>
    </xdr:to>
    <xdr:sp macro="" textlink="">
      <xdr:nvSpPr>
        <xdr:cNvPr id="15" name="AutoShape 17" descr="+">
          <a:extLst>
            <a:ext uri="{FF2B5EF4-FFF2-40B4-BE49-F238E27FC236}">
              <a16:creationId xmlns:a16="http://schemas.microsoft.com/office/drawing/2014/main" id="{242A7CC9-1AE3-4395-AD21-5D7F1CAC3A6C}"/>
            </a:ext>
          </a:extLst>
        </xdr:cNvPr>
        <xdr:cNvSpPr>
          <a:spLocks noChangeAspect="1" noChangeArrowheads="1"/>
        </xdr:cNvSpPr>
      </xdr:nvSpPr>
      <xdr:spPr bwMode="auto">
        <a:xfrm>
          <a:off x="1885950" y="14363700"/>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178135</xdr:rowOff>
    </xdr:to>
    <xdr:sp macro="" textlink="">
      <xdr:nvSpPr>
        <xdr:cNvPr id="16" name="AutoShape 18" descr="+">
          <a:extLst>
            <a:ext uri="{FF2B5EF4-FFF2-40B4-BE49-F238E27FC236}">
              <a16:creationId xmlns:a16="http://schemas.microsoft.com/office/drawing/2014/main" id="{7F1D2F72-1639-4027-983B-9B94D495367A}"/>
            </a:ext>
          </a:extLst>
        </xdr:cNvPr>
        <xdr:cNvSpPr>
          <a:spLocks noChangeAspect="1" noChangeArrowheads="1"/>
        </xdr:cNvSpPr>
      </xdr:nvSpPr>
      <xdr:spPr bwMode="auto">
        <a:xfrm>
          <a:off x="1885950" y="14363700"/>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17" name="AutoShape 19" descr="+">
          <a:extLst>
            <a:ext uri="{FF2B5EF4-FFF2-40B4-BE49-F238E27FC236}">
              <a16:creationId xmlns:a16="http://schemas.microsoft.com/office/drawing/2014/main" id="{14928E8B-9FA4-4FC4-8500-628BA6FCA661}"/>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178132</xdr:rowOff>
    </xdr:to>
    <xdr:sp macro="" textlink="">
      <xdr:nvSpPr>
        <xdr:cNvPr id="18" name="AutoShape 20" descr="+">
          <a:extLst>
            <a:ext uri="{FF2B5EF4-FFF2-40B4-BE49-F238E27FC236}">
              <a16:creationId xmlns:a16="http://schemas.microsoft.com/office/drawing/2014/main" id="{7D3442CC-483D-4515-9579-B1D947E48726}"/>
            </a:ext>
          </a:extLst>
        </xdr:cNvPr>
        <xdr:cNvSpPr>
          <a:spLocks noChangeAspect="1" noChangeArrowheads="1"/>
        </xdr:cNvSpPr>
      </xdr:nvSpPr>
      <xdr:spPr bwMode="auto">
        <a:xfrm>
          <a:off x="1885950" y="1436370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1047</xdr:rowOff>
    </xdr:to>
    <xdr:sp macro="" textlink="">
      <xdr:nvSpPr>
        <xdr:cNvPr id="19" name="AutoShape 21" descr="+">
          <a:extLst>
            <a:ext uri="{FF2B5EF4-FFF2-40B4-BE49-F238E27FC236}">
              <a16:creationId xmlns:a16="http://schemas.microsoft.com/office/drawing/2014/main" id="{3A0865C0-D992-4574-B3EC-6E7D1CE59D9C}"/>
            </a:ext>
          </a:extLst>
        </xdr:cNvPr>
        <xdr:cNvSpPr>
          <a:spLocks noChangeAspect="1" noChangeArrowheads="1"/>
        </xdr:cNvSpPr>
      </xdr:nvSpPr>
      <xdr:spPr bwMode="auto">
        <a:xfrm>
          <a:off x="1885950" y="14363700"/>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0" name="AutoShape 22" descr="+">
          <a:extLst>
            <a:ext uri="{FF2B5EF4-FFF2-40B4-BE49-F238E27FC236}">
              <a16:creationId xmlns:a16="http://schemas.microsoft.com/office/drawing/2014/main" id="{27006FE0-9A1A-4E4D-BECB-21ED0C402645}"/>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1046</xdr:rowOff>
    </xdr:to>
    <xdr:sp macro="" textlink="">
      <xdr:nvSpPr>
        <xdr:cNvPr id="21" name="AutoShape 23" descr="+">
          <a:extLst>
            <a:ext uri="{FF2B5EF4-FFF2-40B4-BE49-F238E27FC236}">
              <a16:creationId xmlns:a16="http://schemas.microsoft.com/office/drawing/2014/main" id="{5BD341AE-D930-4A99-918F-CFCB8923192B}"/>
            </a:ext>
          </a:extLst>
        </xdr:cNvPr>
        <xdr:cNvSpPr>
          <a:spLocks noChangeAspect="1" noChangeArrowheads="1"/>
        </xdr:cNvSpPr>
      </xdr:nvSpPr>
      <xdr:spPr bwMode="auto">
        <a:xfrm>
          <a:off x="1885950" y="1436370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198584</xdr:rowOff>
    </xdr:to>
    <xdr:sp macro="" textlink="">
      <xdr:nvSpPr>
        <xdr:cNvPr id="22" name="AutoShape 24" descr="+">
          <a:extLst>
            <a:ext uri="{FF2B5EF4-FFF2-40B4-BE49-F238E27FC236}">
              <a16:creationId xmlns:a16="http://schemas.microsoft.com/office/drawing/2014/main" id="{E91071EA-88F3-4DB1-9BB2-4CB2CE6948DA}"/>
            </a:ext>
          </a:extLst>
        </xdr:cNvPr>
        <xdr:cNvSpPr>
          <a:spLocks noChangeAspect="1" noChangeArrowheads="1"/>
        </xdr:cNvSpPr>
      </xdr:nvSpPr>
      <xdr:spPr bwMode="auto">
        <a:xfrm>
          <a:off x="1885950" y="14363700"/>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3" name="AutoShape 25" descr="+">
          <a:extLst>
            <a:ext uri="{FF2B5EF4-FFF2-40B4-BE49-F238E27FC236}">
              <a16:creationId xmlns:a16="http://schemas.microsoft.com/office/drawing/2014/main" id="{44280ABD-540B-41B5-B623-1885A59AEB4E}"/>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4" name="AutoShape 26" descr="+">
          <a:extLst>
            <a:ext uri="{FF2B5EF4-FFF2-40B4-BE49-F238E27FC236}">
              <a16:creationId xmlns:a16="http://schemas.microsoft.com/office/drawing/2014/main" id="{4852A9A8-E8FA-4BCB-BC75-1DE7D9C5E5AA}"/>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25" name="AutoShape 27" descr="+">
          <a:extLst>
            <a:ext uri="{FF2B5EF4-FFF2-40B4-BE49-F238E27FC236}">
              <a16:creationId xmlns:a16="http://schemas.microsoft.com/office/drawing/2014/main" id="{E71E3287-F79A-479D-AC7E-848E5262B873}"/>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6" name="AutoShape 28" descr="+">
          <a:extLst>
            <a:ext uri="{FF2B5EF4-FFF2-40B4-BE49-F238E27FC236}">
              <a16:creationId xmlns:a16="http://schemas.microsoft.com/office/drawing/2014/main" id="{E31ACFD5-2961-44ED-89F2-E0A847AC9E57}"/>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201711</xdr:rowOff>
    </xdr:to>
    <xdr:sp macro="" textlink="">
      <xdr:nvSpPr>
        <xdr:cNvPr id="27" name="AutoShape 29" descr="+">
          <a:extLst>
            <a:ext uri="{FF2B5EF4-FFF2-40B4-BE49-F238E27FC236}">
              <a16:creationId xmlns:a16="http://schemas.microsoft.com/office/drawing/2014/main" id="{8DC87171-7D8E-4292-8E92-58E60FC3D946}"/>
            </a:ext>
          </a:extLst>
        </xdr:cNvPr>
        <xdr:cNvSpPr>
          <a:spLocks noChangeAspect="1" noChangeArrowheads="1"/>
        </xdr:cNvSpPr>
      </xdr:nvSpPr>
      <xdr:spPr bwMode="auto">
        <a:xfrm>
          <a:off x="1885950" y="14363700"/>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8" name="AutoShape 30" descr="+">
          <a:extLst>
            <a:ext uri="{FF2B5EF4-FFF2-40B4-BE49-F238E27FC236}">
              <a16:creationId xmlns:a16="http://schemas.microsoft.com/office/drawing/2014/main" id="{4BD79909-3F48-4C14-873F-39FEFD1DCC8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9" name="AutoShape 31" descr="+">
          <a:extLst>
            <a:ext uri="{FF2B5EF4-FFF2-40B4-BE49-F238E27FC236}">
              <a16:creationId xmlns:a16="http://schemas.microsoft.com/office/drawing/2014/main" id="{577BDA07-3F26-4A5E-8F30-F5D3F9853AA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30" name="AutoShape 32" descr="+">
          <a:extLst>
            <a:ext uri="{FF2B5EF4-FFF2-40B4-BE49-F238E27FC236}">
              <a16:creationId xmlns:a16="http://schemas.microsoft.com/office/drawing/2014/main" id="{CA07E0B1-15B2-4D3F-9F69-5426AA0EA79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31" name="AutoShape 33" descr="+">
          <a:extLst>
            <a:ext uri="{FF2B5EF4-FFF2-40B4-BE49-F238E27FC236}">
              <a16:creationId xmlns:a16="http://schemas.microsoft.com/office/drawing/2014/main" id="{B7443396-6BFF-4902-9750-98A11BF3CE57}"/>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32" name="AutoShape 34" descr="+">
          <a:extLst>
            <a:ext uri="{FF2B5EF4-FFF2-40B4-BE49-F238E27FC236}">
              <a16:creationId xmlns:a16="http://schemas.microsoft.com/office/drawing/2014/main" id="{3AFFF92B-4DF2-48A3-A91B-43AED162D1A8}"/>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3" name="AutoShape 52" descr="+">
          <a:extLst>
            <a:ext uri="{FF2B5EF4-FFF2-40B4-BE49-F238E27FC236}">
              <a16:creationId xmlns:a16="http://schemas.microsoft.com/office/drawing/2014/main" id="{8A9736D1-9ED8-47AC-B3D9-877E52592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4" name="AutoShape 53" descr="+">
          <a:extLst>
            <a:ext uri="{FF2B5EF4-FFF2-40B4-BE49-F238E27FC236}">
              <a16:creationId xmlns:a16="http://schemas.microsoft.com/office/drawing/2014/main" id="{B6B7D4B8-C804-4C95-8EE3-33BD3393C7D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35" name="AutoShape 54" descr="+">
          <a:extLst>
            <a:ext uri="{FF2B5EF4-FFF2-40B4-BE49-F238E27FC236}">
              <a16:creationId xmlns:a16="http://schemas.microsoft.com/office/drawing/2014/main" id="{550CB27C-AE21-43B4-9162-7D16376BF340}"/>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6" name="AutoShape 55" descr="+">
          <a:extLst>
            <a:ext uri="{FF2B5EF4-FFF2-40B4-BE49-F238E27FC236}">
              <a16:creationId xmlns:a16="http://schemas.microsoft.com/office/drawing/2014/main" id="{6A6F3EBF-D796-4C4A-AF5E-DB7B464652A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37" name="AutoShape 56" descr="+">
          <a:extLst>
            <a:ext uri="{FF2B5EF4-FFF2-40B4-BE49-F238E27FC236}">
              <a16:creationId xmlns:a16="http://schemas.microsoft.com/office/drawing/2014/main" id="{07D26AE2-C46F-4110-B99F-96495B958146}"/>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38" name="AutoShape 57" descr="+">
          <a:extLst>
            <a:ext uri="{FF2B5EF4-FFF2-40B4-BE49-F238E27FC236}">
              <a16:creationId xmlns:a16="http://schemas.microsoft.com/office/drawing/2014/main" id="{A4A26077-5DF2-493D-8475-614CDC3AC72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39" name="AutoShape 58" descr="+">
          <a:extLst>
            <a:ext uri="{FF2B5EF4-FFF2-40B4-BE49-F238E27FC236}">
              <a16:creationId xmlns:a16="http://schemas.microsoft.com/office/drawing/2014/main" id="{610B62E7-7050-4D08-AE39-A804A89D079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40" name="AutoShape 59" descr="+">
          <a:extLst>
            <a:ext uri="{FF2B5EF4-FFF2-40B4-BE49-F238E27FC236}">
              <a16:creationId xmlns:a16="http://schemas.microsoft.com/office/drawing/2014/main" id="{62E5D632-2D34-491B-9542-8D35DB4FE3E2}"/>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41" name="AutoShape 60" descr="+">
          <a:extLst>
            <a:ext uri="{FF2B5EF4-FFF2-40B4-BE49-F238E27FC236}">
              <a16:creationId xmlns:a16="http://schemas.microsoft.com/office/drawing/2014/main" id="{E73CFF92-5053-4C1F-8780-415B4263D001}"/>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42" name="AutoShape 61" descr="+">
          <a:extLst>
            <a:ext uri="{FF2B5EF4-FFF2-40B4-BE49-F238E27FC236}">
              <a16:creationId xmlns:a16="http://schemas.microsoft.com/office/drawing/2014/main" id="{6B988E75-0F6D-46F9-9954-3BA095A10DB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3" name="AutoShape 62" descr="+">
          <a:extLst>
            <a:ext uri="{FF2B5EF4-FFF2-40B4-BE49-F238E27FC236}">
              <a16:creationId xmlns:a16="http://schemas.microsoft.com/office/drawing/2014/main" id="{3A9B0D94-D8EC-4331-A5BE-21CE7E6DE521}"/>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4" name="AutoShape 63" descr="+">
          <a:extLst>
            <a:ext uri="{FF2B5EF4-FFF2-40B4-BE49-F238E27FC236}">
              <a16:creationId xmlns:a16="http://schemas.microsoft.com/office/drawing/2014/main" id="{4C163604-534D-478C-ACB1-75591D2B5E7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5" name="AutoShape 64" descr="+">
          <a:extLst>
            <a:ext uri="{FF2B5EF4-FFF2-40B4-BE49-F238E27FC236}">
              <a16:creationId xmlns:a16="http://schemas.microsoft.com/office/drawing/2014/main" id="{A6AA9AE4-4180-462F-B809-EC07A6ABF78D}"/>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46" name="AutoShape 65" descr="+">
          <a:extLst>
            <a:ext uri="{FF2B5EF4-FFF2-40B4-BE49-F238E27FC236}">
              <a16:creationId xmlns:a16="http://schemas.microsoft.com/office/drawing/2014/main" id="{6C4128C3-25AC-45F2-8F13-4154B722FCEB}"/>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7" name="AutoShape 66" descr="+">
          <a:extLst>
            <a:ext uri="{FF2B5EF4-FFF2-40B4-BE49-F238E27FC236}">
              <a16:creationId xmlns:a16="http://schemas.microsoft.com/office/drawing/2014/main" id="{A2FAC018-EC78-469A-9C75-68B906CB0EE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8" name="AutoShape 67" descr="+">
          <a:extLst>
            <a:ext uri="{FF2B5EF4-FFF2-40B4-BE49-F238E27FC236}">
              <a16:creationId xmlns:a16="http://schemas.microsoft.com/office/drawing/2014/main" id="{FEB62ED2-E271-4106-BC06-7A90B5C697E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9" name="AutoShape 68" descr="+">
          <a:extLst>
            <a:ext uri="{FF2B5EF4-FFF2-40B4-BE49-F238E27FC236}">
              <a16:creationId xmlns:a16="http://schemas.microsoft.com/office/drawing/2014/main" id="{D0D408C5-9DB9-4C20-A4A5-F492DB0982DF}"/>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50" name="AutoShape 69" descr="+">
          <a:extLst>
            <a:ext uri="{FF2B5EF4-FFF2-40B4-BE49-F238E27FC236}">
              <a16:creationId xmlns:a16="http://schemas.microsoft.com/office/drawing/2014/main" id="{145D941D-B0BF-4567-B72D-64D343D2ABF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51" name="AutoShape 70" descr="+">
          <a:extLst>
            <a:ext uri="{FF2B5EF4-FFF2-40B4-BE49-F238E27FC236}">
              <a16:creationId xmlns:a16="http://schemas.microsoft.com/office/drawing/2014/main" id="{1F576CBF-6A22-42BB-9423-DFD03CE61E6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52" name="AutoShape 71" descr="+">
          <a:extLst>
            <a:ext uri="{FF2B5EF4-FFF2-40B4-BE49-F238E27FC236}">
              <a16:creationId xmlns:a16="http://schemas.microsoft.com/office/drawing/2014/main" id="{2106AA29-2DB3-476B-8D3C-1BFD1E45297D}"/>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3" name="AutoShape 72" descr="+">
          <a:extLst>
            <a:ext uri="{FF2B5EF4-FFF2-40B4-BE49-F238E27FC236}">
              <a16:creationId xmlns:a16="http://schemas.microsoft.com/office/drawing/2014/main" id="{8D5C1B1A-0061-41DE-A15E-BDD4DDF8EC9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4" name="AutoShape 73" descr="+">
          <a:extLst>
            <a:ext uri="{FF2B5EF4-FFF2-40B4-BE49-F238E27FC236}">
              <a16:creationId xmlns:a16="http://schemas.microsoft.com/office/drawing/2014/main" id="{9C58F9C3-3F43-4E90-AF12-DCFCB4988AC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55" name="AutoShape 74" descr="+">
          <a:extLst>
            <a:ext uri="{FF2B5EF4-FFF2-40B4-BE49-F238E27FC236}">
              <a16:creationId xmlns:a16="http://schemas.microsoft.com/office/drawing/2014/main" id="{0CE38376-733D-4B4C-A6E8-854E786A4B3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6" name="AutoShape 75" descr="+">
          <a:extLst>
            <a:ext uri="{FF2B5EF4-FFF2-40B4-BE49-F238E27FC236}">
              <a16:creationId xmlns:a16="http://schemas.microsoft.com/office/drawing/2014/main" id="{8CDC6B48-1A90-4AF1-A073-5C59FC2185F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7" name="AutoShape 76" descr="+">
          <a:extLst>
            <a:ext uri="{FF2B5EF4-FFF2-40B4-BE49-F238E27FC236}">
              <a16:creationId xmlns:a16="http://schemas.microsoft.com/office/drawing/2014/main" id="{615F1AC2-0C49-42C7-858D-3654EADB1ADE}"/>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58" name="AutoShape 77" descr="+">
          <a:extLst>
            <a:ext uri="{FF2B5EF4-FFF2-40B4-BE49-F238E27FC236}">
              <a16:creationId xmlns:a16="http://schemas.microsoft.com/office/drawing/2014/main" id="{DEB40677-0332-4895-B593-EDE313FAE3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9" name="AutoShape 78" descr="+">
          <a:extLst>
            <a:ext uri="{FF2B5EF4-FFF2-40B4-BE49-F238E27FC236}">
              <a16:creationId xmlns:a16="http://schemas.microsoft.com/office/drawing/2014/main" id="{256E8FAF-0D52-4CFD-A8CE-0B1DB68C699C}"/>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166689</xdr:rowOff>
    </xdr:to>
    <xdr:sp macro="" textlink="">
      <xdr:nvSpPr>
        <xdr:cNvPr id="60" name="AutoShape 79" descr="+">
          <a:extLst>
            <a:ext uri="{FF2B5EF4-FFF2-40B4-BE49-F238E27FC236}">
              <a16:creationId xmlns:a16="http://schemas.microsoft.com/office/drawing/2014/main" id="{6F11FEA2-561B-4914-A3D9-F1A33A9A9F3B}"/>
            </a:ext>
          </a:extLst>
        </xdr:cNvPr>
        <xdr:cNvSpPr>
          <a:spLocks noChangeAspect="1" noChangeArrowheads="1"/>
        </xdr:cNvSpPr>
      </xdr:nvSpPr>
      <xdr:spPr bwMode="auto">
        <a:xfrm>
          <a:off x="1885950" y="14363700"/>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1" name="AutoShape 80" descr="+">
          <a:extLst>
            <a:ext uri="{FF2B5EF4-FFF2-40B4-BE49-F238E27FC236}">
              <a16:creationId xmlns:a16="http://schemas.microsoft.com/office/drawing/2014/main" id="{6D62FCF9-E67B-44B5-BC49-44F60F713F01}"/>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181655</xdr:rowOff>
    </xdr:to>
    <xdr:sp macro="" textlink="">
      <xdr:nvSpPr>
        <xdr:cNvPr id="62" name="AutoShape 81" descr="+">
          <a:extLst>
            <a:ext uri="{FF2B5EF4-FFF2-40B4-BE49-F238E27FC236}">
              <a16:creationId xmlns:a16="http://schemas.microsoft.com/office/drawing/2014/main" id="{5FB90AE6-534C-442B-BC74-D6A96ECB564A}"/>
            </a:ext>
          </a:extLst>
        </xdr:cNvPr>
        <xdr:cNvSpPr>
          <a:spLocks noChangeAspect="1" noChangeArrowheads="1"/>
        </xdr:cNvSpPr>
      </xdr:nvSpPr>
      <xdr:spPr bwMode="auto">
        <a:xfrm>
          <a:off x="1885950" y="14363700"/>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3" name="AutoShape 82" descr="+">
          <a:extLst>
            <a:ext uri="{FF2B5EF4-FFF2-40B4-BE49-F238E27FC236}">
              <a16:creationId xmlns:a16="http://schemas.microsoft.com/office/drawing/2014/main" id="{F0A5D013-F14F-4865-8DAD-5B57EA22177B}"/>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205471</xdr:rowOff>
    </xdr:to>
    <xdr:sp macro="" textlink="">
      <xdr:nvSpPr>
        <xdr:cNvPr id="64" name="AutoShape 83" descr="+">
          <a:extLst>
            <a:ext uri="{FF2B5EF4-FFF2-40B4-BE49-F238E27FC236}">
              <a16:creationId xmlns:a16="http://schemas.microsoft.com/office/drawing/2014/main" id="{813F5F14-B6C9-40F2-98DD-CBAC27A6E2B1}"/>
            </a:ext>
          </a:extLst>
        </xdr:cNvPr>
        <xdr:cNvSpPr>
          <a:spLocks noChangeAspect="1" noChangeArrowheads="1"/>
        </xdr:cNvSpPr>
      </xdr:nvSpPr>
      <xdr:spPr bwMode="auto">
        <a:xfrm>
          <a:off x="1885950" y="14363700"/>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5" name="AutoShape 84" descr="+">
          <a:extLst>
            <a:ext uri="{FF2B5EF4-FFF2-40B4-BE49-F238E27FC236}">
              <a16:creationId xmlns:a16="http://schemas.microsoft.com/office/drawing/2014/main" id="{695C37B5-CCBC-4AB7-8E1C-7DCB01E76CFF}"/>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205468</xdr:rowOff>
    </xdr:to>
    <xdr:sp macro="" textlink="">
      <xdr:nvSpPr>
        <xdr:cNvPr id="66" name="AutoShape 85" descr="+">
          <a:extLst>
            <a:ext uri="{FF2B5EF4-FFF2-40B4-BE49-F238E27FC236}">
              <a16:creationId xmlns:a16="http://schemas.microsoft.com/office/drawing/2014/main" id="{43BA8705-3977-4EF8-B2DF-58E2C2020316}"/>
            </a:ext>
          </a:extLst>
        </xdr:cNvPr>
        <xdr:cNvSpPr>
          <a:spLocks noChangeAspect="1" noChangeArrowheads="1"/>
        </xdr:cNvSpPr>
      </xdr:nvSpPr>
      <xdr:spPr bwMode="auto">
        <a:xfrm>
          <a:off x="1885950" y="1436370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7" name="AutoShape 86" descr="+">
          <a:extLst>
            <a:ext uri="{FF2B5EF4-FFF2-40B4-BE49-F238E27FC236}">
              <a16:creationId xmlns:a16="http://schemas.microsoft.com/office/drawing/2014/main" id="{639D772C-FD2C-4956-A0F8-2555BC40FB46}"/>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8" name="AutoShape 87" descr="+">
          <a:extLst>
            <a:ext uri="{FF2B5EF4-FFF2-40B4-BE49-F238E27FC236}">
              <a16:creationId xmlns:a16="http://schemas.microsoft.com/office/drawing/2014/main" id="{5CCD5579-01A0-4D56-94C2-52787AA341BA}"/>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9" name="AutoShape 88" descr="+">
          <a:extLst>
            <a:ext uri="{FF2B5EF4-FFF2-40B4-BE49-F238E27FC236}">
              <a16:creationId xmlns:a16="http://schemas.microsoft.com/office/drawing/2014/main" id="{CAF88623-5FB9-41CA-BEC5-6C0EFA47ED26}"/>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0" name="AutoShape 89" descr="+">
          <a:extLst>
            <a:ext uri="{FF2B5EF4-FFF2-40B4-BE49-F238E27FC236}">
              <a16:creationId xmlns:a16="http://schemas.microsoft.com/office/drawing/2014/main" id="{D5F26573-C7A4-4767-A9F5-95C9D459BF69}"/>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205467</xdr:rowOff>
    </xdr:to>
    <xdr:sp macro="" textlink="">
      <xdr:nvSpPr>
        <xdr:cNvPr id="71" name="AutoShape 90" descr="+">
          <a:extLst>
            <a:ext uri="{FF2B5EF4-FFF2-40B4-BE49-F238E27FC236}">
              <a16:creationId xmlns:a16="http://schemas.microsoft.com/office/drawing/2014/main" id="{5EC7D220-11C8-4437-9DC3-AD84045B8E13}"/>
            </a:ext>
          </a:extLst>
        </xdr:cNvPr>
        <xdr:cNvSpPr>
          <a:spLocks noChangeAspect="1" noChangeArrowheads="1"/>
        </xdr:cNvSpPr>
      </xdr:nvSpPr>
      <xdr:spPr bwMode="auto">
        <a:xfrm>
          <a:off x="1885950" y="1436370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99564</xdr:rowOff>
    </xdr:to>
    <xdr:sp macro="" textlink="">
      <xdr:nvSpPr>
        <xdr:cNvPr id="72" name="AutoShape 91" descr="+">
          <a:extLst>
            <a:ext uri="{FF2B5EF4-FFF2-40B4-BE49-F238E27FC236}">
              <a16:creationId xmlns:a16="http://schemas.microsoft.com/office/drawing/2014/main" id="{1474C7AC-A40F-4425-8462-318BEA990D3B}"/>
            </a:ext>
          </a:extLst>
        </xdr:cNvPr>
        <xdr:cNvSpPr>
          <a:spLocks noChangeAspect="1" noChangeArrowheads="1"/>
        </xdr:cNvSpPr>
      </xdr:nvSpPr>
      <xdr:spPr bwMode="auto">
        <a:xfrm>
          <a:off x="1885950" y="143637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171450</xdr:rowOff>
    </xdr:to>
    <xdr:sp macro="" textlink="">
      <xdr:nvSpPr>
        <xdr:cNvPr id="73" name="AutoShape 92" descr="+">
          <a:extLst>
            <a:ext uri="{FF2B5EF4-FFF2-40B4-BE49-F238E27FC236}">
              <a16:creationId xmlns:a16="http://schemas.microsoft.com/office/drawing/2014/main" id="{9B64FE00-95A1-40BC-A9C3-D4CD8CA6BB43}"/>
            </a:ext>
          </a:extLst>
        </xdr:cNvPr>
        <xdr:cNvSpPr>
          <a:spLocks noChangeAspect="1" noChangeArrowheads="1"/>
        </xdr:cNvSpPr>
      </xdr:nvSpPr>
      <xdr:spPr bwMode="auto">
        <a:xfrm>
          <a:off x="1885950" y="14363700"/>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4" name="AutoShape 93" descr="+">
          <a:extLst>
            <a:ext uri="{FF2B5EF4-FFF2-40B4-BE49-F238E27FC236}">
              <a16:creationId xmlns:a16="http://schemas.microsoft.com/office/drawing/2014/main" id="{47205499-6A7E-4091-8BA5-F16B1FDFD85F}"/>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5" name="AutoShape 94" descr="+">
          <a:extLst>
            <a:ext uri="{FF2B5EF4-FFF2-40B4-BE49-F238E27FC236}">
              <a16:creationId xmlns:a16="http://schemas.microsoft.com/office/drawing/2014/main" id="{B88632A7-E43C-4142-AA36-4C7D0E652630}"/>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200708</xdr:rowOff>
    </xdr:to>
    <xdr:sp macro="" textlink="">
      <xdr:nvSpPr>
        <xdr:cNvPr id="76" name="AutoShape 95" descr="+">
          <a:extLst>
            <a:ext uri="{FF2B5EF4-FFF2-40B4-BE49-F238E27FC236}">
              <a16:creationId xmlns:a16="http://schemas.microsoft.com/office/drawing/2014/main" id="{477DD31E-463F-46A0-B547-8D24B1CBA610}"/>
            </a:ext>
          </a:extLst>
        </xdr:cNvPr>
        <xdr:cNvSpPr>
          <a:spLocks noChangeAspect="1" noChangeArrowheads="1"/>
        </xdr:cNvSpPr>
      </xdr:nvSpPr>
      <xdr:spPr bwMode="auto">
        <a:xfrm>
          <a:off x="1885950" y="14363700"/>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77" name="AutoShape 96" descr="+">
          <a:extLst>
            <a:ext uri="{FF2B5EF4-FFF2-40B4-BE49-F238E27FC236}">
              <a16:creationId xmlns:a16="http://schemas.microsoft.com/office/drawing/2014/main" id="{484CBE30-4859-42C8-83D0-7639A65BAF8B}"/>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78" name="AutoShape 97" descr="+">
          <a:extLst>
            <a:ext uri="{FF2B5EF4-FFF2-40B4-BE49-F238E27FC236}">
              <a16:creationId xmlns:a16="http://schemas.microsoft.com/office/drawing/2014/main" id="{3E7F2058-EB55-493E-B433-1B2D028071C0}"/>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79" name="AutoShape 98" descr="+">
          <a:extLst>
            <a:ext uri="{FF2B5EF4-FFF2-40B4-BE49-F238E27FC236}">
              <a16:creationId xmlns:a16="http://schemas.microsoft.com/office/drawing/2014/main" id="{3FF7A4C5-290E-451E-8DA7-5AD6A721077A}"/>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0" name="AutoShape 99" descr="+">
          <a:extLst>
            <a:ext uri="{FF2B5EF4-FFF2-40B4-BE49-F238E27FC236}">
              <a16:creationId xmlns:a16="http://schemas.microsoft.com/office/drawing/2014/main" id="{22BB6A5B-03FF-4734-88ED-6A1605E36205}"/>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81" name="AutoShape 100" descr="+">
          <a:extLst>
            <a:ext uri="{FF2B5EF4-FFF2-40B4-BE49-F238E27FC236}">
              <a16:creationId xmlns:a16="http://schemas.microsoft.com/office/drawing/2014/main" id="{0510FDA3-E318-482D-8843-4F8D0DA29655}"/>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82" name="AutoShape 101" descr="+">
          <a:extLst>
            <a:ext uri="{FF2B5EF4-FFF2-40B4-BE49-F238E27FC236}">
              <a16:creationId xmlns:a16="http://schemas.microsoft.com/office/drawing/2014/main" id="{DA21484C-670D-4309-A0DC-9421633955B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3" name="AutoShape 102" descr="+">
          <a:extLst>
            <a:ext uri="{FF2B5EF4-FFF2-40B4-BE49-F238E27FC236}">
              <a16:creationId xmlns:a16="http://schemas.microsoft.com/office/drawing/2014/main" id="{8B1DDBE5-3867-4A65-A35E-BBEB9CDF7070}"/>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4" name="AutoShape 103" descr="+">
          <a:extLst>
            <a:ext uri="{FF2B5EF4-FFF2-40B4-BE49-F238E27FC236}">
              <a16:creationId xmlns:a16="http://schemas.microsoft.com/office/drawing/2014/main" id="{F38A855C-3EB7-42C6-B304-0DCA3AB3628D}"/>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5" name="AutoShape 104" descr="+">
          <a:extLst>
            <a:ext uri="{FF2B5EF4-FFF2-40B4-BE49-F238E27FC236}">
              <a16:creationId xmlns:a16="http://schemas.microsoft.com/office/drawing/2014/main" id="{D3DED53C-9742-4E28-99A5-A135887BA27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172133</xdr:rowOff>
    </xdr:to>
    <xdr:sp macro="" textlink="">
      <xdr:nvSpPr>
        <xdr:cNvPr id="86" name="AutoShape 105" descr="+">
          <a:extLst>
            <a:ext uri="{FF2B5EF4-FFF2-40B4-BE49-F238E27FC236}">
              <a16:creationId xmlns:a16="http://schemas.microsoft.com/office/drawing/2014/main" id="{2EA45A86-6A52-49A2-9959-CD27401E6534}"/>
            </a:ext>
          </a:extLst>
        </xdr:cNvPr>
        <xdr:cNvSpPr>
          <a:spLocks noChangeAspect="1" noChangeArrowheads="1"/>
        </xdr:cNvSpPr>
      </xdr:nvSpPr>
      <xdr:spPr bwMode="auto">
        <a:xfrm>
          <a:off x="1885950" y="14363700"/>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200705</xdr:rowOff>
    </xdr:to>
    <xdr:sp macro="" textlink="">
      <xdr:nvSpPr>
        <xdr:cNvPr id="87" name="AutoShape 106" descr="+">
          <a:extLst>
            <a:ext uri="{FF2B5EF4-FFF2-40B4-BE49-F238E27FC236}">
              <a16:creationId xmlns:a16="http://schemas.microsoft.com/office/drawing/2014/main" id="{B2FD527F-5F0C-4D51-83D8-3E8AEDEF9BBA}"/>
            </a:ext>
          </a:extLst>
        </xdr:cNvPr>
        <xdr:cNvSpPr>
          <a:spLocks noChangeAspect="1" noChangeArrowheads="1"/>
        </xdr:cNvSpPr>
      </xdr:nvSpPr>
      <xdr:spPr bwMode="auto">
        <a:xfrm>
          <a:off x="1885950" y="14363700"/>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88" name="AutoShape 107" descr="+">
          <a:extLst>
            <a:ext uri="{FF2B5EF4-FFF2-40B4-BE49-F238E27FC236}">
              <a16:creationId xmlns:a16="http://schemas.microsoft.com/office/drawing/2014/main" id="{BCCC54FE-986F-4D95-933C-BB3BDEBFBD33}"/>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89" name="AutoShape 108" descr="+">
          <a:extLst>
            <a:ext uri="{FF2B5EF4-FFF2-40B4-BE49-F238E27FC236}">
              <a16:creationId xmlns:a16="http://schemas.microsoft.com/office/drawing/2014/main" id="{5ED33D49-91AC-44ED-846B-2D2FC4C082D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90" name="AutoShape 109" descr="+">
          <a:extLst>
            <a:ext uri="{FF2B5EF4-FFF2-40B4-BE49-F238E27FC236}">
              <a16:creationId xmlns:a16="http://schemas.microsoft.com/office/drawing/2014/main" id="{48C6F3CA-AEA3-4BB2-8D31-ACA1F3F444A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91" name="AutoShape 110" descr="+">
          <a:extLst>
            <a:ext uri="{FF2B5EF4-FFF2-40B4-BE49-F238E27FC236}">
              <a16:creationId xmlns:a16="http://schemas.microsoft.com/office/drawing/2014/main" id="{F8984E97-5190-4ACF-AAC5-C846113ADC3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2" name="AutoShape 111" descr="+">
          <a:extLst>
            <a:ext uri="{FF2B5EF4-FFF2-40B4-BE49-F238E27FC236}">
              <a16:creationId xmlns:a16="http://schemas.microsoft.com/office/drawing/2014/main" id="{30CB829A-EE44-4F2D-8E9C-B221F877B52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3" name="AutoShape 112" descr="+">
          <a:extLst>
            <a:ext uri="{FF2B5EF4-FFF2-40B4-BE49-F238E27FC236}">
              <a16:creationId xmlns:a16="http://schemas.microsoft.com/office/drawing/2014/main" id="{7DFEB1ED-20C3-44EC-9507-7E90E40E112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191458</xdr:rowOff>
    </xdr:to>
    <xdr:sp macro="" textlink="">
      <xdr:nvSpPr>
        <xdr:cNvPr id="94" name="AutoShape 113" descr="+">
          <a:extLst>
            <a:ext uri="{FF2B5EF4-FFF2-40B4-BE49-F238E27FC236}">
              <a16:creationId xmlns:a16="http://schemas.microsoft.com/office/drawing/2014/main" id="{931B3F1B-E3B9-40DF-97A3-DF90D232DAA7}"/>
            </a:ext>
          </a:extLst>
        </xdr:cNvPr>
        <xdr:cNvSpPr>
          <a:spLocks noChangeAspect="1" noChangeArrowheads="1"/>
        </xdr:cNvSpPr>
      </xdr:nvSpPr>
      <xdr:spPr bwMode="auto">
        <a:xfrm>
          <a:off x="1885950" y="14363700"/>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5" name="AutoShape 114" descr="+">
          <a:extLst>
            <a:ext uri="{FF2B5EF4-FFF2-40B4-BE49-F238E27FC236}">
              <a16:creationId xmlns:a16="http://schemas.microsoft.com/office/drawing/2014/main" id="{82F66115-499D-473A-B663-69160405CD9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6" name="AutoShape 115" descr="+">
          <a:extLst>
            <a:ext uri="{FF2B5EF4-FFF2-40B4-BE49-F238E27FC236}">
              <a16:creationId xmlns:a16="http://schemas.microsoft.com/office/drawing/2014/main" id="{D9BFB521-100A-4939-BC21-F7B4D8AD34A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7" name="AutoShape 116" descr="+">
          <a:extLst>
            <a:ext uri="{FF2B5EF4-FFF2-40B4-BE49-F238E27FC236}">
              <a16:creationId xmlns:a16="http://schemas.microsoft.com/office/drawing/2014/main" id="{9FF8B099-933D-4E80-AD39-77DD875295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8" name="AutoShape 117" descr="+">
          <a:extLst>
            <a:ext uri="{FF2B5EF4-FFF2-40B4-BE49-F238E27FC236}">
              <a16:creationId xmlns:a16="http://schemas.microsoft.com/office/drawing/2014/main" id="{7AB36D03-B7B9-4358-A30B-89DE41E95DC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9" name="AutoShape 118" descr="+">
          <a:extLst>
            <a:ext uri="{FF2B5EF4-FFF2-40B4-BE49-F238E27FC236}">
              <a16:creationId xmlns:a16="http://schemas.microsoft.com/office/drawing/2014/main" id="{B0C99FEA-CFE8-43C4-BF3D-809ABB6E143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00" name="AutoShape 119" descr="+">
          <a:extLst>
            <a:ext uri="{FF2B5EF4-FFF2-40B4-BE49-F238E27FC236}">
              <a16:creationId xmlns:a16="http://schemas.microsoft.com/office/drawing/2014/main" id="{32F9AAF0-2175-4848-982A-C94350F42F0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01" name="AutoShape 120" descr="+">
          <a:extLst>
            <a:ext uri="{FF2B5EF4-FFF2-40B4-BE49-F238E27FC236}">
              <a16:creationId xmlns:a16="http://schemas.microsoft.com/office/drawing/2014/main" id="{A1DAB761-9958-4547-B40B-7F03DE6A3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02" name="AutoShape 121" descr="+">
          <a:extLst>
            <a:ext uri="{FF2B5EF4-FFF2-40B4-BE49-F238E27FC236}">
              <a16:creationId xmlns:a16="http://schemas.microsoft.com/office/drawing/2014/main" id="{6CA4A6B5-F477-4E12-A0FF-22242E0C800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103" name="AutoShape 122" descr="+">
          <a:extLst>
            <a:ext uri="{FF2B5EF4-FFF2-40B4-BE49-F238E27FC236}">
              <a16:creationId xmlns:a16="http://schemas.microsoft.com/office/drawing/2014/main" id="{0C447087-8298-4637-B729-9741464C1402}"/>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04" name="AutoShape 123" descr="+">
          <a:extLst>
            <a:ext uri="{FF2B5EF4-FFF2-40B4-BE49-F238E27FC236}">
              <a16:creationId xmlns:a16="http://schemas.microsoft.com/office/drawing/2014/main" id="{4C706908-4AD1-4946-B099-9A7C7F99D071}"/>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5" name="AutoShape 124" descr="+">
          <a:extLst>
            <a:ext uri="{FF2B5EF4-FFF2-40B4-BE49-F238E27FC236}">
              <a16:creationId xmlns:a16="http://schemas.microsoft.com/office/drawing/2014/main" id="{01A72F50-6616-474E-8401-77D63277BED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06" name="AutoShape 125" descr="+">
          <a:extLst>
            <a:ext uri="{FF2B5EF4-FFF2-40B4-BE49-F238E27FC236}">
              <a16:creationId xmlns:a16="http://schemas.microsoft.com/office/drawing/2014/main" id="{0FEA4761-6D29-4502-862A-D8F90E25BF2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7" name="AutoShape 126" descr="+">
          <a:extLst>
            <a:ext uri="{FF2B5EF4-FFF2-40B4-BE49-F238E27FC236}">
              <a16:creationId xmlns:a16="http://schemas.microsoft.com/office/drawing/2014/main" id="{FB5CC868-A565-4C9E-A297-7CC63CADAE2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108" name="AutoShape 127" descr="+">
          <a:extLst>
            <a:ext uri="{FF2B5EF4-FFF2-40B4-BE49-F238E27FC236}">
              <a16:creationId xmlns:a16="http://schemas.microsoft.com/office/drawing/2014/main" id="{1C2EDDB9-192B-4891-B6BA-F8DE060DBBCC}"/>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203089</xdr:rowOff>
    </xdr:to>
    <xdr:sp macro="" textlink="">
      <xdr:nvSpPr>
        <xdr:cNvPr id="109" name="AutoShape 128" descr="+">
          <a:extLst>
            <a:ext uri="{FF2B5EF4-FFF2-40B4-BE49-F238E27FC236}">
              <a16:creationId xmlns:a16="http://schemas.microsoft.com/office/drawing/2014/main" id="{67091BB2-E449-412E-992F-6F146A9253B7}"/>
            </a:ext>
          </a:extLst>
        </xdr:cNvPr>
        <xdr:cNvSpPr>
          <a:spLocks noChangeAspect="1" noChangeArrowheads="1"/>
        </xdr:cNvSpPr>
      </xdr:nvSpPr>
      <xdr:spPr bwMode="auto">
        <a:xfrm>
          <a:off x="1885950" y="14363700"/>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10" name="AutoShape 129" descr="+">
          <a:extLst>
            <a:ext uri="{FF2B5EF4-FFF2-40B4-BE49-F238E27FC236}">
              <a16:creationId xmlns:a16="http://schemas.microsoft.com/office/drawing/2014/main" id="{457B58EA-C45E-4B9C-B27B-F5B441FA43D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11" name="AutoShape 130" descr="+">
          <a:extLst>
            <a:ext uri="{FF2B5EF4-FFF2-40B4-BE49-F238E27FC236}">
              <a16:creationId xmlns:a16="http://schemas.microsoft.com/office/drawing/2014/main" id="{5E23988C-6ADF-46A4-BAE8-D0818BA9B45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12" name="AutoShape 131" descr="+">
          <a:extLst>
            <a:ext uri="{FF2B5EF4-FFF2-40B4-BE49-F238E27FC236}">
              <a16:creationId xmlns:a16="http://schemas.microsoft.com/office/drawing/2014/main" id="{FC1F60BA-3283-45C7-AF60-606695FFAE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3" name="AutoShape 132" descr="+">
          <a:extLst>
            <a:ext uri="{FF2B5EF4-FFF2-40B4-BE49-F238E27FC236}">
              <a16:creationId xmlns:a16="http://schemas.microsoft.com/office/drawing/2014/main" id="{4278CC1F-FBC6-48C4-BF80-23FE31C5C50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4" name="AutoShape 133" descr="+">
          <a:extLst>
            <a:ext uri="{FF2B5EF4-FFF2-40B4-BE49-F238E27FC236}">
              <a16:creationId xmlns:a16="http://schemas.microsoft.com/office/drawing/2014/main" id="{D86B475E-3EF2-4989-BFBC-F6951544098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15" name="AutoShape 134" descr="+">
          <a:extLst>
            <a:ext uri="{FF2B5EF4-FFF2-40B4-BE49-F238E27FC236}">
              <a16:creationId xmlns:a16="http://schemas.microsoft.com/office/drawing/2014/main" id="{15C99F99-8771-4855-8C88-D957E9FA6B8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6" name="AutoShape 135" descr="+">
          <a:extLst>
            <a:ext uri="{FF2B5EF4-FFF2-40B4-BE49-F238E27FC236}">
              <a16:creationId xmlns:a16="http://schemas.microsoft.com/office/drawing/2014/main" id="{E6DEDB27-8295-4D3F-BC74-E41C98D67DE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7" name="AutoShape 136" descr="+">
          <a:extLst>
            <a:ext uri="{FF2B5EF4-FFF2-40B4-BE49-F238E27FC236}">
              <a16:creationId xmlns:a16="http://schemas.microsoft.com/office/drawing/2014/main" id="{9B185CA9-9219-45B8-B2A0-CB9E3E21CDC9}"/>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18" name="AutoShape 137" descr="+">
          <a:extLst>
            <a:ext uri="{FF2B5EF4-FFF2-40B4-BE49-F238E27FC236}">
              <a16:creationId xmlns:a16="http://schemas.microsoft.com/office/drawing/2014/main" id="{B0B1C91D-55C8-4201-83D6-DBBFFE1EA7A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9" name="AutoShape 138" descr="+">
          <a:extLst>
            <a:ext uri="{FF2B5EF4-FFF2-40B4-BE49-F238E27FC236}">
              <a16:creationId xmlns:a16="http://schemas.microsoft.com/office/drawing/2014/main" id="{F8065886-6A04-4F74-A982-3CB14809CB4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20" name="AutoShape 139" descr="+">
          <a:extLst>
            <a:ext uri="{FF2B5EF4-FFF2-40B4-BE49-F238E27FC236}">
              <a16:creationId xmlns:a16="http://schemas.microsoft.com/office/drawing/2014/main" id="{7BA04146-61DF-4C38-95A6-41D58AF3EC3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21" name="AutoShape 140" descr="+">
          <a:extLst>
            <a:ext uri="{FF2B5EF4-FFF2-40B4-BE49-F238E27FC236}">
              <a16:creationId xmlns:a16="http://schemas.microsoft.com/office/drawing/2014/main" id="{D9D91792-214A-401F-9483-D022730C4270}"/>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2" name="AutoShape 141" descr="+">
          <a:extLst>
            <a:ext uri="{FF2B5EF4-FFF2-40B4-BE49-F238E27FC236}">
              <a16:creationId xmlns:a16="http://schemas.microsoft.com/office/drawing/2014/main" id="{79079A7D-D795-40DB-96D3-7D89841D8CD1}"/>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23" name="AutoShape 142" descr="+">
          <a:extLst>
            <a:ext uri="{FF2B5EF4-FFF2-40B4-BE49-F238E27FC236}">
              <a16:creationId xmlns:a16="http://schemas.microsoft.com/office/drawing/2014/main" id="{FB65DF43-B678-4F90-94BB-3B911C54BF6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119850</xdr:rowOff>
    </xdr:to>
    <xdr:sp macro="" textlink="">
      <xdr:nvSpPr>
        <xdr:cNvPr id="124" name="AutoShape 143" descr="+">
          <a:extLst>
            <a:ext uri="{FF2B5EF4-FFF2-40B4-BE49-F238E27FC236}">
              <a16:creationId xmlns:a16="http://schemas.microsoft.com/office/drawing/2014/main" id="{BE9C61E7-1BDD-43D8-8A0B-A1C4FD439DE0}"/>
            </a:ext>
          </a:extLst>
        </xdr:cNvPr>
        <xdr:cNvSpPr>
          <a:spLocks noChangeAspect="1" noChangeArrowheads="1"/>
        </xdr:cNvSpPr>
      </xdr:nvSpPr>
      <xdr:spPr bwMode="auto">
        <a:xfrm>
          <a:off x="1885950" y="143637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25" name="AutoShape 144" descr="+">
          <a:extLst>
            <a:ext uri="{FF2B5EF4-FFF2-40B4-BE49-F238E27FC236}">
              <a16:creationId xmlns:a16="http://schemas.microsoft.com/office/drawing/2014/main" id="{BE10ED6A-F335-4E3F-A728-B70AA1D143D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6" name="AutoShape 145" descr="+">
          <a:extLst>
            <a:ext uri="{FF2B5EF4-FFF2-40B4-BE49-F238E27FC236}">
              <a16:creationId xmlns:a16="http://schemas.microsoft.com/office/drawing/2014/main" id="{18D949BF-73FA-47F6-B81F-70DB10E2DF88}"/>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7" name="AutoShape 146" descr="+">
          <a:extLst>
            <a:ext uri="{FF2B5EF4-FFF2-40B4-BE49-F238E27FC236}">
              <a16:creationId xmlns:a16="http://schemas.microsoft.com/office/drawing/2014/main" id="{BBC5F53F-9287-4A86-B28E-300624F158B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8" name="AutoShape 147" descr="+">
          <a:extLst>
            <a:ext uri="{FF2B5EF4-FFF2-40B4-BE49-F238E27FC236}">
              <a16:creationId xmlns:a16="http://schemas.microsoft.com/office/drawing/2014/main" id="{077FE62A-19E5-4D3B-9BF2-ECCFDD6613E0}"/>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29" name="AutoShape 148" descr="+">
          <a:extLst>
            <a:ext uri="{FF2B5EF4-FFF2-40B4-BE49-F238E27FC236}">
              <a16:creationId xmlns:a16="http://schemas.microsoft.com/office/drawing/2014/main" id="{806E3BD3-C22B-41F3-9893-EADEC960A91E}"/>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30" name="AutoShape 149" descr="+">
          <a:extLst>
            <a:ext uri="{FF2B5EF4-FFF2-40B4-BE49-F238E27FC236}">
              <a16:creationId xmlns:a16="http://schemas.microsoft.com/office/drawing/2014/main" id="{1F8DC56F-CDE3-442C-B813-0CDCB2E2FEC3}"/>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1" name="AutoShape 150" descr="+">
          <a:extLst>
            <a:ext uri="{FF2B5EF4-FFF2-40B4-BE49-F238E27FC236}">
              <a16:creationId xmlns:a16="http://schemas.microsoft.com/office/drawing/2014/main" id="{B38B9ED3-CEA9-4AA3-8DB8-F61CDC77AB8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2" name="AutoShape 151" descr="+">
          <a:extLst>
            <a:ext uri="{FF2B5EF4-FFF2-40B4-BE49-F238E27FC236}">
              <a16:creationId xmlns:a16="http://schemas.microsoft.com/office/drawing/2014/main" id="{83FFDA36-2214-4058-A641-7234E4959E13}"/>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3" name="AutoShape 152" descr="+">
          <a:extLst>
            <a:ext uri="{FF2B5EF4-FFF2-40B4-BE49-F238E27FC236}">
              <a16:creationId xmlns:a16="http://schemas.microsoft.com/office/drawing/2014/main" id="{47FE67D6-9620-477F-B183-649066F449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97316</xdr:rowOff>
    </xdr:to>
    <xdr:sp macro="" textlink="">
      <xdr:nvSpPr>
        <xdr:cNvPr id="134" name="AutoShape 153" descr="+">
          <a:extLst>
            <a:ext uri="{FF2B5EF4-FFF2-40B4-BE49-F238E27FC236}">
              <a16:creationId xmlns:a16="http://schemas.microsoft.com/office/drawing/2014/main" id="{C750C15A-17DA-48B6-A138-9CD2F3616650}"/>
            </a:ext>
          </a:extLst>
        </xdr:cNvPr>
        <xdr:cNvSpPr>
          <a:spLocks noChangeAspect="1" noChangeArrowheads="1"/>
        </xdr:cNvSpPr>
      </xdr:nvSpPr>
      <xdr:spPr bwMode="auto">
        <a:xfrm>
          <a:off x="1885950" y="143637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172410</xdr:rowOff>
    </xdr:to>
    <xdr:sp macro="" textlink="">
      <xdr:nvSpPr>
        <xdr:cNvPr id="135" name="AutoShape 154" descr="+">
          <a:extLst>
            <a:ext uri="{FF2B5EF4-FFF2-40B4-BE49-F238E27FC236}">
              <a16:creationId xmlns:a16="http://schemas.microsoft.com/office/drawing/2014/main" id="{A9F3BE68-3173-4FC1-8218-F76EFEEEDB66}"/>
            </a:ext>
          </a:extLst>
        </xdr:cNvPr>
        <xdr:cNvSpPr>
          <a:spLocks noChangeAspect="1" noChangeArrowheads="1"/>
        </xdr:cNvSpPr>
      </xdr:nvSpPr>
      <xdr:spPr bwMode="auto">
        <a:xfrm>
          <a:off x="1885950" y="14363700"/>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6" name="AutoShape 155" descr="+">
          <a:extLst>
            <a:ext uri="{FF2B5EF4-FFF2-40B4-BE49-F238E27FC236}">
              <a16:creationId xmlns:a16="http://schemas.microsoft.com/office/drawing/2014/main" id="{CFE5E853-7D72-47CB-A1BD-71AD225CD7B5}"/>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137" name="AutoShape 156" descr="+">
          <a:extLst>
            <a:ext uri="{FF2B5EF4-FFF2-40B4-BE49-F238E27FC236}">
              <a16:creationId xmlns:a16="http://schemas.microsoft.com/office/drawing/2014/main" id="{9C1E6FB4-6314-4E42-B0E4-C9B3521151D2}"/>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204112</xdr:rowOff>
    </xdr:to>
    <xdr:sp macro="" textlink="">
      <xdr:nvSpPr>
        <xdr:cNvPr id="138" name="AutoShape 157" descr="+">
          <a:extLst>
            <a:ext uri="{FF2B5EF4-FFF2-40B4-BE49-F238E27FC236}">
              <a16:creationId xmlns:a16="http://schemas.microsoft.com/office/drawing/2014/main" id="{4E7F1852-8723-49F8-BA68-1EE539564E7A}"/>
            </a:ext>
          </a:extLst>
        </xdr:cNvPr>
        <xdr:cNvSpPr>
          <a:spLocks noChangeAspect="1" noChangeArrowheads="1"/>
        </xdr:cNvSpPr>
      </xdr:nvSpPr>
      <xdr:spPr bwMode="auto">
        <a:xfrm>
          <a:off x="1885950" y="14363700"/>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39" name="AutoShape 158" descr="+">
          <a:extLst>
            <a:ext uri="{FF2B5EF4-FFF2-40B4-BE49-F238E27FC236}">
              <a16:creationId xmlns:a16="http://schemas.microsoft.com/office/drawing/2014/main" id="{0A7F2371-EA6B-48E7-9525-22817FEDDC9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40" name="AutoShape 159" descr="+">
          <a:extLst>
            <a:ext uri="{FF2B5EF4-FFF2-40B4-BE49-F238E27FC236}">
              <a16:creationId xmlns:a16="http://schemas.microsoft.com/office/drawing/2014/main" id="{A08A6988-4239-4D37-8E27-0E39127889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141" name="AutoShape 160" descr="+">
          <a:extLst>
            <a:ext uri="{FF2B5EF4-FFF2-40B4-BE49-F238E27FC236}">
              <a16:creationId xmlns:a16="http://schemas.microsoft.com/office/drawing/2014/main" id="{3608B497-2BDA-473B-AC78-45485B287644}"/>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42" name="AutoShape 161" descr="+">
          <a:extLst>
            <a:ext uri="{FF2B5EF4-FFF2-40B4-BE49-F238E27FC236}">
              <a16:creationId xmlns:a16="http://schemas.microsoft.com/office/drawing/2014/main" id="{0AD84F3C-AFAC-47BD-A242-9B70236DFA32}"/>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3" name="AutoShape 162" descr="+">
          <a:extLst>
            <a:ext uri="{FF2B5EF4-FFF2-40B4-BE49-F238E27FC236}">
              <a16:creationId xmlns:a16="http://schemas.microsoft.com/office/drawing/2014/main" id="{C5FC1F1C-B250-4199-8C5A-FA3DAC70626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44" name="AutoShape 163" descr="+">
          <a:extLst>
            <a:ext uri="{FF2B5EF4-FFF2-40B4-BE49-F238E27FC236}">
              <a16:creationId xmlns:a16="http://schemas.microsoft.com/office/drawing/2014/main" id="{9E0D9B14-55B2-4199-8FA6-7671C93E26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45" name="AutoShape 164" descr="+">
          <a:extLst>
            <a:ext uri="{FF2B5EF4-FFF2-40B4-BE49-F238E27FC236}">
              <a16:creationId xmlns:a16="http://schemas.microsoft.com/office/drawing/2014/main" id="{F3DA4E87-9663-467F-A30E-C896EB55D570}"/>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6" name="AutoShape 165" descr="+">
          <a:extLst>
            <a:ext uri="{FF2B5EF4-FFF2-40B4-BE49-F238E27FC236}">
              <a16:creationId xmlns:a16="http://schemas.microsoft.com/office/drawing/2014/main" id="{0ED6FE88-DC82-45A1-B103-661911EECF0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7" name="AutoShape 166" descr="+">
          <a:extLst>
            <a:ext uri="{FF2B5EF4-FFF2-40B4-BE49-F238E27FC236}">
              <a16:creationId xmlns:a16="http://schemas.microsoft.com/office/drawing/2014/main" id="{A43C048D-26ED-4070-9171-C7392A6D9882}"/>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48" name="AutoShape 167" descr="+">
          <a:extLst>
            <a:ext uri="{FF2B5EF4-FFF2-40B4-BE49-F238E27FC236}">
              <a16:creationId xmlns:a16="http://schemas.microsoft.com/office/drawing/2014/main" id="{76623A5A-9E83-45B0-8EB1-C990717A83EF}"/>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101405</xdr:rowOff>
    </xdr:to>
    <xdr:sp macro="" textlink="">
      <xdr:nvSpPr>
        <xdr:cNvPr id="149" name="AutoShape 168" descr="+">
          <a:extLst>
            <a:ext uri="{FF2B5EF4-FFF2-40B4-BE49-F238E27FC236}">
              <a16:creationId xmlns:a16="http://schemas.microsoft.com/office/drawing/2014/main" id="{AAAF2F24-0BB0-4977-BC13-0E152F32688E}"/>
            </a:ext>
          </a:extLst>
        </xdr:cNvPr>
        <xdr:cNvSpPr>
          <a:spLocks noChangeAspect="1" noChangeArrowheads="1"/>
        </xdr:cNvSpPr>
      </xdr:nvSpPr>
      <xdr:spPr bwMode="auto">
        <a:xfrm>
          <a:off x="1885950" y="143637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175533</xdr:rowOff>
    </xdr:to>
    <xdr:sp macro="" textlink="">
      <xdr:nvSpPr>
        <xdr:cNvPr id="150" name="AutoShape 169" descr="+">
          <a:extLst>
            <a:ext uri="{FF2B5EF4-FFF2-40B4-BE49-F238E27FC236}">
              <a16:creationId xmlns:a16="http://schemas.microsoft.com/office/drawing/2014/main" id="{5EF1A99B-1DA1-4F12-9EDD-757CB3E20ECA}"/>
            </a:ext>
          </a:extLst>
        </xdr:cNvPr>
        <xdr:cNvSpPr>
          <a:spLocks noChangeAspect="1" noChangeArrowheads="1"/>
        </xdr:cNvSpPr>
      </xdr:nvSpPr>
      <xdr:spPr bwMode="auto">
        <a:xfrm>
          <a:off x="1885950" y="14363700"/>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151" name="AutoShape 170" descr="+">
          <a:extLst>
            <a:ext uri="{FF2B5EF4-FFF2-40B4-BE49-F238E27FC236}">
              <a16:creationId xmlns:a16="http://schemas.microsoft.com/office/drawing/2014/main" id="{0F6650C7-66E8-4704-8ACF-BC61154DD176}"/>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152" name="AutoShape 171" descr="+">
          <a:extLst>
            <a:ext uri="{FF2B5EF4-FFF2-40B4-BE49-F238E27FC236}">
              <a16:creationId xmlns:a16="http://schemas.microsoft.com/office/drawing/2014/main" id="{14B4E6AF-570E-4283-96D1-BB59FB43C14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153" name="AutoShape 172" descr="+">
          <a:extLst>
            <a:ext uri="{FF2B5EF4-FFF2-40B4-BE49-F238E27FC236}">
              <a16:creationId xmlns:a16="http://schemas.microsoft.com/office/drawing/2014/main" id="{5878ECF3-F141-4E02-A03E-BF6AB671B2C0}"/>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4" name="AutoShape 173" descr="+">
          <a:extLst>
            <a:ext uri="{FF2B5EF4-FFF2-40B4-BE49-F238E27FC236}">
              <a16:creationId xmlns:a16="http://schemas.microsoft.com/office/drawing/2014/main" id="{0C5D1FD6-9514-4035-906B-C7F52E5CDBE9}"/>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55" name="AutoShape 174" descr="+">
          <a:extLst>
            <a:ext uri="{FF2B5EF4-FFF2-40B4-BE49-F238E27FC236}">
              <a16:creationId xmlns:a16="http://schemas.microsoft.com/office/drawing/2014/main" id="{06076D28-F05A-4794-91C9-D13893DCD9CE}"/>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6" name="AutoShape 175" descr="+">
          <a:extLst>
            <a:ext uri="{FF2B5EF4-FFF2-40B4-BE49-F238E27FC236}">
              <a16:creationId xmlns:a16="http://schemas.microsoft.com/office/drawing/2014/main" id="{906E27AD-45A8-4BE0-B13F-2CA4C2D336D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57" name="AutoShape 176" descr="+">
          <a:extLst>
            <a:ext uri="{FF2B5EF4-FFF2-40B4-BE49-F238E27FC236}">
              <a16:creationId xmlns:a16="http://schemas.microsoft.com/office/drawing/2014/main" id="{9829D025-13F8-4133-97DE-11622E8E8A4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8" name="AutoShape 177" descr="+">
          <a:extLst>
            <a:ext uri="{FF2B5EF4-FFF2-40B4-BE49-F238E27FC236}">
              <a16:creationId xmlns:a16="http://schemas.microsoft.com/office/drawing/2014/main" id="{6139D42E-005E-41B5-9020-7ED2B4D96F7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9" name="AutoShape 178" descr="+">
          <a:extLst>
            <a:ext uri="{FF2B5EF4-FFF2-40B4-BE49-F238E27FC236}">
              <a16:creationId xmlns:a16="http://schemas.microsoft.com/office/drawing/2014/main" id="{97899760-0598-497A-811D-43EFA97A01B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60" name="AutoShape 179" descr="+">
          <a:extLst>
            <a:ext uri="{FF2B5EF4-FFF2-40B4-BE49-F238E27FC236}">
              <a16:creationId xmlns:a16="http://schemas.microsoft.com/office/drawing/2014/main" id="{5E1E70D1-3EC4-467A-98DF-B20EB10765C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191462</xdr:rowOff>
    </xdr:to>
    <xdr:sp macro="" textlink="">
      <xdr:nvSpPr>
        <xdr:cNvPr id="161" name="AutoShape 180" descr="+">
          <a:extLst>
            <a:ext uri="{FF2B5EF4-FFF2-40B4-BE49-F238E27FC236}">
              <a16:creationId xmlns:a16="http://schemas.microsoft.com/office/drawing/2014/main" id="{E0C580CF-24A7-4EC0-9EF7-DBB291348931}"/>
            </a:ext>
          </a:extLst>
        </xdr:cNvPr>
        <xdr:cNvSpPr>
          <a:spLocks noChangeAspect="1" noChangeArrowheads="1"/>
        </xdr:cNvSpPr>
      </xdr:nvSpPr>
      <xdr:spPr bwMode="auto">
        <a:xfrm>
          <a:off x="1885950" y="14363700"/>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162" name="AutoShape 181" descr="+">
          <a:extLst>
            <a:ext uri="{FF2B5EF4-FFF2-40B4-BE49-F238E27FC236}">
              <a16:creationId xmlns:a16="http://schemas.microsoft.com/office/drawing/2014/main" id="{75FB0854-7289-4914-BF0C-C395785FF79F}"/>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102436</xdr:rowOff>
    </xdr:to>
    <xdr:sp macro="" textlink="">
      <xdr:nvSpPr>
        <xdr:cNvPr id="163" name="AutoShape 182" descr="+">
          <a:extLst>
            <a:ext uri="{FF2B5EF4-FFF2-40B4-BE49-F238E27FC236}">
              <a16:creationId xmlns:a16="http://schemas.microsoft.com/office/drawing/2014/main" id="{1F946297-2ED4-4B09-A78F-BEDE7DAC11EB}"/>
            </a:ext>
          </a:extLst>
        </xdr:cNvPr>
        <xdr:cNvSpPr>
          <a:spLocks noChangeAspect="1" noChangeArrowheads="1"/>
        </xdr:cNvSpPr>
      </xdr:nvSpPr>
      <xdr:spPr bwMode="auto">
        <a:xfrm>
          <a:off x="1885950" y="143637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4" name="AutoShape 183" descr="+">
          <a:extLst>
            <a:ext uri="{FF2B5EF4-FFF2-40B4-BE49-F238E27FC236}">
              <a16:creationId xmlns:a16="http://schemas.microsoft.com/office/drawing/2014/main" id="{E929AA49-4A74-48F8-878B-7AC639ED29A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5" name="AutoShape 184" descr="+">
          <a:extLst>
            <a:ext uri="{FF2B5EF4-FFF2-40B4-BE49-F238E27FC236}">
              <a16:creationId xmlns:a16="http://schemas.microsoft.com/office/drawing/2014/main" id="{26C0A8A5-D129-456B-88E5-F69DFD804EF4}"/>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166" name="AutoShape 185" descr="+">
          <a:extLst>
            <a:ext uri="{FF2B5EF4-FFF2-40B4-BE49-F238E27FC236}">
              <a16:creationId xmlns:a16="http://schemas.microsoft.com/office/drawing/2014/main" id="{C7F0F5B1-03E0-46D7-ABDD-3BF52DD75CD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67" name="AutoShape 186" descr="+">
          <a:extLst>
            <a:ext uri="{FF2B5EF4-FFF2-40B4-BE49-F238E27FC236}">
              <a16:creationId xmlns:a16="http://schemas.microsoft.com/office/drawing/2014/main" id="{BBF351BA-C2DA-4F92-A935-4E9F07D8F8CE}"/>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68" name="AutoShape 187" descr="+">
          <a:extLst>
            <a:ext uri="{FF2B5EF4-FFF2-40B4-BE49-F238E27FC236}">
              <a16:creationId xmlns:a16="http://schemas.microsoft.com/office/drawing/2014/main" id="{0AE23E9B-5B7F-45F6-83FA-CBFB12E4440F}"/>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69" name="AutoShape 188" descr="+">
          <a:extLst>
            <a:ext uri="{FF2B5EF4-FFF2-40B4-BE49-F238E27FC236}">
              <a16:creationId xmlns:a16="http://schemas.microsoft.com/office/drawing/2014/main" id="{62332931-47B7-4C42-9460-5DE08E8A573B}"/>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0" name="AutoShape 189" descr="+">
          <a:extLst>
            <a:ext uri="{FF2B5EF4-FFF2-40B4-BE49-F238E27FC236}">
              <a16:creationId xmlns:a16="http://schemas.microsoft.com/office/drawing/2014/main" id="{813A093D-0DC0-4835-98E5-E72C683546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172409</xdr:rowOff>
    </xdr:to>
    <xdr:sp macro="" textlink="">
      <xdr:nvSpPr>
        <xdr:cNvPr id="171" name="AutoShape 190" descr="+">
          <a:extLst>
            <a:ext uri="{FF2B5EF4-FFF2-40B4-BE49-F238E27FC236}">
              <a16:creationId xmlns:a16="http://schemas.microsoft.com/office/drawing/2014/main" id="{9738248E-3558-4FEC-8377-26A1C49DCA5C}"/>
            </a:ext>
          </a:extLst>
        </xdr:cNvPr>
        <xdr:cNvSpPr>
          <a:spLocks noChangeAspect="1" noChangeArrowheads="1"/>
        </xdr:cNvSpPr>
      </xdr:nvSpPr>
      <xdr:spPr bwMode="auto">
        <a:xfrm>
          <a:off x="1885950" y="14363700"/>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2" name="AutoShape 191" descr="+">
          <a:extLst>
            <a:ext uri="{FF2B5EF4-FFF2-40B4-BE49-F238E27FC236}">
              <a16:creationId xmlns:a16="http://schemas.microsoft.com/office/drawing/2014/main" id="{EC6EB58D-E939-4C6C-BE98-6F36E625A8D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73" name="AutoShape 192" descr="+">
          <a:extLst>
            <a:ext uri="{FF2B5EF4-FFF2-40B4-BE49-F238E27FC236}">
              <a16:creationId xmlns:a16="http://schemas.microsoft.com/office/drawing/2014/main" id="{68A6EB15-B184-428B-B826-AD4620740F7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4" name="AutoShape 193" descr="+">
          <a:extLst>
            <a:ext uri="{FF2B5EF4-FFF2-40B4-BE49-F238E27FC236}">
              <a16:creationId xmlns:a16="http://schemas.microsoft.com/office/drawing/2014/main" id="{A4A2219C-7041-4256-8231-B3BCA26EE4D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5" name="AutoShape 194" descr="+">
          <a:extLst>
            <a:ext uri="{FF2B5EF4-FFF2-40B4-BE49-F238E27FC236}">
              <a16:creationId xmlns:a16="http://schemas.microsoft.com/office/drawing/2014/main" id="{6932F745-EE21-4708-8649-26BA55C3E06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76" name="AutoShape 195" descr="+">
          <a:extLst>
            <a:ext uri="{FF2B5EF4-FFF2-40B4-BE49-F238E27FC236}">
              <a16:creationId xmlns:a16="http://schemas.microsoft.com/office/drawing/2014/main" id="{E740295C-D750-4E1B-9E58-3D2F54DBE67F}"/>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177" name="AutoShape 196" descr="+">
          <a:extLst>
            <a:ext uri="{FF2B5EF4-FFF2-40B4-BE49-F238E27FC236}">
              <a16:creationId xmlns:a16="http://schemas.microsoft.com/office/drawing/2014/main" id="{EB44AC1B-F93B-4195-A796-A8AD2432940A}"/>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78" name="AutoShape 197" descr="+">
          <a:extLst>
            <a:ext uri="{FF2B5EF4-FFF2-40B4-BE49-F238E27FC236}">
              <a16:creationId xmlns:a16="http://schemas.microsoft.com/office/drawing/2014/main" id="{78360767-5703-4B2C-AEF6-1B302ECF760E}"/>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79" name="AutoShape 198" descr="+">
          <a:extLst>
            <a:ext uri="{FF2B5EF4-FFF2-40B4-BE49-F238E27FC236}">
              <a16:creationId xmlns:a16="http://schemas.microsoft.com/office/drawing/2014/main" id="{E64145B6-9BC0-4CC8-9684-EB72E9B536E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80" name="AutoShape 199" descr="+">
          <a:extLst>
            <a:ext uri="{FF2B5EF4-FFF2-40B4-BE49-F238E27FC236}">
              <a16:creationId xmlns:a16="http://schemas.microsoft.com/office/drawing/2014/main" id="{B6288E76-3EB2-4A85-B674-83850AFB2F86}"/>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183470</xdr:rowOff>
    </xdr:to>
    <xdr:sp macro="" textlink="">
      <xdr:nvSpPr>
        <xdr:cNvPr id="181" name="AutoShape 200" descr="+">
          <a:extLst>
            <a:ext uri="{FF2B5EF4-FFF2-40B4-BE49-F238E27FC236}">
              <a16:creationId xmlns:a16="http://schemas.microsoft.com/office/drawing/2014/main" id="{E61A6311-4F46-4483-80BE-47ADDDEDB73F}"/>
            </a:ext>
          </a:extLst>
        </xdr:cNvPr>
        <xdr:cNvSpPr>
          <a:spLocks noChangeAspect="1" noChangeArrowheads="1"/>
        </xdr:cNvSpPr>
      </xdr:nvSpPr>
      <xdr:spPr bwMode="auto">
        <a:xfrm>
          <a:off x="1885950" y="14363700"/>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82" name="AutoShape 201" descr="+">
          <a:extLst>
            <a:ext uri="{FF2B5EF4-FFF2-40B4-BE49-F238E27FC236}">
              <a16:creationId xmlns:a16="http://schemas.microsoft.com/office/drawing/2014/main" id="{1721A3BB-2C31-439D-BF16-9C00FB3806A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3" name="AutoShape 202" descr="+">
          <a:extLst>
            <a:ext uri="{FF2B5EF4-FFF2-40B4-BE49-F238E27FC236}">
              <a16:creationId xmlns:a16="http://schemas.microsoft.com/office/drawing/2014/main" id="{8361333B-DB1C-4EE8-928D-3EBF29F2B82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4" name="AutoShape 203" descr="+">
          <a:extLst>
            <a:ext uri="{FF2B5EF4-FFF2-40B4-BE49-F238E27FC236}">
              <a16:creationId xmlns:a16="http://schemas.microsoft.com/office/drawing/2014/main" id="{462A2995-8D88-4FE6-AA70-A41E55F1C50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5" name="AutoShape 204" descr="+">
          <a:extLst>
            <a:ext uri="{FF2B5EF4-FFF2-40B4-BE49-F238E27FC236}">
              <a16:creationId xmlns:a16="http://schemas.microsoft.com/office/drawing/2014/main" id="{C08FDE4D-4E69-44BE-AA61-C6723A5455E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6" name="AutoShape 205" descr="+">
          <a:extLst>
            <a:ext uri="{FF2B5EF4-FFF2-40B4-BE49-F238E27FC236}">
              <a16:creationId xmlns:a16="http://schemas.microsoft.com/office/drawing/2014/main" id="{12991CA8-0DF0-41AD-967A-A1ACF788EB8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87" name="AutoShape 206" descr="+">
          <a:extLst>
            <a:ext uri="{FF2B5EF4-FFF2-40B4-BE49-F238E27FC236}">
              <a16:creationId xmlns:a16="http://schemas.microsoft.com/office/drawing/2014/main" id="{D74CB445-D7E8-4695-9AA6-A89C0E151D5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188" name="AutoShape 207" descr="+">
          <a:extLst>
            <a:ext uri="{FF2B5EF4-FFF2-40B4-BE49-F238E27FC236}">
              <a16:creationId xmlns:a16="http://schemas.microsoft.com/office/drawing/2014/main" id="{DC6E4A4E-D454-40AA-91F3-3486283FF64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89" name="AutoShape 208" descr="+">
          <a:extLst>
            <a:ext uri="{FF2B5EF4-FFF2-40B4-BE49-F238E27FC236}">
              <a16:creationId xmlns:a16="http://schemas.microsoft.com/office/drawing/2014/main" id="{0EE1A5CC-7FEA-4741-8029-83568ED2148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90" name="AutoShape 209" descr="+">
          <a:extLst>
            <a:ext uri="{FF2B5EF4-FFF2-40B4-BE49-F238E27FC236}">
              <a16:creationId xmlns:a16="http://schemas.microsoft.com/office/drawing/2014/main" id="{04935F20-2899-4D98-B9E0-9C6A7E301AE5}"/>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191" name="AutoShape 210" descr="+">
          <a:extLst>
            <a:ext uri="{FF2B5EF4-FFF2-40B4-BE49-F238E27FC236}">
              <a16:creationId xmlns:a16="http://schemas.microsoft.com/office/drawing/2014/main" id="{0034A44F-E18E-47C9-82BE-47B42A3FA1A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92" name="AutoShape 211" descr="+">
          <a:extLst>
            <a:ext uri="{FF2B5EF4-FFF2-40B4-BE49-F238E27FC236}">
              <a16:creationId xmlns:a16="http://schemas.microsoft.com/office/drawing/2014/main" id="{8B6A1B89-2CC3-4E47-8C2D-4C5BDF48CB27}"/>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69350</xdr:rowOff>
    </xdr:to>
    <xdr:sp macro="" textlink="">
      <xdr:nvSpPr>
        <xdr:cNvPr id="193" name="AutoShape 212" descr="+">
          <a:extLst>
            <a:ext uri="{FF2B5EF4-FFF2-40B4-BE49-F238E27FC236}">
              <a16:creationId xmlns:a16="http://schemas.microsoft.com/office/drawing/2014/main" id="{9226F471-C544-4BC4-AC11-040B3612A372}"/>
            </a:ext>
          </a:extLst>
        </xdr:cNvPr>
        <xdr:cNvSpPr>
          <a:spLocks noChangeAspect="1" noChangeArrowheads="1"/>
        </xdr:cNvSpPr>
      </xdr:nvSpPr>
      <xdr:spPr bwMode="auto">
        <a:xfrm>
          <a:off x="1885950" y="143637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94" name="AutoShape 213" descr="+">
          <a:extLst>
            <a:ext uri="{FF2B5EF4-FFF2-40B4-BE49-F238E27FC236}">
              <a16:creationId xmlns:a16="http://schemas.microsoft.com/office/drawing/2014/main" id="{256A482B-D76E-4266-A243-F21D5119D4C8}"/>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95" name="AutoShape 214" descr="+">
          <a:extLst>
            <a:ext uri="{FF2B5EF4-FFF2-40B4-BE49-F238E27FC236}">
              <a16:creationId xmlns:a16="http://schemas.microsoft.com/office/drawing/2014/main" id="{E7F8F2D4-23E5-48A6-86AC-BBB587ACBFC9}"/>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96" name="AutoShape 215" descr="+">
          <a:extLst>
            <a:ext uri="{FF2B5EF4-FFF2-40B4-BE49-F238E27FC236}">
              <a16:creationId xmlns:a16="http://schemas.microsoft.com/office/drawing/2014/main" id="{37251C8A-0175-48BA-B433-0359F0E1D20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203090</xdr:rowOff>
    </xdr:to>
    <xdr:sp macro="" textlink="">
      <xdr:nvSpPr>
        <xdr:cNvPr id="197" name="AutoShape 216" descr="+">
          <a:extLst>
            <a:ext uri="{FF2B5EF4-FFF2-40B4-BE49-F238E27FC236}">
              <a16:creationId xmlns:a16="http://schemas.microsoft.com/office/drawing/2014/main" id="{E72DA612-B923-4026-85D4-CBE78803DE58}"/>
            </a:ext>
          </a:extLst>
        </xdr:cNvPr>
        <xdr:cNvSpPr>
          <a:spLocks noChangeAspect="1" noChangeArrowheads="1"/>
        </xdr:cNvSpPr>
      </xdr:nvSpPr>
      <xdr:spPr bwMode="auto">
        <a:xfrm>
          <a:off x="1885950" y="14363700"/>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98" name="AutoShape 217" descr="+">
          <a:extLst>
            <a:ext uri="{FF2B5EF4-FFF2-40B4-BE49-F238E27FC236}">
              <a16:creationId xmlns:a16="http://schemas.microsoft.com/office/drawing/2014/main" id="{0CDDBC2B-AE12-4B8A-BAD6-82564340AF8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99" name="AutoShape 218" descr="+">
          <a:extLst>
            <a:ext uri="{FF2B5EF4-FFF2-40B4-BE49-F238E27FC236}">
              <a16:creationId xmlns:a16="http://schemas.microsoft.com/office/drawing/2014/main" id="{22E8AE0A-158F-4CE3-AE69-18DA11DC122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186697</xdr:rowOff>
    </xdr:to>
    <xdr:sp macro="" textlink="">
      <xdr:nvSpPr>
        <xdr:cNvPr id="200" name="AutoShape 219" descr="+">
          <a:extLst>
            <a:ext uri="{FF2B5EF4-FFF2-40B4-BE49-F238E27FC236}">
              <a16:creationId xmlns:a16="http://schemas.microsoft.com/office/drawing/2014/main" id="{7245C70F-A7AB-4C32-AA78-2B5B2D12CF75}"/>
            </a:ext>
          </a:extLst>
        </xdr:cNvPr>
        <xdr:cNvSpPr>
          <a:spLocks noChangeAspect="1" noChangeArrowheads="1"/>
        </xdr:cNvSpPr>
      </xdr:nvSpPr>
      <xdr:spPr bwMode="auto">
        <a:xfrm>
          <a:off x="1885950" y="1436370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01" name="AutoShape 220" descr="+">
          <a:extLst>
            <a:ext uri="{FF2B5EF4-FFF2-40B4-BE49-F238E27FC236}">
              <a16:creationId xmlns:a16="http://schemas.microsoft.com/office/drawing/2014/main" id="{E8AE9F2E-F51B-4555-A653-3273AA51707B}"/>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2" name="AutoShape 221" descr="+">
          <a:extLst>
            <a:ext uri="{FF2B5EF4-FFF2-40B4-BE49-F238E27FC236}">
              <a16:creationId xmlns:a16="http://schemas.microsoft.com/office/drawing/2014/main" id="{3CD2A741-F28D-4977-A2EE-94553B6BE0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3" name="AutoShape 222" descr="+">
          <a:extLst>
            <a:ext uri="{FF2B5EF4-FFF2-40B4-BE49-F238E27FC236}">
              <a16:creationId xmlns:a16="http://schemas.microsoft.com/office/drawing/2014/main" id="{3BAE4FE9-D153-49EE-B7A8-21C9B533390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4" name="AutoShape 223" descr="+">
          <a:extLst>
            <a:ext uri="{FF2B5EF4-FFF2-40B4-BE49-F238E27FC236}">
              <a16:creationId xmlns:a16="http://schemas.microsoft.com/office/drawing/2014/main" id="{C2CBC8BD-97F7-4B23-82EC-79A9070C2153}"/>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5" name="AutoShape 224" descr="+">
          <a:extLst>
            <a:ext uri="{FF2B5EF4-FFF2-40B4-BE49-F238E27FC236}">
              <a16:creationId xmlns:a16="http://schemas.microsoft.com/office/drawing/2014/main" id="{159C5C55-DCC6-4660-A36E-9EB2708F0B9B}"/>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206" name="AutoShape 225" descr="+">
          <a:extLst>
            <a:ext uri="{FF2B5EF4-FFF2-40B4-BE49-F238E27FC236}">
              <a16:creationId xmlns:a16="http://schemas.microsoft.com/office/drawing/2014/main" id="{DA54053D-3E4E-479A-8CCD-259CC3F8FFB4}"/>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97322</xdr:rowOff>
    </xdr:to>
    <xdr:sp macro="" textlink="">
      <xdr:nvSpPr>
        <xdr:cNvPr id="207" name="AutoShape 226" descr="+">
          <a:extLst>
            <a:ext uri="{FF2B5EF4-FFF2-40B4-BE49-F238E27FC236}">
              <a16:creationId xmlns:a16="http://schemas.microsoft.com/office/drawing/2014/main" id="{B1F48DF8-0AA3-49DE-AA78-2629794D2C58}"/>
            </a:ext>
          </a:extLst>
        </xdr:cNvPr>
        <xdr:cNvSpPr>
          <a:spLocks noChangeAspect="1" noChangeArrowheads="1"/>
        </xdr:cNvSpPr>
      </xdr:nvSpPr>
      <xdr:spPr bwMode="auto">
        <a:xfrm>
          <a:off x="1885950" y="143637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8" name="AutoShape 227" descr="+">
          <a:extLst>
            <a:ext uri="{FF2B5EF4-FFF2-40B4-BE49-F238E27FC236}">
              <a16:creationId xmlns:a16="http://schemas.microsoft.com/office/drawing/2014/main" id="{6D41F9E8-0081-405D-A02D-6A18ED294F1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09" name="AutoShape 228" descr="+">
          <a:extLst>
            <a:ext uri="{FF2B5EF4-FFF2-40B4-BE49-F238E27FC236}">
              <a16:creationId xmlns:a16="http://schemas.microsoft.com/office/drawing/2014/main" id="{AD297C97-6C39-45B8-BEF8-E712EAEAD61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98999</xdr:rowOff>
    </xdr:to>
    <xdr:sp macro="" textlink="">
      <xdr:nvSpPr>
        <xdr:cNvPr id="210" name="AutoShape 229" descr="+">
          <a:extLst>
            <a:ext uri="{FF2B5EF4-FFF2-40B4-BE49-F238E27FC236}">
              <a16:creationId xmlns:a16="http://schemas.microsoft.com/office/drawing/2014/main" id="{2A88F461-DCAD-4A3B-8613-6BFBC2692823}"/>
            </a:ext>
          </a:extLst>
        </xdr:cNvPr>
        <xdr:cNvSpPr>
          <a:spLocks noChangeAspect="1" noChangeArrowheads="1"/>
        </xdr:cNvSpPr>
      </xdr:nvSpPr>
      <xdr:spPr bwMode="auto">
        <a:xfrm>
          <a:off x="1885950" y="143637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11" name="AutoShape 230" descr="+">
          <a:extLst>
            <a:ext uri="{FF2B5EF4-FFF2-40B4-BE49-F238E27FC236}">
              <a16:creationId xmlns:a16="http://schemas.microsoft.com/office/drawing/2014/main" id="{F551F09A-7F08-443A-92BA-E71D64542443}"/>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2" name="AutoShape 231" descr="+">
          <a:extLst>
            <a:ext uri="{FF2B5EF4-FFF2-40B4-BE49-F238E27FC236}">
              <a16:creationId xmlns:a16="http://schemas.microsoft.com/office/drawing/2014/main" id="{A75DCEF2-FE72-4B8E-A50B-C5CB3D0237F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13" name="AutoShape 232" descr="+">
          <a:extLst>
            <a:ext uri="{FF2B5EF4-FFF2-40B4-BE49-F238E27FC236}">
              <a16:creationId xmlns:a16="http://schemas.microsoft.com/office/drawing/2014/main" id="{632BF04F-1A9D-4DD0-991B-F04B0DAB2D0B}"/>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4" name="AutoShape 233" descr="+">
          <a:extLst>
            <a:ext uri="{FF2B5EF4-FFF2-40B4-BE49-F238E27FC236}">
              <a16:creationId xmlns:a16="http://schemas.microsoft.com/office/drawing/2014/main" id="{00B0E620-B208-4F9B-890B-A632E1CA1A3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15" name="AutoShape 234" descr="+">
          <a:extLst>
            <a:ext uri="{FF2B5EF4-FFF2-40B4-BE49-F238E27FC236}">
              <a16:creationId xmlns:a16="http://schemas.microsoft.com/office/drawing/2014/main" id="{A6835511-E795-4BC2-A87A-C42001C0BC9F}"/>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16" name="AutoShape 235" descr="+">
          <a:extLst>
            <a:ext uri="{FF2B5EF4-FFF2-40B4-BE49-F238E27FC236}">
              <a16:creationId xmlns:a16="http://schemas.microsoft.com/office/drawing/2014/main" id="{08E69A34-0495-4FB9-B01B-38B34F264C64}"/>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17" name="AutoShape 236" descr="+">
          <a:extLst>
            <a:ext uri="{FF2B5EF4-FFF2-40B4-BE49-F238E27FC236}">
              <a16:creationId xmlns:a16="http://schemas.microsoft.com/office/drawing/2014/main" id="{6F71503D-AED3-4F3D-9D14-10DF0C7FA2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8" name="AutoShape 237" descr="+">
          <a:extLst>
            <a:ext uri="{FF2B5EF4-FFF2-40B4-BE49-F238E27FC236}">
              <a16:creationId xmlns:a16="http://schemas.microsoft.com/office/drawing/2014/main" id="{BB2264AA-3B3C-4D7F-90DE-273DA87350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3449</xdr:rowOff>
    </xdr:to>
    <xdr:sp macro="" textlink="">
      <xdr:nvSpPr>
        <xdr:cNvPr id="219" name="AutoShape 238" descr="+">
          <a:extLst>
            <a:ext uri="{FF2B5EF4-FFF2-40B4-BE49-F238E27FC236}">
              <a16:creationId xmlns:a16="http://schemas.microsoft.com/office/drawing/2014/main" id="{9ED7866D-CB3E-4DE5-8E48-145C78DE01AC}"/>
            </a:ext>
          </a:extLst>
        </xdr:cNvPr>
        <xdr:cNvSpPr>
          <a:spLocks noChangeAspect="1" noChangeArrowheads="1"/>
        </xdr:cNvSpPr>
      </xdr:nvSpPr>
      <xdr:spPr bwMode="auto">
        <a:xfrm>
          <a:off x="1885950" y="14363700"/>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20" name="AutoShape 239" descr="+">
          <a:extLst>
            <a:ext uri="{FF2B5EF4-FFF2-40B4-BE49-F238E27FC236}">
              <a16:creationId xmlns:a16="http://schemas.microsoft.com/office/drawing/2014/main" id="{AB15C001-8FB7-4B79-BDA2-4A0B317E378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1" name="AutoShape 240" descr="+">
          <a:extLst>
            <a:ext uri="{FF2B5EF4-FFF2-40B4-BE49-F238E27FC236}">
              <a16:creationId xmlns:a16="http://schemas.microsoft.com/office/drawing/2014/main" id="{AA66FDB9-C1EA-480F-B9B7-37D33323C7FD}"/>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2" name="AutoShape 241" descr="+">
          <a:extLst>
            <a:ext uri="{FF2B5EF4-FFF2-40B4-BE49-F238E27FC236}">
              <a16:creationId xmlns:a16="http://schemas.microsoft.com/office/drawing/2014/main" id="{D09E52AD-3FE7-4EB4-BBCB-EFAB409FD5B6}"/>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223" name="AutoShape 242" descr="+">
          <a:extLst>
            <a:ext uri="{FF2B5EF4-FFF2-40B4-BE49-F238E27FC236}">
              <a16:creationId xmlns:a16="http://schemas.microsoft.com/office/drawing/2014/main" id="{D3FEB718-6091-47C4-B6A9-63395C0BCC29}"/>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24" name="AutoShape 243" descr="+">
          <a:extLst>
            <a:ext uri="{FF2B5EF4-FFF2-40B4-BE49-F238E27FC236}">
              <a16:creationId xmlns:a16="http://schemas.microsoft.com/office/drawing/2014/main" id="{870A82AA-E55B-45C4-9B83-51825EA6EF8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5" name="AutoShape 244" descr="+">
          <a:extLst>
            <a:ext uri="{FF2B5EF4-FFF2-40B4-BE49-F238E27FC236}">
              <a16:creationId xmlns:a16="http://schemas.microsoft.com/office/drawing/2014/main" id="{7A631866-BDB3-469B-8CBA-67AE68089A1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6" name="AutoShape 245" descr="+">
          <a:extLst>
            <a:ext uri="{FF2B5EF4-FFF2-40B4-BE49-F238E27FC236}">
              <a16:creationId xmlns:a16="http://schemas.microsoft.com/office/drawing/2014/main" id="{92CDC3A3-B483-481C-A42D-65F864BD870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227" name="AutoShape 246" descr="+">
          <a:extLst>
            <a:ext uri="{FF2B5EF4-FFF2-40B4-BE49-F238E27FC236}">
              <a16:creationId xmlns:a16="http://schemas.microsoft.com/office/drawing/2014/main" id="{06668F1E-9AE1-49B2-85FD-32F495E9AF0F}"/>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28" name="AutoShape 247" descr="+">
          <a:extLst>
            <a:ext uri="{FF2B5EF4-FFF2-40B4-BE49-F238E27FC236}">
              <a16:creationId xmlns:a16="http://schemas.microsoft.com/office/drawing/2014/main" id="{73DE6DA9-B0CA-4988-A71D-966600B2787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29" name="AutoShape 248" descr="+">
          <a:extLst>
            <a:ext uri="{FF2B5EF4-FFF2-40B4-BE49-F238E27FC236}">
              <a16:creationId xmlns:a16="http://schemas.microsoft.com/office/drawing/2014/main" id="{1F1D282E-FE83-49ED-88C3-A1DCD0B585D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30" name="AutoShape 249" descr="+">
          <a:extLst>
            <a:ext uri="{FF2B5EF4-FFF2-40B4-BE49-F238E27FC236}">
              <a16:creationId xmlns:a16="http://schemas.microsoft.com/office/drawing/2014/main" id="{F8EE6C5A-6985-4E53-9139-06B9D47FB41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1" name="AutoShape 250" descr="+">
          <a:extLst>
            <a:ext uri="{FF2B5EF4-FFF2-40B4-BE49-F238E27FC236}">
              <a16:creationId xmlns:a16="http://schemas.microsoft.com/office/drawing/2014/main" id="{DAB81C02-839A-4750-A038-9EFC7207EBD4}"/>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2" name="AutoShape 251" descr="+">
          <a:extLst>
            <a:ext uri="{FF2B5EF4-FFF2-40B4-BE49-F238E27FC236}">
              <a16:creationId xmlns:a16="http://schemas.microsoft.com/office/drawing/2014/main" id="{6E242B8A-CF6E-4960-B468-CA6C0B95FD8A}"/>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33" name="AutoShape 252" descr="+">
          <a:extLst>
            <a:ext uri="{FF2B5EF4-FFF2-40B4-BE49-F238E27FC236}">
              <a16:creationId xmlns:a16="http://schemas.microsoft.com/office/drawing/2014/main" id="{3EFD7C6A-C0D8-445C-AED8-0D4B8765054D}"/>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34" name="AutoShape 253" descr="+">
          <a:extLst>
            <a:ext uri="{FF2B5EF4-FFF2-40B4-BE49-F238E27FC236}">
              <a16:creationId xmlns:a16="http://schemas.microsoft.com/office/drawing/2014/main" id="{88FB932F-4AA7-47A3-B597-8669F61179E0}"/>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5" name="AutoShape 254" descr="+">
          <a:extLst>
            <a:ext uri="{FF2B5EF4-FFF2-40B4-BE49-F238E27FC236}">
              <a16:creationId xmlns:a16="http://schemas.microsoft.com/office/drawing/2014/main" id="{656E236F-ACD5-423E-B11A-6065DABD113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6" name="AutoShape 255" descr="+">
          <a:extLst>
            <a:ext uri="{FF2B5EF4-FFF2-40B4-BE49-F238E27FC236}">
              <a16:creationId xmlns:a16="http://schemas.microsoft.com/office/drawing/2014/main" id="{ACA6F5A4-261D-4157-90C4-DFABCBE880DC}"/>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7" name="AutoShape 256" descr="+">
          <a:extLst>
            <a:ext uri="{FF2B5EF4-FFF2-40B4-BE49-F238E27FC236}">
              <a16:creationId xmlns:a16="http://schemas.microsoft.com/office/drawing/2014/main" id="{E168EBCE-693C-4078-BBFF-66460EAE061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38" name="AutoShape 257" descr="+">
          <a:extLst>
            <a:ext uri="{FF2B5EF4-FFF2-40B4-BE49-F238E27FC236}">
              <a16:creationId xmlns:a16="http://schemas.microsoft.com/office/drawing/2014/main" id="{A32E22FD-8DFC-47E1-BF07-DDEEAF22F550}"/>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64263</xdr:rowOff>
    </xdr:to>
    <xdr:sp macro="" textlink="">
      <xdr:nvSpPr>
        <xdr:cNvPr id="239" name="AutoShape 258" descr="+">
          <a:extLst>
            <a:ext uri="{FF2B5EF4-FFF2-40B4-BE49-F238E27FC236}">
              <a16:creationId xmlns:a16="http://schemas.microsoft.com/office/drawing/2014/main" id="{D056D05A-0F06-4387-BD71-0BDDC088A434}"/>
            </a:ext>
          </a:extLst>
        </xdr:cNvPr>
        <xdr:cNvSpPr>
          <a:spLocks noChangeAspect="1" noChangeArrowheads="1"/>
        </xdr:cNvSpPr>
      </xdr:nvSpPr>
      <xdr:spPr bwMode="auto">
        <a:xfrm>
          <a:off x="1885950" y="143637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40" name="AutoShape 259" descr="+">
          <a:extLst>
            <a:ext uri="{FF2B5EF4-FFF2-40B4-BE49-F238E27FC236}">
              <a16:creationId xmlns:a16="http://schemas.microsoft.com/office/drawing/2014/main" id="{C0D8BF44-54A6-421B-A5E4-720419A99E1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41" name="AutoShape 260" descr="+">
          <a:extLst>
            <a:ext uri="{FF2B5EF4-FFF2-40B4-BE49-F238E27FC236}">
              <a16:creationId xmlns:a16="http://schemas.microsoft.com/office/drawing/2014/main" id="{DE2F23A8-863F-4BA8-AE39-422443F98357}"/>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42" name="AutoShape 261" descr="+">
          <a:extLst>
            <a:ext uri="{FF2B5EF4-FFF2-40B4-BE49-F238E27FC236}">
              <a16:creationId xmlns:a16="http://schemas.microsoft.com/office/drawing/2014/main" id="{BF1B0113-6812-48C1-8CE6-ACA109094D9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43" name="AutoShape 262" descr="+">
          <a:extLst>
            <a:ext uri="{FF2B5EF4-FFF2-40B4-BE49-F238E27FC236}">
              <a16:creationId xmlns:a16="http://schemas.microsoft.com/office/drawing/2014/main" id="{3C34D504-09C8-43B4-8CE5-D869FFFDEC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165329</xdr:rowOff>
    </xdr:to>
    <xdr:sp macro="" textlink="">
      <xdr:nvSpPr>
        <xdr:cNvPr id="244" name="AutoShape 263" descr="+">
          <a:extLst>
            <a:ext uri="{FF2B5EF4-FFF2-40B4-BE49-F238E27FC236}">
              <a16:creationId xmlns:a16="http://schemas.microsoft.com/office/drawing/2014/main" id="{8C53C3A1-5E2D-4311-B3B5-8E2F096A019D}"/>
            </a:ext>
          </a:extLst>
        </xdr:cNvPr>
        <xdr:cNvSpPr>
          <a:spLocks noChangeAspect="1" noChangeArrowheads="1"/>
        </xdr:cNvSpPr>
      </xdr:nvSpPr>
      <xdr:spPr bwMode="auto">
        <a:xfrm>
          <a:off x="1885950" y="14363700"/>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165328</xdr:rowOff>
    </xdr:to>
    <xdr:sp macro="" textlink="">
      <xdr:nvSpPr>
        <xdr:cNvPr id="245" name="AutoShape 264" descr="+">
          <a:extLst>
            <a:ext uri="{FF2B5EF4-FFF2-40B4-BE49-F238E27FC236}">
              <a16:creationId xmlns:a16="http://schemas.microsoft.com/office/drawing/2014/main" id="{F63CCA87-B285-4860-B3C1-75C731FBDDAA}"/>
            </a:ext>
          </a:extLst>
        </xdr:cNvPr>
        <xdr:cNvSpPr>
          <a:spLocks noChangeAspect="1" noChangeArrowheads="1"/>
        </xdr:cNvSpPr>
      </xdr:nvSpPr>
      <xdr:spPr bwMode="auto">
        <a:xfrm>
          <a:off x="1885950" y="14363700"/>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6" name="AutoShape 265" descr="+">
          <a:extLst>
            <a:ext uri="{FF2B5EF4-FFF2-40B4-BE49-F238E27FC236}">
              <a16:creationId xmlns:a16="http://schemas.microsoft.com/office/drawing/2014/main" id="{D148DFA8-6E6C-434F-AAA6-DC7546CF9AFD}"/>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247" name="AutoShape 266" descr="+">
          <a:extLst>
            <a:ext uri="{FF2B5EF4-FFF2-40B4-BE49-F238E27FC236}">
              <a16:creationId xmlns:a16="http://schemas.microsoft.com/office/drawing/2014/main" id="{A239D028-B4CD-4837-A4D8-F9F3F31CBE37}"/>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248" name="AutoShape 267" descr="+">
          <a:extLst>
            <a:ext uri="{FF2B5EF4-FFF2-40B4-BE49-F238E27FC236}">
              <a16:creationId xmlns:a16="http://schemas.microsoft.com/office/drawing/2014/main" id="{9EAE9E6B-04FF-4878-A2C6-6E7587FF028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9" name="AutoShape 268" descr="+">
          <a:extLst>
            <a:ext uri="{FF2B5EF4-FFF2-40B4-BE49-F238E27FC236}">
              <a16:creationId xmlns:a16="http://schemas.microsoft.com/office/drawing/2014/main" id="{D59BB3B9-58D7-4381-8C96-2EAF269C7505}"/>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0" name="AutoShape 269" descr="+">
          <a:extLst>
            <a:ext uri="{FF2B5EF4-FFF2-40B4-BE49-F238E27FC236}">
              <a16:creationId xmlns:a16="http://schemas.microsoft.com/office/drawing/2014/main" id="{7B31A7A9-55FB-439A-8B4F-F5A30D0BC94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1" name="AutoShape 270" descr="+">
          <a:extLst>
            <a:ext uri="{FF2B5EF4-FFF2-40B4-BE49-F238E27FC236}">
              <a16:creationId xmlns:a16="http://schemas.microsoft.com/office/drawing/2014/main" id="{16931D8A-4FB5-4399-A7E4-A813D612CC39}"/>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252" name="AutoShape 271" descr="+">
          <a:extLst>
            <a:ext uri="{FF2B5EF4-FFF2-40B4-BE49-F238E27FC236}">
              <a16:creationId xmlns:a16="http://schemas.microsoft.com/office/drawing/2014/main" id="{E4C61156-67CA-4C4B-AC27-085C958AA6C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3" name="AutoShape 272" descr="+">
          <a:extLst>
            <a:ext uri="{FF2B5EF4-FFF2-40B4-BE49-F238E27FC236}">
              <a16:creationId xmlns:a16="http://schemas.microsoft.com/office/drawing/2014/main" id="{4E147C30-D6F0-4C03-9EB0-CBBF0E5FD53D}"/>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4" name="AutoShape 273" descr="+">
          <a:extLst>
            <a:ext uri="{FF2B5EF4-FFF2-40B4-BE49-F238E27FC236}">
              <a16:creationId xmlns:a16="http://schemas.microsoft.com/office/drawing/2014/main" id="{FC230C2E-BDC1-417D-9591-E573AD2DB44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5" name="AutoShape 274" descr="+">
          <a:extLst>
            <a:ext uri="{FF2B5EF4-FFF2-40B4-BE49-F238E27FC236}">
              <a16:creationId xmlns:a16="http://schemas.microsoft.com/office/drawing/2014/main" id="{158FBED5-58CD-4934-9C80-15F513D1CA4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185297</xdr:rowOff>
    </xdr:to>
    <xdr:sp macro="" textlink="">
      <xdr:nvSpPr>
        <xdr:cNvPr id="256" name="AutoShape 275" descr="+">
          <a:extLst>
            <a:ext uri="{FF2B5EF4-FFF2-40B4-BE49-F238E27FC236}">
              <a16:creationId xmlns:a16="http://schemas.microsoft.com/office/drawing/2014/main" id="{C9999F55-81F7-48B5-92B1-AFBC816FE69F}"/>
            </a:ext>
          </a:extLst>
        </xdr:cNvPr>
        <xdr:cNvSpPr>
          <a:spLocks noChangeAspect="1" noChangeArrowheads="1"/>
        </xdr:cNvSpPr>
      </xdr:nvSpPr>
      <xdr:spPr bwMode="auto">
        <a:xfrm>
          <a:off x="1885950" y="14363700"/>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7" name="AutoShape 276" descr="+">
          <a:extLst>
            <a:ext uri="{FF2B5EF4-FFF2-40B4-BE49-F238E27FC236}">
              <a16:creationId xmlns:a16="http://schemas.microsoft.com/office/drawing/2014/main" id="{C9075CF5-9717-4905-BB0F-59A2F078B023}"/>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58" name="AutoShape 277" descr="+">
          <a:extLst>
            <a:ext uri="{FF2B5EF4-FFF2-40B4-BE49-F238E27FC236}">
              <a16:creationId xmlns:a16="http://schemas.microsoft.com/office/drawing/2014/main" id="{4765583C-FB92-49DB-9500-ED0A0A9FEC4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59" name="AutoShape 278" descr="+">
          <a:extLst>
            <a:ext uri="{FF2B5EF4-FFF2-40B4-BE49-F238E27FC236}">
              <a16:creationId xmlns:a16="http://schemas.microsoft.com/office/drawing/2014/main" id="{C02BDEBC-A01F-4D9B-8491-E7D1580485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260" name="AutoShape 279" descr="+">
          <a:extLst>
            <a:ext uri="{FF2B5EF4-FFF2-40B4-BE49-F238E27FC236}">
              <a16:creationId xmlns:a16="http://schemas.microsoft.com/office/drawing/2014/main" id="{DBD42D21-87A9-487E-858F-77A099DA079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261" name="AutoShape 280" descr="+">
          <a:extLst>
            <a:ext uri="{FF2B5EF4-FFF2-40B4-BE49-F238E27FC236}">
              <a16:creationId xmlns:a16="http://schemas.microsoft.com/office/drawing/2014/main" id="{8DCE97D5-6EC4-4B22-96B4-6E65AE1FEDFC}"/>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62" name="AutoShape 281" descr="+">
          <a:extLst>
            <a:ext uri="{FF2B5EF4-FFF2-40B4-BE49-F238E27FC236}">
              <a16:creationId xmlns:a16="http://schemas.microsoft.com/office/drawing/2014/main" id="{F13156B9-E5B7-4E04-B6A9-295469557B0E}"/>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263" name="AutoShape 282" descr="+">
          <a:extLst>
            <a:ext uri="{FF2B5EF4-FFF2-40B4-BE49-F238E27FC236}">
              <a16:creationId xmlns:a16="http://schemas.microsoft.com/office/drawing/2014/main" id="{D5C22E89-8D9B-495E-8F75-10365BE91C19}"/>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4" name="AutoShape 283" descr="+">
          <a:extLst>
            <a:ext uri="{FF2B5EF4-FFF2-40B4-BE49-F238E27FC236}">
              <a16:creationId xmlns:a16="http://schemas.microsoft.com/office/drawing/2014/main" id="{5A3142E9-91E1-4723-93EC-42C1C79D682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5" name="AutoShape 284" descr="+">
          <a:extLst>
            <a:ext uri="{FF2B5EF4-FFF2-40B4-BE49-F238E27FC236}">
              <a16:creationId xmlns:a16="http://schemas.microsoft.com/office/drawing/2014/main" id="{8ADC155D-098B-4C34-B852-4E331D62D72C}"/>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266" name="AutoShape 285" descr="+">
          <a:extLst>
            <a:ext uri="{FF2B5EF4-FFF2-40B4-BE49-F238E27FC236}">
              <a16:creationId xmlns:a16="http://schemas.microsoft.com/office/drawing/2014/main" id="{B3524175-4C15-4BA9-8BD7-29ACABC096F4}"/>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267" name="AutoShape 286" descr="+">
          <a:extLst>
            <a:ext uri="{FF2B5EF4-FFF2-40B4-BE49-F238E27FC236}">
              <a16:creationId xmlns:a16="http://schemas.microsoft.com/office/drawing/2014/main" id="{8570227F-7039-437A-82DB-24BCEF676ABD}"/>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200707</xdr:rowOff>
    </xdr:to>
    <xdr:sp macro="" textlink="">
      <xdr:nvSpPr>
        <xdr:cNvPr id="268" name="AutoShape 287" descr="+">
          <a:extLst>
            <a:ext uri="{FF2B5EF4-FFF2-40B4-BE49-F238E27FC236}">
              <a16:creationId xmlns:a16="http://schemas.microsoft.com/office/drawing/2014/main" id="{897F7BF7-1165-4A81-A430-EF3FEBA33664}"/>
            </a:ext>
          </a:extLst>
        </xdr:cNvPr>
        <xdr:cNvSpPr>
          <a:spLocks noChangeAspect="1" noChangeArrowheads="1"/>
        </xdr:cNvSpPr>
      </xdr:nvSpPr>
      <xdr:spPr bwMode="auto">
        <a:xfrm>
          <a:off x="1885950" y="1436370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204107</xdr:rowOff>
    </xdr:to>
    <xdr:sp macro="" textlink="">
      <xdr:nvSpPr>
        <xdr:cNvPr id="269" name="AutoShape 288" descr="+">
          <a:extLst>
            <a:ext uri="{FF2B5EF4-FFF2-40B4-BE49-F238E27FC236}">
              <a16:creationId xmlns:a16="http://schemas.microsoft.com/office/drawing/2014/main" id="{D5B81712-8E3A-4373-BB20-69EE325B0E55}"/>
            </a:ext>
          </a:extLst>
        </xdr:cNvPr>
        <xdr:cNvSpPr>
          <a:spLocks noChangeAspect="1" noChangeArrowheads="1"/>
        </xdr:cNvSpPr>
      </xdr:nvSpPr>
      <xdr:spPr bwMode="auto">
        <a:xfrm>
          <a:off x="1885950" y="1436370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70" name="AutoShape 289" descr="+">
          <a:extLst>
            <a:ext uri="{FF2B5EF4-FFF2-40B4-BE49-F238E27FC236}">
              <a16:creationId xmlns:a16="http://schemas.microsoft.com/office/drawing/2014/main" id="{972E418C-B522-478D-8C24-9AE1D44CF3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1" name="AutoShape 290" descr="+">
          <a:extLst>
            <a:ext uri="{FF2B5EF4-FFF2-40B4-BE49-F238E27FC236}">
              <a16:creationId xmlns:a16="http://schemas.microsoft.com/office/drawing/2014/main" id="{2638DB25-5B3E-48D9-8536-ABAAFC2D20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72" name="AutoShape 291" descr="+">
          <a:extLst>
            <a:ext uri="{FF2B5EF4-FFF2-40B4-BE49-F238E27FC236}">
              <a16:creationId xmlns:a16="http://schemas.microsoft.com/office/drawing/2014/main" id="{6F6C4D78-6847-4F21-9185-2D41F4AA7C9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3" name="AutoShape 292" descr="+">
          <a:extLst>
            <a:ext uri="{FF2B5EF4-FFF2-40B4-BE49-F238E27FC236}">
              <a16:creationId xmlns:a16="http://schemas.microsoft.com/office/drawing/2014/main" id="{7E6968E6-6A42-441C-B49D-0D756139B58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74" name="AutoShape 293" descr="+">
          <a:extLst>
            <a:ext uri="{FF2B5EF4-FFF2-40B4-BE49-F238E27FC236}">
              <a16:creationId xmlns:a16="http://schemas.microsoft.com/office/drawing/2014/main" id="{5CCD8C9F-5D4E-4C3E-9CD5-AE02C3DBDC5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5" name="AutoShape 294" descr="+">
          <a:extLst>
            <a:ext uri="{FF2B5EF4-FFF2-40B4-BE49-F238E27FC236}">
              <a16:creationId xmlns:a16="http://schemas.microsoft.com/office/drawing/2014/main" id="{D400C023-6163-4012-B7AE-F7BCDB67BA7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97599</xdr:rowOff>
    </xdr:to>
    <xdr:sp macro="" textlink="">
      <xdr:nvSpPr>
        <xdr:cNvPr id="276" name="AutoShape 295" descr="+">
          <a:extLst>
            <a:ext uri="{FF2B5EF4-FFF2-40B4-BE49-F238E27FC236}">
              <a16:creationId xmlns:a16="http://schemas.microsoft.com/office/drawing/2014/main" id="{D988E7F7-0B86-42C5-BB68-EFE7E833DBA4}"/>
            </a:ext>
          </a:extLst>
        </xdr:cNvPr>
        <xdr:cNvSpPr>
          <a:spLocks noChangeAspect="1" noChangeArrowheads="1"/>
        </xdr:cNvSpPr>
      </xdr:nvSpPr>
      <xdr:spPr bwMode="auto">
        <a:xfrm>
          <a:off x="1885950" y="143637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77" name="AutoShape 296" descr="+">
          <a:extLst>
            <a:ext uri="{FF2B5EF4-FFF2-40B4-BE49-F238E27FC236}">
              <a16:creationId xmlns:a16="http://schemas.microsoft.com/office/drawing/2014/main" id="{025A30C9-8A20-4153-8E70-39E67B3B3DD1}"/>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98998</xdr:rowOff>
    </xdr:to>
    <xdr:sp macro="" textlink="">
      <xdr:nvSpPr>
        <xdr:cNvPr id="278" name="AutoShape 297" descr="+">
          <a:extLst>
            <a:ext uri="{FF2B5EF4-FFF2-40B4-BE49-F238E27FC236}">
              <a16:creationId xmlns:a16="http://schemas.microsoft.com/office/drawing/2014/main" id="{154573C4-569E-47C1-A2E3-6EF781331B5D}"/>
            </a:ext>
          </a:extLst>
        </xdr:cNvPr>
        <xdr:cNvSpPr>
          <a:spLocks noChangeAspect="1" noChangeArrowheads="1"/>
        </xdr:cNvSpPr>
      </xdr:nvSpPr>
      <xdr:spPr bwMode="auto">
        <a:xfrm>
          <a:off x="1885950" y="143637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9" name="AutoShape 298" descr="+">
          <a:extLst>
            <a:ext uri="{FF2B5EF4-FFF2-40B4-BE49-F238E27FC236}">
              <a16:creationId xmlns:a16="http://schemas.microsoft.com/office/drawing/2014/main" id="{1C7E1A84-07BF-493A-9FCB-F86B90DF28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13</xdr:row>
      <xdr:rowOff>0</xdr:rowOff>
    </xdr:from>
    <xdr:ext cx="304800" cy="166687"/>
    <xdr:sp macro="" textlink="">
      <xdr:nvSpPr>
        <xdr:cNvPr id="280" name="AutoShape 80" descr="+">
          <a:extLst>
            <a:ext uri="{FF2B5EF4-FFF2-40B4-BE49-F238E27FC236}">
              <a16:creationId xmlns:a16="http://schemas.microsoft.com/office/drawing/2014/main" id="{2460690B-EFD9-424B-AFCC-E8FED7C2DF04}"/>
            </a:ext>
          </a:extLst>
        </xdr:cNvPr>
        <xdr:cNvSpPr>
          <a:spLocks noChangeAspect="1" noChangeArrowheads="1"/>
        </xdr:cNvSpPr>
      </xdr:nvSpPr>
      <xdr:spPr bwMode="auto">
        <a:xfrm>
          <a:off x="1885950"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281" name="AutoShape 80" descr="+">
          <a:extLst>
            <a:ext uri="{FF2B5EF4-FFF2-40B4-BE49-F238E27FC236}">
              <a16:creationId xmlns:a16="http://schemas.microsoft.com/office/drawing/2014/main" id="{A17B50F5-F34F-4D1A-A956-5D321CB9B4E1}"/>
            </a:ext>
          </a:extLst>
        </xdr:cNvPr>
        <xdr:cNvSpPr>
          <a:spLocks noChangeAspect="1" noChangeArrowheads="1"/>
        </xdr:cNvSpPr>
      </xdr:nvSpPr>
      <xdr:spPr bwMode="auto">
        <a:xfrm>
          <a:off x="3382736"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286" name="AutoShape 4" descr="+">
          <a:extLst>
            <a:ext uri="{FF2B5EF4-FFF2-40B4-BE49-F238E27FC236}">
              <a16:creationId xmlns:a16="http://schemas.microsoft.com/office/drawing/2014/main" id="{ADA9691B-6907-4484-9394-B6CECEEF08E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287" name="AutoShape 5" descr="+">
          <a:extLst>
            <a:ext uri="{FF2B5EF4-FFF2-40B4-BE49-F238E27FC236}">
              <a16:creationId xmlns:a16="http://schemas.microsoft.com/office/drawing/2014/main" id="{3974AB13-94AB-4A8D-B8E3-D63D1E393AC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7"/>
    <xdr:sp macro="" textlink="">
      <xdr:nvSpPr>
        <xdr:cNvPr id="288" name="AutoShape 6" descr="+">
          <a:extLst>
            <a:ext uri="{FF2B5EF4-FFF2-40B4-BE49-F238E27FC236}">
              <a16:creationId xmlns:a16="http://schemas.microsoft.com/office/drawing/2014/main" id="{81F26839-F8AE-41BE-8AE3-0B55898FFB67}"/>
            </a:ext>
          </a:extLst>
        </xdr:cNvPr>
        <xdr:cNvSpPr>
          <a:spLocks noChangeAspect="1" noChangeArrowheads="1"/>
        </xdr:cNvSpPr>
      </xdr:nvSpPr>
      <xdr:spPr bwMode="auto">
        <a:xfrm>
          <a:off x="1885950" y="2695575"/>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4665"/>
    <xdr:sp macro="" textlink="">
      <xdr:nvSpPr>
        <xdr:cNvPr id="289" name="AutoShape 7" descr="+">
          <a:extLst>
            <a:ext uri="{FF2B5EF4-FFF2-40B4-BE49-F238E27FC236}">
              <a16:creationId xmlns:a16="http://schemas.microsoft.com/office/drawing/2014/main" id="{DA2886FC-F926-445C-829D-B18048D9363D}"/>
            </a:ext>
          </a:extLst>
        </xdr:cNvPr>
        <xdr:cNvSpPr>
          <a:spLocks noChangeAspect="1" noChangeArrowheads="1"/>
        </xdr:cNvSpPr>
      </xdr:nvSpPr>
      <xdr:spPr bwMode="auto">
        <a:xfrm>
          <a:off x="1885950" y="2695575"/>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0" name="AutoShape 8" descr="+">
          <a:extLst>
            <a:ext uri="{FF2B5EF4-FFF2-40B4-BE49-F238E27FC236}">
              <a16:creationId xmlns:a16="http://schemas.microsoft.com/office/drawing/2014/main" id="{5605B510-7BE5-4CC5-847B-088995FA334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1" name="AutoShape 9" descr="+">
          <a:extLst>
            <a:ext uri="{FF2B5EF4-FFF2-40B4-BE49-F238E27FC236}">
              <a16:creationId xmlns:a16="http://schemas.microsoft.com/office/drawing/2014/main" id="{B9C8C507-D571-4FCB-AE50-6F12C1AD1521}"/>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2" name="AutoShape 10" descr="+">
          <a:extLst>
            <a:ext uri="{FF2B5EF4-FFF2-40B4-BE49-F238E27FC236}">
              <a16:creationId xmlns:a16="http://schemas.microsoft.com/office/drawing/2014/main" id="{D7AA8823-6EBE-45CD-8C85-16296CBE867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2180"/>
    <xdr:sp macro="" textlink="">
      <xdr:nvSpPr>
        <xdr:cNvPr id="293" name="AutoShape 11" descr="+">
          <a:extLst>
            <a:ext uri="{FF2B5EF4-FFF2-40B4-BE49-F238E27FC236}">
              <a16:creationId xmlns:a16="http://schemas.microsoft.com/office/drawing/2014/main" id="{6A55282E-D5E8-4571-9163-C5F949CEEFAE}"/>
            </a:ext>
          </a:extLst>
        </xdr:cNvPr>
        <xdr:cNvSpPr>
          <a:spLocks noChangeAspect="1" noChangeArrowheads="1"/>
        </xdr:cNvSpPr>
      </xdr:nvSpPr>
      <xdr:spPr bwMode="auto">
        <a:xfrm>
          <a:off x="1885950" y="2695575"/>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0548"/>
    <xdr:sp macro="" textlink="">
      <xdr:nvSpPr>
        <xdr:cNvPr id="294" name="AutoShape 12" descr="+">
          <a:extLst>
            <a:ext uri="{FF2B5EF4-FFF2-40B4-BE49-F238E27FC236}">
              <a16:creationId xmlns:a16="http://schemas.microsoft.com/office/drawing/2014/main" id="{5BE43840-372F-40E3-8B95-32EE371394E3}"/>
            </a:ext>
          </a:extLst>
        </xdr:cNvPr>
        <xdr:cNvSpPr>
          <a:spLocks noChangeAspect="1" noChangeArrowheads="1"/>
        </xdr:cNvSpPr>
      </xdr:nvSpPr>
      <xdr:spPr bwMode="auto">
        <a:xfrm>
          <a:off x="1885950" y="2695575"/>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295" name="AutoShape 13" descr="+">
          <a:extLst>
            <a:ext uri="{FF2B5EF4-FFF2-40B4-BE49-F238E27FC236}">
              <a16:creationId xmlns:a16="http://schemas.microsoft.com/office/drawing/2014/main" id="{2AA86D11-79B1-429E-AE61-349DDC77D0A5}"/>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6" name="AutoShape 14" descr="+">
          <a:extLst>
            <a:ext uri="{FF2B5EF4-FFF2-40B4-BE49-F238E27FC236}">
              <a16:creationId xmlns:a16="http://schemas.microsoft.com/office/drawing/2014/main" id="{66DEEC65-2208-46D5-98EC-5B0E04500EB1}"/>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7" name="AutoShape 15" descr="+">
          <a:extLst>
            <a:ext uri="{FF2B5EF4-FFF2-40B4-BE49-F238E27FC236}">
              <a16:creationId xmlns:a16="http://schemas.microsoft.com/office/drawing/2014/main" id="{98559342-ACC7-4786-BFDD-92DE33AE3F03}"/>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901"/>
    <xdr:sp macro="" textlink="">
      <xdr:nvSpPr>
        <xdr:cNvPr id="298" name="AutoShape 16" descr="+">
          <a:extLst>
            <a:ext uri="{FF2B5EF4-FFF2-40B4-BE49-F238E27FC236}">
              <a16:creationId xmlns:a16="http://schemas.microsoft.com/office/drawing/2014/main" id="{8F296BD1-0669-4B2D-9C8B-74EE0A2CBC81}"/>
            </a:ext>
          </a:extLst>
        </xdr:cNvPr>
        <xdr:cNvSpPr>
          <a:spLocks noChangeAspect="1" noChangeArrowheads="1"/>
        </xdr:cNvSpPr>
      </xdr:nvSpPr>
      <xdr:spPr bwMode="auto">
        <a:xfrm>
          <a:off x="1885950" y="2695575"/>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3"/>
    <xdr:sp macro="" textlink="">
      <xdr:nvSpPr>
        <xdr:cNvPr id="299" name="AutoShape 17" descr="+">
          <a:extLst>
            <a:ext uri="{FF2B5EF4-FFF2-40B4-BE49-F238E27FC236}">
              <a16:creationId xmlns:a16="http://schemas.microsoft.com/office/drawing/2014/main" id="{B217A801-EFD3-4EED-BCFD-A3CB0D55A78E}"/>
            </a:ext>
          </a:extLst>
        </xdr:cNvPr>
        <xdr:cNvSpPr>
          <a:spLocks noChangeAspect="1" noChangeArrowheads="1"/>
        </xdr:cNvSpPr>
      </xdr:nvSpPr>
      <xdr:spPr bwMode="auto">
        <a:xfrm>
          <a:off x="1885950" y="2695575"/>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5"/>
    <xdr:sp macro="" textlink="">
      <xdr:nvSpPr>
        <xdr:cNvPr id="300" name="AutoShape 18" descr="+">
          <a:extLst>
            <a:ext uri="{FF2B5EF4-FFF2-40B4-BE49-F238E27FC236}">
              <a16:creationId xmlns:a16="http://schemas.microsoft.com/office/drawing/2014/main" id="{70AF4F13-49C5-4EF4-A2B3-4FCE9B17E601}"/>
            </a:ext>
          </a:extLst>
        </xdr:cNvPr>
        <xdr:cNvSpPr>
          <a:spLocks noChangeAspect="1" noChangeArrowheads="1"/>
        </xdr:cNvSpPr>
      </xdr:nvSpPr>
      <xdr:spPr bwMode="auto">
        <a:xfrm>
          <a:off x="1885950" y="2695575"/>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1" name="AutoShape 19" descr="+">
          <a:extLst>
            <a:ext uri="{FF2B5EF4-FFF2-40B4-BE49-F238E27FC236}">
              <a16:creationId xmlns:a16="http://schemas.microsoft.com/office/drawing/2014/main" id="{1B1FF877-43DA-4F7F-88A0-A35650EC8AE8}"/>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2"/>
    <xdr:sp macro="" textlink="">
      <xdr:nvSpPr>
        <xdr:cNvPr id="302" name="AutoShape 20" descr="+">
          <a:extLst>
            <a:ext uri="{FF2B5EF4-FFF2-40B4-BE49-F238E27FC236}">
              <a16:creationId xmlns:a16="http://schemas.microsoft.com/office/drawing/2014/main" id="{615B8919-F4C9-4EBD-B77C-B9F84E2A81C3}"/>
            </a:ext>
          </a:extLst>
        </xdr:cNvPr>
        <xdr:cNvSpPr>
          <a:spLocks noChangeAspect="1" noChangeArrowheads="1"/>
        </xdr:cNvSpPr>
      </xdr:nvSpPr>
      <xdr:spPr bwMode="auto">
        <a:xfrm>
          <a:off x="1885950" y="2695575"/>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2"/>
    <xdr:sp macro="" textlink="">
      <xdr:nvSpPr>
        <xdr:cNvPr id="303" name="AutoShape 21" descr="+">
          <a:extLst>
            <a:ext uri="{FF2B5EF4-FFF2-40B4-BE49-F238E27FC236}">
              <a16:creationId xmlns:a16="http://schemas.microsoft.com/office/drawing/2014/main" id="{C9CCA724-EA89-497D-A40A-08E3828E7086}"/>
            </a:ext>
          </a:extLst>
        </xdr:cNvPr>
        <xdr:cNvSpPr>
          <a:spLocks noChangeAspect="1" noChangeArrowheads="1"/>
        </xdr:cNvSpPr>
      </xdr:nvSpPr>
      <xdr:spPr bwMode="auto">
        <a:xfrm>
          <a:off x="1885950" y="2695575"/>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04" name="AutoShape 22" descr="+">
          <a:extLst>
            <a:ext uri="{FF2B5EF4-FFF2-40B4-BE49-F238E27FC236}">
              <a16:creationId xmlns:a16="http://schemas.microsoft.com/office/drawing/2014/main" id="{1FD0088D-2D6F-4718-B09A-4C38EE2C3BAD}"/>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1"/>
    <xdr:sp macro="" textlink="">
      <xdr:nvSpPr>
        <xdr:cNvPr id="305" name="AutoShape 23" descr="+">
          <a:extLst>
            <a:ext uri="{FF2B5EF4-FFF2-40B4-BE49-F238E27FC236}">
              <a16:creationId xmlns:a16="http://schemas.microsoft.com/office/drawing/2014/main" id="{BE1EA1AF-690A-49DA-AEC6-2B4AA289E67A}"/>
            </a:ext>
          </a:extLst>
        </xdr:cNvPr>
        <xdr:cNvSpPr>
          <a:spLocks noChangeAspect="1" noChangeArrowheads="1"/>
        </xdr:cNvSpPr>
      </xdr:nvSpPr>
      <xdr:spPr bwMode="auto">
        <a:xfrm>
          <a:off x="1885950" y="2695575"/>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8584"/>
    <xdr:sp macro="" textlink="">
      <xdr:nvSpPr>
        <xdr:cNvPr id="306" name="AutoShape 24" descr="+">
          <a:extLst>
            <a:ext uri="{FF2B5EF4-FFF2-40B4-BE49-F238E27FC236}">
              <a16:creationId xmlns:a16="http://schemas.microsoft.com/office/drawing/2014/main" id="{097818FB-4B49-426E-8AEB-E6BC0C675F90}"/>
            </a:ext>
          </a:extLst>
        </xdr:cNvPr>
        <xdr:cNvSpPr>
          <a:spLocks noChangeAspect="1" noChangeArrowheads="1"/>
        </xdr:cNvSpPr>
      </xdr:nvSpPr>
      <xdr:spPr bwMode="auto">
        <a:xfrm>
          <a:off x="1885950" y="2695575"/>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7" name="AutoShape 25" descr="+">
          <a:extLst>
            <a:ext uri="{FF2B5EF4-FFF2-40B4-BE49-F238E27FC236}">
              <a16:creationId xmlns:a16="http://schemas.microsoft.com/office/drawing/2014/main" id="{AE90C56B-9AF3-4100-AAE1-21161DFEBFC8}"/>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8" name="AutoShape 26" descr="+">
          <a:extLst>
            <a:ext uri="{FF2B5EF4-FFF2-40B4-BE49-F238E27FC236}">
              <a16:creationId xmlns:a16="http://schemas.microsoft.com/office/drawing/2014/main" id="{1BE2BCC6-ACDC-44F6-9DC4-9AC04A879007}"/>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9" name="AutoShape 27" descr="+">
          <a:extLst>
            <a:ext uri="{FF2B5EF4-FFF2-40B4-BE49-F238E27FC236}">
              <a16:creationId xmlns:a16="http://schemas.microsoft.com/office/drawing/2014/main" id="{313A0E8E-619E-4737-94EA-86FE65DDA531}"/>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10" name="AutoShape 28" descr="+">
          <a:extLst>
            <a:ext uri="{FF2B5EF4-FFF2-40B4-BE49-F238E27FC236}">
              <a16:creationId xmlns:a16="http://schemas.microsoft.com/office/drawing/2014/main" id="{64FBFB58-92D7-4AB7-A996-9826A4DFA5FA}"/>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11"/>
    <xdr:sp macro="" textlink="">
      <xdr:nvSpPr>
        <xdr:cNvPr id="311" name="AutoShape 29" descr="+">
          <a:extLst>
            <a:ext uri="{FF2B5EF4-FFF2-40B4-BE49-F238E27FC236}">
              <a16:creationId xmlns:a16="http://schemas.microsoft.com/office/drawing/2014/main" id="{6803D026-FABA-48F6-8510-58B4C19A63EA}"/>
            </a:ext>
          </a:extLst>
        </xdr:cNvPr>
        <xdr:cNvSpPr>
          <a:spLocks noChangeAspect="1" noChangeArrowheads="1"/>
        </xdr:cNvSpPr>
      </xdr:nvSpPr>
      <xdr:spPr bwMode="auto">
        <a:xfrm>
          <a:off x="1885950" y="2695575"/>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2" name="AutoShape 30" descr="+">
          <a:extLst>
            <a:ext uri="{FF2B5EF4-FFF2-40B4-BE49-F238E27FC236}">
              <a16:creationId xmlns:a16="http://schemas.microsoft.com/office/drawing/2014/main" id="{11CC836C-80B7-471E-86E8-C6FE13CBE7F8}"/>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3" name="AutoShape 31" descr="+">
          <a:extLst>
            <a:ext uri="{FF2B5EF4-FFF2-40B4-BE49-F238E27FC236}">
              <a16:creationId xmlns:a16="http://schemas.microsoft.com/office/drawing/2014/main" id="{33F82BDE-6376-41BD-9BAB-580C5EE92A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14" name="AutoShape 32" descr="+">
          <a:extLst>
            <a:ext uri="{FF2B5EF4-FFF2-40B4-BE49-F238E27FC236}">
              <a16:creationId xmlns:a16="http://schemas.microsoft.com/office/drawing/2014/main" id="{FAF5C30C-E779-4B6D-AF24-092A5CF4994E}"/>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15" name="AutoShape 33" descr="+">
          <a:extLst>
            <a:ext uri="{FF2B5EF4-FFF2-40B4-BE49-F238E27FC236}">
              <a16:creationId xmlns:a16="http://schemas.microsoft.com/office/drawing/2014/main" id="{F6F27BEE-E310-4815-B3F2-BACE9161C213}"/>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16" name="AutoShape 34" descr="+">
          <a:extLst>
            <a:ext uri="{FF2B5EF4-FFF2-40B4-BE49-F238E27FC236}">
              <a16:creationId xmlns:a16="http://schemas.microsoft.com/office/drawing/2014/main" id="{35D8CE74-C46C-4377-B4E9-37E3560E0508}"/>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7" name="AutoShape 52" descr="+">
          <a:extLst>
            <a:ext uri="{FF2B5EF4-FFF2-40B4-BE49-F238E27FC236}">
              <a16:creationId xmlns:a16="http://schemas.microsoft.com/office/drawing/2014/main" id="{67EB8574-219B-4F20-8446-75EB0CBCB0E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8" name="AutoShape 53" descr="+">
          <a:extLst>
            <a:ext uri="{FF2B5EF4-FFF2-40B4-BE49-F238E27FC236}">
              <a16:creationId xmlns:a16="http://schemas.microsoft.com/office/drawing/2014/main" id="{4E32CCEE-09C1-4435-A0B1-CFD416046E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319" name="AutoShape 54" descr="+">
          <a:extLst>
            <a:ext uri="{FF2B5EF4-FFF2-40B4-BE49-F238E27FC236}">
              <a16:creationId xmlns:a16="http://schemas.microsoft.com/office/drawing/2014/main" id="{CF71B1EE-2051-4A04-9B93-3AF5B5DDCA6C}"/>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20" name="AutoShape 55" descr="+">
          <a:extLst>
            <a:ext uri="{FF2B5EF4-FFF2-40B4-BE49-F238E27FC236}">
              <a16:creationId xmlns:a16="http://schemas.microsoft.com/office/drawing/2014/main" id="{5C744ECB-5D45-4734-B67A-294460259BF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1" name="AutoShape 56" descr="+">
          <a:extLst>
            <a:ext uri="{FF2B5EF4-FFF2-40B4-BE49-F238E27FC236}">
              <a16:creationId xmlns:a16="http://schemas.microsoft.com/office/drawing/2014/main" id="{D5A0EEF4-F985-4B3C-A8F8-3788F9E09920}"/>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22" name="AutoShape 57" descr="+">
          <a:extLst>
            <a:ext uri="{FF2B5EF4-FFF2-40B4-BE49-F238E27FC236}">
              <a16:creationId xmlns:a16="http://schemas.microsoft.com/office/drawing/2014/main" id="{0B928C3E-BFB6-400C-8F8C-DBCD15C3D11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3" name="AutoShape 58" descr="+">
          <a:extLst>
            <a:ext uri="{FF2B5EF4-FFF2-40B4-BE49-F238E27FC236}">
              <a16:creationId xmlns:a16="http://schemas.microsoft.com/office/drawing/2014/main" id="{BD848346-7922-44F6-AA6E-86832470E61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324" name="AutoShape 59" descr="+">
          <a:extLst>
            <a:ext uri="{FF2B5EF4-FFF2-40B4-BE49-F238E27FC236}">
              <a16:creationId xmlns:a16="http://schemas.microsoft.com/office/drawing/2014/main" id="{DE1DDB2F-4BEA-4E36-BE08-04FB796922D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325" name="AutoShape 60" descr="+">
          <a:extLst>
            <a:ext uri="{FF2B5EF4-FFF2-40B4-BE49-F238E27FC236}">
              <a16:creationId xmlns:a16="http://schemas.microsoft.com/office/drawing/2014/main" id="{26D2424B-FB4E-4814-8949-3CC19A4283AD}"/>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26" name="AutoShape 61" descr="+">
          <a:extLst>
            <a:ext uri="{FF2B5EF4-FFF2-40B4-BE49-F238E27FC236}">
              <a16:creationId xmlns:a16="http://schemas.microsoft.com/office/drawing/2014/main" id="{CAD482E6-2516-4799-BC75-E59EF146BC3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7" name="AutoShape 62" descr="+">
          <a:extLst>
            <a:ext uri="{FF2B5EF4-FFF2-40B4-BE49-F238E27FC236}">
              <a16:creationId xmlns:a16="http://schemas.microsoft.com/office/drawing/2014/main" id="{663C2A07-9E4A-4142-B96F-A4E703E7A5A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8" name="AutoShape 63" descr="+">
          <a:extLst>
            <a:ext uri="{FF2B5EF4-FFF2-40B4-BE49-F238E27FC236}">
              <a16:creationId xmlns:a16="http://schemas.microsoft.com/office/drawing/2014/main" id="{EF65175A-F8EB-4F8E-903C-733FE4C496B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9" name="AutoShape 64" descr="+">
          <a:extLst>
            <a:ext uri="{FF2B5EF4-FFF2-40B4-BE49-F238E27FC236}">
              <a16:creationId xmlns:a16="http://schemas.microsoft.com/office/drawing/2014/main" id="{E66E5A5A-1B9B-413B-AF72-A06A900B99B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330" name="AutoShape 65" descr="+">
          <a:extLst>
            <a:ext uri="{FF2B5EF4-FFF2-40B4-BE49-F238E27FC236}">
              <a16:creationId xmlns:a16="http://schemas.microsoft.com/office/drawing/2014/main" id="{E59C9B66-791F-44CC-AE1F-5FA7DC36807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1" name="AutoShape 66" descr="+">
          <a:extLst>
            <a:ext uri="{FF2B5EF4-FFF2-40B4-BE49-F238E27FC236}">
              <a16:creationId xmlns:a16="http://schemas.microsoft.com/office/drawing/2014/main" id="{4308D8C9-301E-4F86-8C71-562C56E9DB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2" name="AutoShape 67" descr="+">
          <a:extLst>
            <a:ext uri="{FF2B5EF4-FFF2-40B4-BE49-F238E27FC236}">
              <a16:creationId xmlns:a16="http://schemas.microsoft.com/office/drawing/2014/main" id="{EFD5FDAC-439C-440F-89EC-2AD8089FD7B4}"/>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3" name="AutoShape 68" descr="+">
          <a:extLst>
            <a:ext uri="{FF2B5EF4-FFF2-40B4-BE49-F238E27FC236}">
              <a16:creationId xmlns:a16="http://schemas.microsoft.com/office/drawing/2014/main" id="{87F1DF96-E8BA-401D-9B64-32A348617663}"/>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34" name="AutoShape 69" descr="+">
          <a:extLst>
            <a:ext uri="{FF2B5EF4-FFF2-40B4-BE49-F238E27FC236}">
              <a16:creationId xmlns:a16="http://schemas.microsoft.com/office/drawing/2014/main" id="{AA1DBF0E-2865-4E84-B083-DF36FA8BF4E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35" name="AutoShape 70" descr="+">
          <a:extLst>
            <a:ext uri="{FF2B5EF4-FFF2-40B4-BE49-F238E27FC236}">
              <a16:creationId xmlns:a16="http://schemas.microsoft.com/office/drawing/2014/main" id="{7C5E6411-94F7-4E1E-9460-3E8C4A12A24A}"/>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336" name="AutoShape 71" descr="+">
          <a:extLst>
            <a:ext uri="{FF2B5EF4-FFF2-40B4-BE49-F238E27FC236}">
              <a16:creationId xmlns:a16="http://schemas.microsoft.com/office/drawing/2014/main" id="{B494484C-B631-4967-BE1F-476ADC89A00A}"/>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37" name="AutoShape 72" descr="+">
          <a:extLst>
            <a:ext uri="{FF2B5EF4-FFF2-40B4-BE49-F238E27FC236}">
              <a16:creationId xmlns:a16="http://schemas.microsoft.com/office/drawing/2014/main" id="{FD4E3FE5-229D-445D-843C-E658F859815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8" name="AutoShape 73" descr="+">
          <a:extLst>
            <a:ext uri="{FF2B5EF4-FFF2-40B4-BE49-F238E27FC236}">
              <a16:creationId xmlns:a16="http://schemas.microsoft.com/office/drawing/2014/main" id="{9A4C9C3F-A6A8-49C3-9739-FEE3C96237E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39" name="AutoShape 74" descr="+">
          <a:extLst>
            <a:ext uri="{FF2B5EF4-FFF2-40B4-BE49-F238E27FC236}">
              <a16:creationId xmlns:a16="http://schemas.microsoft.com/office/drawing/2014/main" id="{674177CD-CD5F-4CFB-9249-39808B257E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40" name="AutoShape 75" descr="+">
          <a:extLst>
            <a:ext uri="{FF2B5EF4-FFF2-40B4-BE49-F238E27FC236}">
              <a16:creationId xmlns:a16="http://schemas.microsoft.com/office/drawing/2014/main" id="{38A265C0-2151-49BE-9363-D080B4AA0DA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1" name="AutoShape 76" descr="+">
          <a:extLst>
            <a:ext uri="{FF2B5EF4-FFF2-40B4-BE49-F238E27FC236}">
              <a16:creationId xmlns:a16="http://schemas.microsoft.com/office/drawing/2014/main" id="{09206491-1617-4860-B33A-28DD811B4BA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42" name="AutoShape 77" descr="+">
          <a:extLst>
            <a:ext uri="{FF2B5EF4-FFF2-40B4-BE49-F238E27FC236}">
              <a16:creationId xmlns:a16="http://schemas.microsoft.com/office/drawing/2014/main" id="{C43986AA-70B1-4930-895F-B76C7A09078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3" name="AutoShape 78" descr="+">
          <a:extLst>
            <a:ext uri="{FF2B5EF4-FFF2-40B4-BE49-F238E27FC236}">
              <a16:creationId xmlns:a16="http://schemas.microsoft.com/office/drawing/2014/main" id="{73FE6CDD-57A6-4E53-A3E6-3EADB671327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9"/>
    <xdr:sp macro="" textlink="">
      <xdr:nvSpPr>
        <xdr:cNvPr id="344" name="AutoShape 79" descr="+">
          <a:extLst>
            <a:ext uri="{FF2B5EF4-FFF2-40B4-BE49-F238E27FC236}">
              <a16:creationId xmlns:a16="http://schemas.microsoft.com/office/drawing/2014/main" id="{E4C0776C-48C3-46F8-A565-2061EF05E350}"/>
            </a:ext>
          </a:extLst>
        </xdr:cNvPr>
        <xdr:cNvSpPr>
          <a:spLocks noChangeAspect="1" noChangeArrowheads="1"/>
        </xdr:cNvSpPr>
      </xdr:nvSpPr>
      <xdr:spPr bwMode="auto">
        <a:xfrm>
          <a:off x="1885950" y="2695575"/>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5" name="AutoShape 80" descr="+">
          <a:extLst>
            <a:ext uri="{FF2B5EF4-FFF2-40B4-BE49-F238E27FC236}">
              <a16:creationId xmlns:a16="http://schemas.microsoft.com/office/drawing/2014/main" id="{04E7B708-C8F5-475D-B4BF-66603E214055}"/>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655"/>
    <xdr:sp macro="" textlink="">
      <xdr:nvSpPr>
        <xdr:cNvPr id="346" name="AutoShape 81" descr="+">
          <a:extLst>
            <a:ext uri="{FF2B5EF4-FFF2-40B4-BE49-F238E27FC236}">
              <a16:creationId xmlns:a16="http://schemas.microsoft.com/office/drawing/2014/main" id="{F7883AFD-5BEE-48D3-A1FA-47D931DD82D9}"/>
            </a:ext>
          </a:extLst>
        </xdr:cNvPr>
        <xdr:cNvSpPr>
          <a:spLocks noChangeAspect="1" noChangeArrowheads="1"/>
        </xdr:cNvSpPr>
      </xdr:nvSpPr>
      <xdr:spPr bwMode="auto">
        <a:xfrm>
          <a:off x="1885950" y="2695575"/>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7" name="AutoShape 82" descr="+">
          <a:extLst>
            <a:ext uri="{FF2B5EF4-FFF2-40B4-BE49-F238E27FC236}">
              <a16:creationId xmlns:a16="http://schemas.microsoft.com/office/drawing/2014/main" id="{D8021EF5-FD4C-48D8-BEAD-CBB141CE7AAD}"/>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1"/>
    <xdr:sp macro="" textlink="">
      <xdr:nvSpPr>
        <xdr:cNvPr id="348" name="AutoShape 83" descr="+">
          <a:extLst>
            <a:ext uri="{FF2B5EF4-FFF2-40B4-BE49-F238E27FC236}">
              <a16:creationId xmlns:a16="http://schemas.microsoft.com/office/drawing/2014/main" id="{651D906A-6133-4B0A-97D4-8E1494B860EA}"/>
            </a:ext>
          </a:extLst>
        </xdr:cNvPr>
        <xdr:cNvSpPr>
          <a:spLocks noChangeAspect="1" noChangeArrowheads="1"/>
        </xdr:cNvSpPr>
      </xdr:nvSpPr>
      <xdr:spPr bwMode="auto">
        <a:xfrm>
          <a:off x="1885950" y="2695575"/>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49" name="AutoShape 84" descr="+">
          <a:extLst>
            <a:ext uri="{FF2B5EF4-FFF2-40B4-BE49-F238E27FC236}">
              <a16:creationId xmlns:a16="http://schemas.microsoft.com/office/drawing/2014/main" id="{753A6372-4611-438A-86A9-8FFF450799B6}"/>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8"/>
    <xdr:sp macro="" textlink="">
      <xdr:nvSpPr>
        <xdr:cNvPr id="350" name="AutoShape 85" descr="+">
          <a:extLst>
            <a:ext uri="{FF2B5EF4-FFF2-40B4-BE49-F238E27FC236}">
              <a16:creationId xmlns:a16="http://schemas.microsoft.com/office/drawing/2014/main" id="{002A0FCF-EBFC-484B-9018-994AF8E92F4B}"/>
            </a:ext>
          </a:extLst>
        </xdr:cNvPr>
        <xdr:cNvSpPr>
          <a:spLocks noChangeAspect="1" noChangeArrowheads="1"/>
        </xdr:cNvSpPr>
      </xdr:nvSpPr>
      <xdr:spPr bwMode="auto">
        <a:xfrm>
          <a:off x="1885950" y="2695575"/>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51" name="AutoShape 86" descr="+">
          <a:extLst>
            <a:ext uri="{FF2B5EF4-FFF2-40B4-BE49-F238E27FC236}">
              <a16:creationId xmlns:a16="http://schemas.microsoft.com/office/drawing/2014/main" id="{E09CA149-A122-4D62-99DC-34DC0AD8E7AF}"/>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2" name="AutoShape 87" descr="+">
          <a:extLst>
            <a:ext uri="{FF2B5EF4-FFF2-40B4-BE49-F238E27FC236}">
              <a16:creationId xmlns:a16="http://schemas.microsoft.com/office/drawing/2014/main" id="{B9A3B396-764A-4D0E-9A65-DAB998B7DD6F}"/>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3" name="AutoShape 88" descr="+">
          <a:extLst>
            <a:ext uri="{FF2B5EF4-FFF2-40B4-BE49-F238E27FC236}">
              <a16:creationId xmlns:a16="http://schemas.microsoft.com/office/drawing/2014/main" id="{EE237187-09A4-4DD1-96BC-C5AA60B3125D}"/>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4" name="AutoShape 89" descr="+">
          <a:extLst>
            <a:ext uri="{FF2B5EF4-FFF2-40B4-BE49-F238E27FC236}">
              <a16:creationId xmlns:a16="http://schemas.microsoft.com/office/drawing/2014/main" id="{F663E275-2A33-4598-AF70-120486538CB0}"/>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7"/>
    <xdr:sp macro="" textlink="">
      <xdr:nvSpPr>
        <xdr:cNvPr id="355" name="AutoShape 90" descr="+">
          <a:extLst>
            <a:ext uri="{FF2B5EF4-FFF2-40B4-BE49-F238E27FC236}">
              <a16:creationId xmlns:a16="http://schemas.microsoft.com/office/drawing/2014/main" id="{87E04083-1CEE-4693-B980-4B4AF136B75E}"/>
            </a:ext>
          </a:extLst>
        </xdr:cNvPr>
        <xdr:cNvSpPr>
          <a:spLocks noChangeAspect="1" noChangeArrowheads="1"/>
        </xdr:cNvSpPr>
      </xdr:nvSpPr>
      <xdr:spPr bwMode="auto">
        <a:xfrm>
          <a:off x="1885950" y="2695575"/>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7044"/>
    <xdr:sp macro="" textlink="">
      <xdr:nvSpPr>
        <xdr:cNvPr id="356" name="AutoShape 91" descr="+">
          <a:extLst>
            <a:ext uri="{FF2B5EF4-FFF2-40B4-BE49-F238E27FC236}">
              <a16:creationId xmlns:a16="http://schemas.microsoft.com/office/drawing/2014/main" id="{DD2FB71B-2254-4F84-8403-8B6B2739041F}"/>
            </a:ext>
          </a:extLst>
        </xdr:cNvPr>
        <xdr:cNvSpPr>
          <a:spLocks noChangeAspect="1" noChangeArrowheads="1"/>
        </xdr:cNvSpPr>
      </xdr:nvSpPr>
      <xdr:spPr bwMode="auto">
        <a:xfrm>
          <a:off x="1885950" y="2695575"/>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450"/>
    <xdr:sp macro="" textlink="">
      <xdr:nvSpPr>
        <xdr:cNvPr id="357" name="AutoShape 92" descr="+">
          <a:extLst>
            <a:ext uri="{FF2B5EF4-FFF2-40B4-BE49-F238E27FC236}">
              <a16:creationId xmlns:a16="http://schemas.microsoft.com/office/drawing/2014/main" id="{3FBC3A17-E7EF-49EB-ADCF-D17C245314D3}"/>
            </a:ext>
          </a:extLst>
        </xdr:cNvPr>
        <xdr:cNvSpPr>
          <a:spLocks noChangeAspect="1" noChangeArrowheads="1"/>
        </xdr:cNvSpPr>
      </xdr:nvSpPr>
      <xdr:spPr bwMode="auto">
        <a:xfrm>
          <a:off x="1885950" y="2695575"/>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8" name="AutoShape 93" descr="+">
          <a:extLst>
            <a:ext uri="{FF2B5EF4-FFF2-40B4-BE49-F238E27FC236}">
              <a16:creationId xmlns:a16="http://schemas.microsoft.com/office/drawing/2014/main" id="{8206A730-0DCF-46B7-B546-EDAABC96B926}"/>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9" name="AutoShape 94" descr="+">
          <a:extLst>
            <a:ext uri="{FF2B5EF4-FFF2-40B4-BE49-F238E27FC236}">
              <a16:creationId xmlns:a16="http://schemas.microsoft.com/office/drawing/2014/main" id="{ACCFDE0A-24AE-4BF4-8F35-0AE89C8C2443}"/>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8"/>
    <xdr:sp macro="" textlink="">
      <xdr:nvSpPr>
        <xdr:cNvPr id="360" name="AutoShape 95" descr="+">
          <a:extLst>
            <a:ext uri="{FF2B5EF4-FFF2-40B4-BE49-F238E27FC236}">
              <a16:creationId xmlns:a16="http://schemas.microsoft.com/office/drawing/2014/main" id="{4474226C-57DF-4485-99B5-BFF86AF4D128}"/>
            </a:ext>
          </a:extLst>
        </xdr:cNvPr>
        <xdr:cNvSpPr>
          <a:spLocks noChangeAspect="1" noChangeArrowheads="1"/>
        </xdr:cNvSpPr>
      </xdr:nvSpPr>
      <xdr:spPr bwMode="auto">
        <a:xfrm>
          <a:off x="1885950" y="2695575"/>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61" name="AutoShape 96" descr="+">
          <a:extLst>
            <a:ext uri="{FF2B5EF4-FFF2-40B4-BE49-F238E27FC236}">
              <a16:creationId xmlns:a16="http://schemas.microsoft.com/office/drawing/2014/main" id="{B925556F-AED9-4131-AFE0-F9BEA6D117FA}"/>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62" name="AutoShape 97" descr="+">
          <a:extLst>
            <a:ext uri="{FF2B5EF4-FFF2-40B4-BE49-F238E27FC236}">
              <a16:creationId xmlns:a16="http://schemas.microsoft.com/office/drawing/2014/main" id="{5F3111ED-DF87-4796-814D-639C669A91F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63" name="AutoShape 98" descr="+">
          <a:extLst>
            <a:ext uri="{FF2B5EF4-FFF2-40B4-BE49-F238E27FC236}">
              <a16:creationId xmlns:a16="http://schemas.microsoft.com/office/drawing/2014/main" id="{08636D01-908F-41C4-A123-071A36523EC7}"/>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4" name="AutoShape 99" descr="+">
          <a:extLst>
            <a:ext uri="{FF2B5EF4-FFF2-40B4-BE49-F238E27FC236}">
              <a16:creationId xmlns:a16="http://schemas.microsoft.com/office/drawing/2014/main" id="{E244ABCF-371C-4333-9F87-A918B13F7386}"/>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365" name="AutoShape 100" descr="+">
          <a:extLst>
            <a:ext uri="{FF2B5EF4-FFF2-40B4-BE49-F238E27FC236}">
              <a16:creationId xmlns:a16="http://schemas.microsoft.com/office/drawing/2014/main" id="{16EA43DD-73D3-4C56-AF79-422905D5139A}"/>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66" name="AutoShape 101" descr="+">
          <a:extLst>
            <a:ext uri="{FF2B5EF4-FFF2-40B4-BE49-F238E27FC236}">
              <a16:creationId xmlns:a16="http://schemas.microsoft.com/office/drawing/2014/main" id="{AE1D327F-031E-4EA0-A850-38AC4A355D91}"/>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7" name="AutoShape 102" descr="+">
          <a:extLst>
            <a:ext uri="{FF2B5EF4-FFF2-40B4-BE49-F238E27FC236}">
              <a16:creationId xmlns:a16="http://schemas.microsoft.com/office/drawing/2014/main" id="{9234DEBC-DF40-4344-A8BB-C7C9E63695E0}"/>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8" name="AutoShape 103" descr="+">
          <a:extLst>
            <a:ext uri="{FF2B5EF4-FFF2-40B4-BE49-F238E27FC236}">
              <a16:creationId xmlns:a16="http://schemas.microsoft.com/office/drawing/2014/main" id="{F26E693B-19DF-44F1-982D-BC8E6748DD80}"/>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9" name="AutoShape 104" descr="+">
          <a:extLst>
            <a:ext uri="{FF2B5EF4-FFF2-40B4-BE49-F238E27FC236}">
              <a16:creationId xmlns:a16="http://schemas.microsoft.com/office/drawing/2014/main" id="{DBC38D45-35FA-4B5B-B793-30FE21E78DD8}"/>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133"/>
    <xdr:sp macro="" textlink="">
      <xdr:nvSpPr>
        <xdr:cNvPr id="370" name="AutoShape 105" descr="+">
          <a:extLst>
            <a:ext uri="{FF2B5EF4-FFF2-40B4-BE49-F238E27FC236}">
              <a16:creationId xmlns:a16="http://schemas.microsoft.com/office/drawing/2014/main" id="{FB36407F-36D6-402D-B32D-A825E1CDEDB4}"/>
            </a:ext>
          </a:extLst>
        </xdr:cNvPr>
        <xdr:cNvSpPr>
          <a:spLocks noChangeAspect="1" noChangeArrowheads="1"/>
        </xdr:cNvSpPr>
      </xdr:nvSpPr>
      <xdr:spPr bwMode="auto">
        <a:xfrm>
          <a:off x="1885950" y="2695575"/>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5"/>
    <xdr:sp macro="" textlink="">
      <xdr:nvSpPr>
        <xdr:cNvPr id="371" name="AutoShape 106" descr="+">
          <a:extLst>
            <a:ext uri="{FF2B5EF4-FFF2-40B4-BE49-F238E27FC236}">
              <a16:creationId xmlns:a16="http://schemas.microsoft.com/office/drawing/2014/main" id="{A5383DC8-066F-43AC-A401-2C948B3D2A27}"/>
            </a:ext>
          </a:extLst>
        </xdr:cNvPr>
        <xdr:cNvSpPr>
          <a:spLocks noChangeAspect="1" noChangeArrowheads="1"/>
        </xdr:cNvSpPr>
      </xdr:nvSpPr>
      <xdr:spPr bwMode="auto">
        <a:xfrm>
          <a:off x="1885950" y="2695575"/>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372" name="AutoShape 107" descr="+">
          <a:extLst>
            <a:ext uri="{FF2B5EF4-FFF2-40B4-BE49-F238E27FC236}">
              <a16:creationId xmlns:a16="http://schemas.microsoft.com/office/drawing/2014/main" id="{17D89461-B1F7-43CB-8451-DFC32BDAFF31}"/>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3" name="AutoShape 108" descr="+">
          <a:extLst>
            <a:ext uri="{FF2B5EF4-FFF2-40B4-BE49-F238E27FC236}">
              <a16:creationId xmlns:a16="http://schemas.microsoft.com/office/drawing/2014/main" id="{B1CF96E8-93F0-43EE-8F28-6C342DF1DE54}"/>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74" name="AutoShape 109" descr="+">
          <a:extLst>
            <a:ext uri="{FF2B5EF4-FFF2-40B4-BE49-F238E27FC236}">
              <a16:creationId xmlns:a16="http://schemas.microsoft.com/office/drawing/2014/main" id="{C516F9D9-2F50-4E27-BDE0-A83F6F6118BC}"/>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5" name="AutoShape 110" descr="+">
          <a:extLst>
            <a:ext uri="{FF2B5EF4-FFF2-40B4-BE49-F238E27FC236}">
              <a16:creationId xmlns:a16="http://schemas.microsoft.com/office/drawing/2014/main" id="{2E277342-C929-4281-AE12-08132068886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6" name="AutoShape 111" descr="+">
          <a:extLst>
            <a:ext uri="{FF2B5EF4-FFF2-40B4-BE49-F238E27FC236}">
              <a16:creationId xmlns:a16="http://schemas.microsoft.com/office/drawing/2014/main" id="{2E8E0D29-1944-4FF2-8331-F509CF8F9C8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77" name="AutoShape 112" descr="+">
          <a:extLst>
            <a:ext uri="{FF2B5EF4-FFF2-40B4-BE49-F238E27FC236}">
              <a16:creationId xmlns:a16="http://schemas.microsoft.com/office/drawing/2014/main" id="{A06D750A-32EB-4F17-BF84-8350019570A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58"/>
    <xdr:sp macro="" textlink="">
      <xdr:nvSpPr>
        <xdr:cNvPr id="378" name="AutoShape 113" descr="+">
          <a:extLst>
            <a:ext uri="{FF2B5EF4-FFF2-40B4-BE49-F238E27FC236}">
              <a16:creationId xmlns:a16="http://schemas.microsoft.com/office/drawing/2014/main" id="{DC516A91-5216-4AA2-B708-065F40EA543D}"/>
            </a:ext>
          </a:extLst>
        </xdr:cNvPr>
        <xdr:cNvSpPr>
          <a:spLocks noChangeAspect="1" noChangeArrowheads="1"/>
        </xdr:cNvSpPr>
      </xdr:nvSpPr>
      <xdr:spPr bwMode="auto">
        <a:xfrm>
          <a:off x="1885950" y="2695575"/>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9" name="AutoShape 114" descr="+">
          <a:extLst>
            <a:ext uri="{FF2B5EF4-FFF2-40B4-BE49-F238E27FC236}">
              <a16:creationId xmlns:a16="http://schemas.microsoft.com/office/drawing/2014/main" id="{3D74184D-EB96-4D9A-81EF-1681BAB3313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0" name="AutoShape 115" descr="+">
          <a:extLst>
            <a:ext uri="{FF2B5EF4-FFF2-40B4-BE49-F238E27FC236}">
              <a16:creationId xmlns:a16="http://schemas.microsoft.com/office/drawing/2014/main" id="{4FDB1C77-A079-4222-A029-F360B423B6D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1" name="AutoShape 116" descr="+">
          <a:extLst>
            <a:ext uri="{FF2B5EF4-FFF2-40B4-BE49-F238E27FC236}">
              <a16:creationId xmlns:a16="http://schemas.microsoft.com/office/drawing/2014/main" id="{916282E3-B1EE-4E78-9486-520904A2532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2" name="AutoShape 117" descr="+">
          <a:extLst>
            <a:ext uri="{FF2B5EF4-FFF2-40B4-BE49-F238E27FC236}">
              <a16:creationId xmlns:a16="http://schemas.microsoft.com/office/drawing/2014/main" id="{34E0A35B-4DD5-4126-8E90-952733F9A78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3" name="AutoShape 118" descr="+">
          <a:extLst>
            <a:ext uri="{FF2B5EF4-FFF2-40B4-BE49-F238E27FC236}">
              <a16:creationId xmlns:a16="http://schemas.microsoft.com/office/drawing/2014/main" id="{13BB17EA-84D4-446F-BCDC-8193522A0343}"/>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84" name="AutoShape 119" descr="+">
          <a:extLst>
            <a:ext uri="{FF2B5EF4-FFF2-40B4-BE49-F238E27FC236}">
              <a16:creationId xmlns:a16="http://schemas.microsoft.com/office/drawing/2014/main" id="{478CBBD4-4D90-49D8-B522-09615B129EE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85" name="AutoShape 120" descr="+">
          <a:extLst>
            <a:ext uri="{FF2B5EF4-FFF2-40B4-BE49-F238E27FC236}">
              <a16:creationId xmlns:a16="http://schemas.microsoft.com/office/drawing/2014/main" id="{E25991D2-B009-4BA9-85E8-98DBA5E5281F}"/>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86" name="AutoShape 121" descr="+">
          <a:extLst>
            <a:ext uri="{FF2B5EF4-FFF2-40B4-BE49-F238E27FC236}">
              <a16:creationId xmlns:a16="http://schemas.microsoft.com/office/drawing/2014/main" id="{C33A8382-40DE-474F-8B75-BCA2586BB83B}"/>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87" name="AutoShape 122" descr="+">
          <a:extLst>
            <a:ext uri="{FF2B5EF4-FFF2-40B4-BE49-F238E27FC236}">
              <a16:creationId xmlns:a16="http://schemas.microsoft.com/office/drawing/2014/main" id="{BE8B7BF5-0921-48E2-80D2-599910C2941D}"/>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88" name="AutoShape 123" descr="+">
          <a:extLst>
            <a:ext uri="{FF2B5EF4-FFF2-40B4-BE49-F238E27FC236}">
              <a16:creationId xmlns:a16="http://schemas.microsoft.com/office/drawing/2014/main" id="{0EB67BAA-2413-4112-AEF1-4A3AF2DCF13D}"/>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9" name="AutoShape 124" descr="+">
          <a:extLst>
            <a:ext uri="{FF2B5EF4-FFF2-40B4-BE49-F238E27FC236}">
              <a16:creationId xmlns:a16="http://schemas.microsoft.com/office/drawing/2014/main" id="{B045E605-21DD-4636-B3A9-B8854EBE98D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0" name="AutoShape 125" descr="+">
          <a:extLst>
            <a:ext uri="{FF2B5EF4-FFF2-40B4-BE49-F238E27FC236}">
              <a16:creationId xmlns:a16="http://schemas.microsoft.com/office/drawing/2014/main" id="{A5E8D8F9-B467-44CA-ADC1-CC240357C1C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91" name="AutoShape 126" descr="+">
          <a:extLst>
            <a:ext uri="{FF2B5EF4-FFF2-40B4-BE49-F238E27FC236}">
              <a16:creationId xmlns:a16="http://schemas.microsoft.com/office/drawing/2014/main" id="{4B3186EF-9C2D-4208-984F-3D00830DDB7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92" name="AutoShape 127" descr="+">
          <a:extLst>
            <a:ext uri="{FF2B5EF4-FFF2-40B4-BE49-F238E27FC236}">
              <a16:creationId xmlns:a16="http://schemas.microsoft.com/office/drawing/2014/main" id="{18DEA862-F2F2-4980-B413-81E00C4DF51E}"/>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9"/>
    <xdr:sp macro="" textlink="">
      <xdr:nvSpPr>
        <xdr:cNvPr id="393" name="AutoShape 128" descr="+">
          <a:extLst>
            <a:ext uri="{FF2B5EF4-FFF2-40B4-BE49-F238E27FC236}">
              <a16:creationId xmlns:a16="http://schemas.microsoft.com/office/drawing/2014/main" id="{EAC90C01-AAB0-4310-8279-4564D9CBE394}"/>
            </a:ext>
          </a:extLst>
        </xdr:cNvPr>
        <xdr:cNvSpPr>
          <a:spLocks noChangeAspect="1" noChangeArrowheads="1"/>
        </xdr:cNvSpPr>
      </xdr:nvSpPr>
      <xdr:spPr bwMode="auto">
        <a:xfrm>
          <a:off x="1885950" y="269557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94" name="AutoShape 129" descr="+">
          <a:extLst>
            <a:ext uri="{FF2B5EF4-FFF2-40B4-BE49-F238E27FC236}">
              <a16:creationId xmlns:a16="http://schemas.microsoft.com/office/drawing/2014/main" id="{D716E043-2C54-4D42-B8F4-3ADC84C3667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95" name="AutoShape 130" descr="+">
          <a:extLst>
            <a:ext uri="{FF2B5EF4-FFF2-40B4-BE49-F238E27FC236}">
              <a16:creationId xmlns:a16="http://schemas.microsoft.com/office/drawing/2014/main" id="{A3E70E1E-72A9-4510-893B-BD528B64695E}"/>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96" name="AutoShape 131" descr="+">
          <a:extLst>
            <a:ext uri="{FF2B5EF4-FFF2-40B4-BE49-F238E27FC236}">
              <a16:creationId xmlns:a16="http://schemas.microsoft.com/office/drawing/2014/main" id="{420D0EDF-4D99-4815-A281-038DEC5DC5D1}"/>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7" name="AutoShape 132" descr="+">
          <a:extLst>
            <a:ext uri="{FF2B5EF4-FFF2-40B4-BE49-F238E27FC236}">
              <a16:creationId xmlns:a16="http://schemas.microsoft.com/office/drawing/2014/main" id="{0F4C2BB8-0344-4D26-A679-64C6351EB6D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8" name="AutoShape 133" descr="+">
          <a:extLst>
            <a:ext uri="{FF2B5EF4-FFF2-40B4-BE49-F238E27FC236}">
              <a16:creationId xmlns:a16="http://schemas.microsoft.com/office/drawing/2014/main" id="{CBE9CAB5-84F5-479E-B1F4-781E75B1F7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9" name="AutoShape 134" descr="+">
          <a:extLst>
            <a:ext uri="{FF2B5EF4-FFF2-40B4-BE49-F238E27FC236}">
              <a16:creationId xmlns:a16="http://schemas.microsoft.com/office/drawing/2014/main" id="{28935BDE-DF85-4802-902A-6CAD7930A79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0" name="AutoShape 135" descr="+">
          <a:extLst>
            <a:ext uri="{FF2B5EF4-FFF2-40B4-BE49-F238E27FC236}">
              <a16:creationId xmlns:a16="http://schemas.microsoft.com/office/drawing/2014/main" id="{5A10D8B8-E918-452A-BAD2-0E73ED0E5CC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1" name="AutoShape 136" descr="+">
          <a:extLst>
            <a:ext uri="{FF2B5EF4-FFF2-40B4-BE49-F238E27FC236}">
              <a16:creationId xmlns:a16="http://schemas.microsoft.com/office/drawing/2014/main" id="{3F707600-E5E2-42F3-986F-9426DAB9D482}"/>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02" name="AutoShape 137" descr="+">
          <a:extLst>
            <a:ext uri="{FF2B5EF4-FFF2-40B4-BE49-F238E27FC236}">
              <a16:creationId xmlns:a16="http://schemas.microsoft.com/office/drawing/2014/main" id="{B99A20B8-58AD-4A53-B0BC-BE7A247598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3" name="AutoShape 138" descr="+">
          <a:extLst>
            <a:ext uri="{FF2B5EF4-FFF2-40B4-BE49-F238E27FC236}">
              <a16:creationId xmlns:a16="http://schemas.microsoft.com/office/drawing/2014/main" id="{0472F1D7-433C-4DFB-852D-ADFF6FEEC45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04" name="AutoShape 139" descr="+">
          <a:extLst>
            <a:ext uri="{FF2B5EF4-FFF2-40B4-BE49-F238E27FC236}">
              <a16:creationId xmlns:a16="http://schemas.microsoft.com/office/drawing/2014/main" id="{6C4E0A3E-2327-4284-9A46-C4C2DDEA31F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05" name="AutoShape 140" descr="+">
          <a:extLst>
            <a:ext uri="{FF2B5EF4-FFF2-40B4-BE49-F238E27FC236}">
              <a16:creationId xmlns:a16="http://schemas.microsoft.com/office/drawing/2014/main" id="{F7F931AF-9C02-4CC4-A32F-ED7238EDF30E}"/>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06" name="AutoShape 141" descr="+">
          <a:extLst>
            <a:ext uri="{FF2B5EF4-FFF2-40B4-BE49-F238E27FC236}">
              <a16:creationId xmlns:a16="http://schemas.microsoft.com/office/drawing/2014/main" id="{EB7A4B19-3B0F-40CC-A07F-0AAB9A7779FD}"/>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07" name="AutoShape 142" descr="+">
          <a:extLst>
            <a:ext uri="{FF2B5EF4-FFF2-40B4-BE49-F238E27FC236}">
              <a16:creationId xmlns:a16="http://schemas.microsoft.com/office/drawing/2014/main" id="{BC2D479A-35EF-41DF-B47A-0DC220C80CA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27330"/>
    <xdr:sp macro="" textlink="">
      <xdr:nvSpPr>
        <xdr:cNvPr id="408" name="AutoShape 143" descr="+">
          <a:extLst>
            <a:ext uri="{FF2B5EF4-FFF2-40B4-BE49-F238E27FC236}">
              <a16:creationId xmlns:a16="http://schemas.microsoft.com/office/drawing/2014/main" id="{CC344D27-99F7-4459-950C-33E68224EB44}"/>
            </a:ext>
          </a:extLst>
        </xdr:cNvPr>
        <xdr:cNvSpPr>
          <a:spLocks noChangeAspect="1" noChangeArrowheads="1"/>
        </xdr:cNvSpPr>
      </xdr:nvSpPr>
      <xdr:spPr bwMode="auto">
        <a:xfrm>
          <a:off x="1885950" y="2695575"/>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09" name="AutoShape 144" descr="+">
          <a:extLst>
            <a:ext uri="{FF2B5EF4-FFF2-40B4-BE49-F238E27FC236}">
              <a16:creationId xmlns:a16="http://schemas.microsoft.com/office/drawing/2014/main" id="{2230F5EB-F01F-4722-A676-3BCCFB8B57E0}"/>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0" name="AutoShape 145" descr="+">
          <a:extLst>
            <a:ext uri="{FF2B5EF4-FFF2-40B4-BE49-F238E27FC236}">
              <a16:creationId xmlns:a16="http://schemas.microsoft.com/office/drawing/2014/main" id="{F42A4C8C-4383-4F20-828A-FBFAD348BB8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1" name="AutoShape 146" descr="+">
          <a:extLst>
            <a:ext uri="{FF2B5EF4-FFF2-40B4-BE49-F238E27FC236}">
              <a16:creationId xmlns:a16="http://schemas.microsoft.com/office/drawing/2014/main" id="{186D6582-4960-4DE3-AB67-DAD10D0421D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12" name="AutoShape 147" descr="+">
          <a:extLst>
            <a:ext uri="{FF2B5EF4-FFF2-40B4-BE49-F238E27FC236}">
              <a16:creationId xmlns:a16="http://schemas.microsoft.com/office/drawing/2014/main" id="{3C3C13D0-6F31-44DD-BD43-65B8A28CC3A1}"/>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13" name="AutoShape 148" descr="+">
          <a:extLst>
            <a:ext uri="{FF2B5EF4-FFF2-40B4-BE49-F238E27FC236}">
              <a16:creationId xmlns:a16="http://schemas.microsoft.com/office/drawing/2014/main" id="{6EC2442B-E6B6-4941-BD74-0BB5C2784D1C}"/>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14" name="AutoShape 149" descr="+">
          <a:extLst>
            <a:ext uri="{FF2B5EF4-FFF2-40B4-BE49-F238E27FC236}">
              <a16:creationId xmlns:a16="http://schemas.microsoft.com/office/drawing/2014/main" id="{7AC49AAA-D05A-4D38-9B2E-5863C8BC639C}"/>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15" name="AutoShape 150" descr="+">
          <a:extLst>
            <a:ext uri="{FF2B5EF4-FFF2-40B4-BE49-F238E27FC236}">
              <a16:creationId xmlns:a16="http://schemas.microsoft.com/office/drawing/2014/main" id="{92C2F716-3EDA-422A-97BC-B8F3A6409A2C}"/>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6" name="AutoShape 151" descr="+">
          <a:extLst>
            <a:ext uri="{FF2B5EF4-FFF2-40B4-BE49-F238E27FC236}">
              <a16:creationId xmlns:a16="http://schemas.microsoft.com/office/drawing/2014/main" id="{175C82B9-4BCE-4598-A76B-6306AC32D93D}"/>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7" name="AutoShape 152" descr="+">
          <a:extLst>
            <a:ext uri="{FF2B5EF4-FFF2-40B4-BE49-F238E27FC236}">
              <a16:creationId xmlns:a16="http://schemas.microsoft.com/office/drawing/2014/main" id="{F7A20F54-2A42-41BD-85EE-E1484CB962F0}"/>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796"/>
    <xdr:sp macro="" textlink="">
      <xdr:nvSpPr>
        <xdr:cNvPr id="418" name="AutoShape 153" descr="+">
          <a:extLst>
            <a:ext uri="{FF2B5EF4-FFF2-40B4-BE49-F238E27FC236}">
              <a16:creationId xmlns:a16="http://schemas.microsoft.com/office/drawing/2014/main" id="{B5BDDF30-7A62-42BA-AB12-07CB52C59C45}"/>
            </a:ext>
          </a:extLst>
        </xdr:cNvPr>
        <xdr:cNvSpPr>
          <a:spLocks noChangeAspect="1" noChangeArrowheads="1"/>
        </xdr:cNvSpPr>
      </xdr:nvSpPr>
      <xdr:spPr bwMode="auto">
        <a:xfrm>
          <a:off x="1885950" y="2695575"/>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10"/>
    <xdr:sp macro="" textlink="">
      <xdr:nvSpPr>
        <xdr:cNvPr id="419" name="AutoShape 154" descr="+">
          <a:extLst>
            <a:ext uri="{FF2B5EF4-FFF2-40B4-BE49-F238E27FC236}">
              <a16:creationId xmlns:a16="http://schemas.microsoft.com/office/drawing/2014/main" id="{6B297E5D-1618-424D-94EE-D7B0A17EC360}"/>
            </a:ext>
          </a:extLst>
        </xdr:cNvPr>
        <xdr:cNvSpPr>
          <a:spLocks noChangeAspect="1" noChangeArrowheads="1"/>
        </xdr:cNvSpPr>
      </xdr:nvSpPr>
      <xdr:spPr bwMode="auto">
        <a:xfrm>
          <a:off x="1885950" y="2695575"/>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0" name="AutoShape 155" descr="+">
          <a:extLst>
            <a:ext uri="{FF2B5EF4-FFF2-40B4-BE49-F238E27FC236}">
              <a16:creationId xmlns:a16="http://schemas.microsoft.com/office/drawing/2014/main" id="{772642D1-4168-43C5-B827-9F458D8CC7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421" name="AutoShape 156" descr="+">
          <a:extLst>
            <a:ext uri="{FF2B5EF4-FFF2-40B4-BE49-F238E27FC236}">
              <a16:creationId xmlns:a16="http://schemas.microsoft.com/office/drawing/2014/main" id="{9242FDCA-8012-47B4-B9A6-8B2BD53EFAE4}"/>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2"/>
    <xdr:sp macro="" textlink="">
      <xdr:nvSpPr>
        <xdr:cNvPr id="422" name="AutoShape 157" descr="+">
          <a:extLst>
            <a:ext uri="{FF2B5EF4-FFF2-40B4-BE49-F238E27FC236}">
              <a16:creationId xmlns:a16="http://schemas.microsoft.com/office/drawing/2014/main" id="{61190CAC-7019-49CD-95F2-BCBDE90E4F95}"/>
            </a:ext>
          </a:extLst>
        </xdr:cNvPr>
        <xdr:cNvSpPr>
          <a:spLocks noChangeAspect="1" noChangeArrowheads="1"/>
        </xdr:cNvSpPr>
      </xdr:nvSpPr>
      <xdr:spPr bwMode="auto">
        <a:xfrm>
          <a:off x="1885950" y="2695575"/>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23" name="AutoShape 158" descr="+">
          <a:extLst>
            <a:ext uri="{FF2B5EF4-FFF2-40B4-BE49-F238E27FC236}">
              <a16:creationId xmlns:a16="http://schemas.microsoft.com/office/drawing/2014/main" id="{A868D6CA-61B7-4C99-B632-E7BB30E2F24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24" name="AutoShape 159" descr="+">
          <a:extLst>
            <a:ext uri="{FF2B5EF4-FFF2-40B4-BE49-F238E27FC236}">
              <a16:creationId xmlns:a16="http://schemas.microsoft.com/office/drawing/2014/main" id="{E8A59970-E990-425A-8894-789C8EFB8CA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425" name="AutoShape 160" descr="+">
          <a:extLst>
            <a:ext uri="{FF2B5EF4-FFF2-40B4-BE49-F238E27FC236}">
              <a16:creationId xmlns:a16="http://schemas.microsoft.com/office/drawing/2014/main" id="{F86FF500-9884-42F0-98D7-A11925B7C1C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26" name="AutoShape 161" descr="+">
          <a:extLst>
            <a:ext uri="{FF2B5EF4-FFF2-40B4-BE49-F238E27FC236}">
              <a16:creationId xmlns:a16="http://schemas.microsoft.com/office/drawing/2014/main" id="{7E0590ED-9726-41DC-88F1-EE975C0BE4B4}"/>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7" name="AutoShape 162" descr="+">
          <a:extLst>
            <a:ext uri="{FF2B5EF4-FFF2-40B4-BE49-F238E27FC236}">
              <a16:creationId xmlns:a16="http://schemas.microsoft.com/office/drawing/2014/main" id="{0CF55552-5478-4C1D-ADA2-9532CFAA50F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28" name="AutoShape 163" descr="+">
          <a:extLst>
            <a:ext uri="{FF2B5EF4-FFF2-40B4-BE49-F238E27FC236}">
              <a16:creationId xmlns:a16="http://schemas.microsoft.com/office/drawing/2014/main" id="{CAF6322D-0B9F-4292-A7CC-D74C2057E9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29" name="AutoShape 164" descr="+">
          <a:extLst>
            <a:ext uri="{FF2B5EF4-FFF2-40B4-BE49-F238E27FC236}">
              <a16:creationId xmlns:a16="http://schemas.microsoft.com/office/drawing/2014/main" id="{5C777FBA-69AD-4440-A921-35F553D313C4}"/>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0" name="AutoShape 165" descr="+">
          <a:extLst>
            <a:ext uri="{FF2B5EF4-FFF2-40B4-BE49-F238E27FC236}">
              <a16:creationId xmlns:a16="http://schemas.microsoft.com/office/drawing/2014/main" id="{C185CB6F-F137-40D5-8038-DAD3BFB77FF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1" name="AutoShape 166" descr="+">
          <a:extLst>
            <a:ext uri="{FF2B5EF4-FFF2-40B4-BE49-F238E27FC236}">
              <a16:creationId xmlns:a16="http://schemas.microsoft.com/office/drawing/2014/main" id="{80EA1E0D-8742-4E10-9487-E8D46A9F1D1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32" name="AutoShape 167" descr="+">
          <a:extLst>
            <a:ext uri="{FF2B5EF4-FFF2-40B4-BE49-F238E27FC236}">
              <a16:creationId xmlns:a16="http://schemas.microsoft.com/office/drawing/2014/main" id="{EDEFD481-020D-4589-8E99-9410AAEE0C9F}"/>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5"/>
    <xdr:sp macro="" textlink="">
      <xdr:nvSpPr>
        <xdr:cNvPr id="433" name="AutoShape 168" descr="+">
          <a:extLst>
            <a:ext uri="{FF2B5EF4-FFF2-40B4-BE49-F238E27FC236}">
              <a16:creationId xmlns:a16="http://schemas.microsoft.com/office/drawing/2014/main" id="{D2EA5974-F4EF-4BD4-89AC-06FC12C01DAF}"/>
            </a:ext>
          </a:extLst>
        </xdr:cNvPr>
        <xdr:cNvSpPr>
          <a:spLocks noChangeAspect="1" noChangeArrowheads="1"/>
        </xdr:cNvSpPr>
      </xdr:nvSpPr>
      <xdr:spPr bwMode="auto">
        <a:xfrm>
          <a:off x="1885950" y="2695575"/>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5533"/>
    <xdr:sp macro="" textlink="">
      <xdr:nvSpPr>
        <xdr:cNvPr id="434" name="AutoShape 169" descr="+">
          <a:extLst>
            <a:ext uri="{FF2B5EF4-FFF2-40B4-BE49-F238E27FC236}">
              <a16:creationId xmlns:a16="http://schemas.microsoft.com/office/drawing/2014/main" id="{DCA40666-53BA-41D8-B780-A4CE18FFCC83}"/>
            </a:ext>
          </a:extLst>
        </xdr:cNvPr>
        <xdr:cNvSpPr>
          <a:spLocks noChangeAspect="1" noChangeArrowheads="1"/>
        </xdr:cNvSpPr>
      </xdr:nvSpPr>
      <xdr:spPr bwMode="auto">
        <a:xfrm>
          <a:off x="1885950" y="2695575"/>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435" name="AutoShape 170" descr="+">
          <a:extLst>
            <a:ext uri="{FF2B5EF4-FFF2-40B4-BE49-F238E27FC236}">
              <a16:creationId xmlns:a16="http://schemas.microsoft.com/office/drawing/2014/main" id="{82318FD4-A4DE-454F-981E-03E9C2DC6E27}"/>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436" name="AutoShape 171" descr="+">
          <a:extLst>
            <a:ext uri="{FF2B5EF4-FFF2-40B4-BE49-F238E27FC236}">
              <a16:creationId xmlns:a16="http://schemas.microsoft.com/office/drawing/2014/main" id="{8FA4D6C8-4928-4227-ADD2-9F260B238EB4}"/>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437" name="AutoShape 172" descr="+">
          <a:extLst>
            <a:ext uri="{FF2B5EF4-FFF2-40B4-BE49-F238E27FC236}">
              <a16:creationId xmlns:a16="http://schemas.microsoft.com/office/drawing/2014/main" id="{B5E147F8-9676-4121-BFCF-1B3B5EE08657}"/>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38" name="AutoShape 173" descr="+">
          <a:extLst>
            <a:ext uri="{FF2B5EF4-FFF2-40B4-BE49-F238E27FC236}">
              <a16:creationId xmlns:a16="http://schemas.microsoft.com/office/drawing/2014/main" id="{AEDF3813-67F9-467A-8E87-582C1804D00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39" name="AutoShape 174" descr="+">
          <a:extLst>
            <a:ext uri="{FF2B5EF4-FFF2-40B4-BE49-F238E27FC236}">
              <a16:creationId xmlns:a16="http://schemas.microsoft.com/office/drawing/2014/main" id="{CC2DBBCA-58E0-4E5B-84D0-E20D683B6CCD}"/>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0" name="AutoShape 175" descr="+">
          <a:extLst>
            <a:ext uri="{FF2B5EF4-FFF2-40B4-BE49-F238E27FC236}">
              <a16:creationId xmlns:a16="http://schemas.microsoft.com/office/drawing/2014/main" id="{F083D907-66CC-4E73-9425-BD4B94EA092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41" name="AutoShape 176" descr="+">
          <a:extLst>
            <a:ext uri="{FF2B5EF4-FFF2-40B4-BE49-F238E27FC236}">
              <a16:creationId xmlns:a16="http://schemas.microsoft.com/office/drawing/2014/main" id="{80B16DD7-2876-4054-9670-97FDCD8E02E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2" name="AutoShape 177" descr="+">
          <a:extLst>
            <a:ext uri="{FF2B5EF4-FFF2-40B4-BE49-F238E27FC236}">
              <a16:creationId xmlns:a16="http://schemas.microsoft.com/office/drawing/2014/main" id="{34580B51-2839-460A-9D37-289CC370F51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3" name="AutoShape 178" descr="+">
          <a:extLst>
            <a:ext uri="{FF2B5EF4-FFF2-40B4-BE49-F238E27FC236}">
              <a16:creationId xmlns:a16="http://schemas.microsoft.com/office/drawing/2014/main" id="{FEAA46A0-7884-4DC4-8F92-2FCF5F94BAC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4" name="AutoShape 179" descr="+">
          <a:extLst>
            <a:ext uri="{FF2B5EF4-FFF2-40B4-BE49-F238E27FC236}">
              <a16:creationId xmlns:a16="http://schemas.microsoft.com/office/drawing/2014/main" id="{8DC31C62-14A3-429E-A331-C1819C372F82}"/>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2"/>
    <xdr:sp macro="" textlink="">
      <xdr:nvSpPr>
        <xdr:cNvPr id="445" name="AutoShape 180" descr="+">
          <a:extLst>
            <a:ext uri="{FF2B5EF4-FFF2-40B4-BE49-F238E27FC236}">
              <a16:creationId xmlns:a16="http://schemas.microsoft.com/office/drawing/2014/main" id="{59F6A712-4E83-478A-BE0F-B1C9476112BA}"/>
            </a:ext>
          </a:extLst>
        </xdr:cNvPr>
        <xdr:cNvSpPr>
          <a:spLocks noChangeAspect="1" noChangeArrowheads="1"/>
        </xdr:cNvSpPr>
      </xdr:nvSpPr>
      <xdr:spPr bwMode="auto">
        <a:xfrm>
          <a:off x="1885950" y="2695575"/>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446" name="AutoShape 181" descr="+">
          <a:extLst>
            <a:ext uri="{FF2B5EF4-FFF2-40B4-BE49-F238E27FC236}">
              <a16:creationId xmlns:a16="http://schemas.microsoft.com/office/drawing/2014/main" id="{1D672B4E-D63A-4238-9C75-7D1631C985C4}"/>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9916"/>
    <xdr:sp macro="" textlink="">
      <xdr:nvSpPr>
        <xdr:cNvPr id="447" name="AutoShape 182" descr="+">
          <a:extLst>
            <a:ext uri="{FF2B5EF4-FFF2-40B4-BE49-F238E27FC236}">
              <a16:creationId xmlns:a16="http://schemas.microsoft.com/office/drawing/2014/main" id="{ADDCC334-F2E5-46DB-9994-74449652876B}"/>
            </a:ext>
          </a:extLst>
        </xdr:cNvPr>
        <xdr:cNvSpPr>
          <a:spLocks noChangeAspect="1" noChangeArrowheads="1"/>
        </xdr:cNvSpPr>
      </xdr:nvSpPr>
      <xdr:spPr bwMode="auto">
        <a:xfrm>
          <a:off x="1885950" y="2695575"/>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8" name="AutoShape 183" descr="+">
          <a:extLst>
            <a:ext uri="{FF2B5EF4-FFF2-40B4-BE49-F238E27FC236}">
              <a16:creationId xmlns:a16="http://schemas.microsoft.com/office/drawing/2014/main" id="{9E9A65A0-4509-48AA-9BEE-06A75F6DC559}"/>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9" name="AutoShape 184" descr="+">
          <a:extLst>
            <a:ext uri="{FF2B5EF4-FFF2-40B4-BE49-F238E27FC236}">
              <a16:creationId xmlns:a16="http://schemas.microsoft.com/office/drawing/2014/main" id="{D347A85C-0B13-45A0-A1B8-9769D99F01C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450" name="AutoShape 185" descr="+">
          <a:extLst>
            <a:ext uri="{FF2B5EF4-FFF2-40B4-BE49-F238E27FC236}">
              <a16:creationId xmlns:a16="http://schemas.microsoft.com/office/drawing/2014/main" id="{3FBCEAA1-1854-47F9-A3D2-0637D89B5A84}"/>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1" name="AutoShape 186" descr="+">
          <a:extLst>
            <a:ext uri="{FF2B5EF4-FFF2-40B4-BE49-F238E27FC236}">
              <a16:creationId xmlns:a16="http://schemas.microsoft.com/office/drawing/2014/main" id="{9304928B-AA65-4DE4-9CE0-BA9F61861C06}"/>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52" name="AutoShape 187" descr="+">
          <a:extLst>
            <a:ext uri="{FF2B5EF4-FFF2-40B4-BE49-F238E27FC236}">
              <a16:creationId xmlns:a16="http://schemas.microsoft.com/office/drawing/2014/main" id="{1DB4D118-ADEA-4D1B-981C-7F8149FEF15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53" name="AutoShape 188" descr="+">
          <a:extLst>
            <a:ext uri="{FF2B5EF4-FFF2-40B4-BE49-F238E27FC236}">
              <a16:creationId xmlns:a16="http://schemas.microsoft.com/office/drawing/2014/main" id="{1617E74F-8B2E-467B-8AA3-3FFB43E24549}"/>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4" name="AutoShape 189" descr="+">
          <a:extLst>
            <a:ext uri="{FF2B5EF4-FFF2-40B4-BE49-F238E27FC236}">
              <a16:creationId xmlns:a16="http://schemas.microsoft.com/office/drawing/2014/main" id="{A08F4EE6-3E6F-41C8-831B-BEA36191FAE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09"/>
    <xdr:sp macro="" textlink="">
      <xdr:nvSpPr>
        <xdr:cNvPr id="455" name="AutoShape 190" descr="+">
          <a:extLst>
            <a:ext uri="{FF2B5EF4-FFF2-40B4-BE49-F238E27FC236}">
              <a16:creationId xmlns:a16="http://schemas.microsoft.com/office/drawing/2014/main" id="{5182677D-04FB-4A1B-B8AD-CDD2863088A8}"/>
            </a:ext>
          </a:extLst>
        </xdr:cNvPr>
        <xdr:cNvSpPr>
          <a:spLocks noChangeAspect="1" noChangeArrowheads="1"/>
        </xdr:cNvSpPr>
      </xdr:nvSpPr>
      <xdr:spPr bwMode="auto">
        <a:xfrm>
          <a:off x="1885950" y="269557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6" name="AutoShape 191" descr="+">
          <a:extLst>
            <a:ext uri="{FF2B5EF4-FFF2-40B4-BE49-F238E27FC236}">
              <a16:creationId xmlns:a16="http://schemas.microsoft.com/office/drawing/2014/main" id="{5C335561-3835-44CE-AE73-9050189CB548}"/>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7" name="AutoShape 192" descr="+">
          <a:extLst>
            <a:ext uri="{FF2B5EF4-FFF2-40B4-BE49-F238E27FC236}">
              <a16:creationId xmlns:a16="http://schemas.microsoft.com/office/drawing/2014/main" id="{3C3730FF-C3F8-43A1-9EB3-5065D96E54BE}"/>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8" name="AutoShape 193" descr="+">
          <a:extLst>
            <a:ext uri="{FF2B5EF4-FFF2-40B4-BE49-F238E27FC236}">
              <a16:creationId xmlns:a16="http://schemas.microsoft.com/office/drawing/2014/main" id="{D69384D3-8658-487E-997F-62F8199135E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9" name="AutoShape 194" descr="+">
          <a:extLst>
            <a:ext uri="{FF2B5EF4-FFF2-40B4-BE49-F238E27FC236}">
              <a16:creationId xmlns:a16="http://schemas.microsoft.com/office/drawing/2014/main" id="{C9708E1F-5AE4-4C47-B5D9-3E63DDBE978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60" name="AutoShape 195" descr="+">
          <a:extLst>
            <a:ext uri="{FF2B5EF4-FFF2-40B4-BE49-F238E27FC236}">
              <a16:creationId xmlns:a16="http://schemas.microsoft.com/office/drawing/2014/main" id="{613FAB76-8CDD-475A-B3E4-9186B7AA5866}"/>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461" name="AutoShape 196" descr="+">
          <a:extLst>
            <a:ext uri="{FF2B5EF4-FFF2-40B4-BE49-F238E27FC236}">
              <a16:creationId xmlns:a16="http://schemas.microsoft.com/office/drawing/2014/main" id="{1B18E2C8-F62A-46EB-AC8D-178421DC1380}"/>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62" name="AutoShape 197" descr="+">
          <a:extLst>
            <a:ext uri="{FF2B5EF4-FFF2-40B4-BE49-F238E27FC236}">
              <a16:creationId xmlns:a16="http://schemas.microsoft.com/office/drawing/2014/main" id="{C879937A-5CA6-43E6-9BC3-67B0AB63A2C8}"/>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63" name="AutoShape 198" descr="+">
          <a:extLst>
            <a:ext uri="{FF2B5EF4-FFF2-40B4-BE49-F238E27FC236}">
              <a16:creationId xmlns:a16="http://schemas.microsoft.com/office/drawing/2014/main" id="{AAEE65AB-E88B-4DB3-9BC8-1345F817D27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64" name="AutoShape 199" descr="+">
          <a:extLst>
            <a:ext uri="{FF2B5EF4-FFF2-40B4-BE49-F238E27FC236}">
              <a16:creationId xmlns:a16="http://schemas.microsoft.com/office/drawing/2014/main" id="{597B05E0-E587-44F6-B331-6E2474E19315}"/>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3470"/>
    <xdr:sp macro="" textlink="">
      <xdr:nvSpPr>
        <xdr:cNvPr id="465" name="AutoShape 200" descr="+">
          <a:extLst>
            <a:ext uri="{FF2B5EF4-FFF2-40B4-BE49-F238E27FC236}">
              <a16:creationId xmlns:a16="http://schemas.microsoft.com/office/drawing/2014/main" id="{9366DA6F-446B-46CA-851F-71E1DC8F47B5}"/>
            </a:ext>
          </a:extLst>
        </xdr:cNvPr>
        <xdr:cNvSpPr>
          <a:spLocks noChangeAspect="1" noChangeArrowheads="1"/>
        </xdr:cNvSpPr>
      </xdr:nvSpPr>
      <xdr:spPr bwMode="auto">
        <a:xfrm>
          <a:off x="1885950" y="2695575"/>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66" name="AutoShape 201" descr="+">
          <a:extLst>
            <a:ext uri="{FF2B5EF4-FFF2-40B4-BE49-F238E27FC236}">
              <a16:creationId xmlns:a16="http://schemas.microsoft.com/office/drawing/2014/main" id="{0741E6CD-0368-4F71-8DA1-D34E053F99B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67" name="AutoShape 202" descr="+">
          <a:extLst>
            <a:ext uri="{FF2B5EF4-FFF2-40B4-BE49-F238E27FC236}">
              <a16:creationId xmlns:a16="http://schemas.microsoft.com/office/drawing/2014/main" id="{714347C8-4860-411F-8817-54B58C96D0B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8" name="AutoShape 203" descr="+">
          <a:extLst>
            <a:ext uri="{FF2B5EF4-FFF2-40B4-BE49-F238E27FC236}">
              <a16:creationId xmlns:a16="http://schemas.microsoft.com/office/drawing/2014/main" id="{0A9DC0B4-3B5C-4E1B-9737-DA2A59C2802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9" name="AutoShape 204" descr="+">
          <a:extLst>
            <a:ext uri="{FF2B5EF4-FFF2-40B4-BE49-F238E27FC236}">
              <a16:creationId xmlns:a16="http://schemas.microsoft.com/office/drawing/2014/main" id="{A0C06910-52A6-4562-9111-63CF39361E98}"/>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70" name="AutoShape 205" descr="+">
          <a:extLst>
            <a:ext uri="{FF2B5EF4-FFF2-40B4-BE49-F238E27FC236}">
              <a16:creationId xmlns:a16="http://schemas.microsoft.com/office/drawing/2014/main" id="{9F68A162-862F-4267-8659-C93BFDFCE01E}"/>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71" name="AutoShape 206" descr="+">
          <a:extLst>
            <a:ext uri="{FF2B5EF4-FFF2-40B4-BE49-F238E27FC236}">
              <a16:creationId xmlns:a16="http://schemas.microsoft.com/office/drawing/2014/main" id="{228A02BB-43C9-4D3A-AE31-261182A077E3}"/>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472" name="AutoShape 207" descr="+">
          <a:extLst>
            <a:ext uri="{FF2B5EF4-FFF2-40B4-BE49-F238E27FC236}">
              <a16:creationId xmlns:a16="http://schemas.microsoft.com/office/drawing/2014/main" id="{AF56578F-BF23-44DD-BDDF-4306221ED41F}"/>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73" name="AutoShape 208" descr="+">
          <a:extLst>
            <a:ext uri="{FF2B5EF4-FFF2-40B4-BE49-F238E27FC236}">
              <a16:creationId xmlns:a16="http://schemas.microsoft.com/office/drawing/2014/main" id="{A1FBAF7A-345C-4341-87BB-727B0746AFF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74" name="AutoShape 209" descr="+">
          <a:extLst>
            <a:ext uri="{FF2B5EF4-FFF2-40B4-BE49-F238E27FC236}">
              <a16:creationId xmlns:a16="http://schemas.microsoft.com/office/drawing/2014/main" id="{EF16CF8B-789F-4F9D-A943-CC8B169FFB9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475" name="AutoShape 210" descr="+">
          <a:extLst>
            <a:ext uri="{FF2B5EF4-FFF2-40B4-BE49-F238E27FC236}">
              <a16:creationId xmlns:a16="http://schemas.microsoft.com/office/drawing/2014/main" id="{20F49B8C-2080-4B28-8484-0394C1254403}"/>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76" name="AutoShape 211" descr="+">
          <a:extLst>
            <a:ext uri="{FF2B5EF4-FFF2-40B4-BE49-F238E27FC236}">
              <a16:creationId xmlns:a16="http://schemas.microsoft.com/office/drawing/2014/main" id="{63ED716E-4A63-44FD-902E-5571599AF4DD}"/>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6830"/>
    <xdr:sp macro="" textlink="">
      <xdr:nvSpPr>
        <xdr:cNvPr id="477" name="AutoShape 212" descr="+">
          <a:extLst>
            <a:ext uri="{FF2B5EF4-FFF2-40B4-BE49-F238E27FC236}">
              <a16:creationId xmlns:a16="http://schemas.microsoft.com/office/drawing/2014/main" id="{B061D26E-7838-47D3-9F56-BF40D91D7CCF}"/>
            </a:ext>
          </a:extLst>
        </xdr:cNvPr>
        <xdr:cNvSpPr>
          <a:spLocks noChangeAspect="1" noChangeArrowheads="1"/>
        </xdr:cNvSpPr>
      </xdr:nvSpPr>
      <xdr:spPr bwMode="auto">
        <a:xfrm>
          <a:off x="1885950" y="2695575"/>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78" name="AutoShape 213" descr="+">
          <a:extLst>
            <a:ext uri="{FF2B5EF4-FFF2-40B4-BE49-F238E27FC236}">
              <a16:creationId xmlns:a16="http://schemas.microsoft.com/office/drawing/2014/main" id="{2B453E1B-5D03-49B4-A8EB-E1140E65BBA8}"/>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79" name="AutoShape 214" descr="+">
          <a:extLst>
            <a:ext uri="{FF2B5EF4-FFF2-40B4-BE49-F238E27FC236}">
              <a16:creationId xmlns:a16="http://schemas.microsoft.com/office/drawing/2014/main" id="{C6DCFE28-DC2B-4680-8D31-1B1BA6DD057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0" name="AutoShape 215" descr="+">
          <a:extLst>
            <a:ext uri="{FF2B5EF4-FFF2-40B4-BE49-F238E27FC236}">
              <a16:creationId xmlns:a16="http://schemas.microsoft.com/office/drawing/2014/main" id="{D0ADE2A6-ADE5-45B9-9F43-8843964DB64B}"/>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90"/>
    <xdr:sp macro="" textlink="">
      <xdr:nvSpPr>
        <xdr:cNvPr id="481" name="AutoShape 216" descr="+">
          <a:extLst>
            <a:ext uri="{FF2B5EF4-FFF2-40B4-BE49-F238E27FC236}">
              <a16:creationId xmlns:a16="http://schemas.microsoft.com/office/drawing/2014/main" id="{634C478E-94BF-4F6D-B748-537618C8AD4D}"/>
            </a:ext>
          </a:extLst>
        </xdr:cNvPr>
        <xdr:cNvSpPr>
          <a:spLocks noChangeAspect="1" noChangeArrowheads="1"/>
        </xdr:cNvSpPr>
      </xdr:nvSpPr>
      <xdr:spPr bwMode="auto">
        <a:xfrm>
          <a:off x="1885950" y="2695575"/>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82" name="AutoShape 217" descr="+">
          <a:extLst>
            <a:ext uri="{FF2B5EF4-FFF2-40B4-BE49-F238E27FC236}">
              <a16:creationId xmlns:a16="http://schemas.microsoft.com/office/drawing/2014/main" id="{00F06690-9277-4FBA-B504-4469957CBD60}"/>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3" name="AutoShape 218" descr="+">
          <a:extLst>
            <a:ext uri="{FF2B5EF4-FFF2-40B4-BE49-F238E27FC236}">
              <a16:creationId xmlns:a16="http://schemas.microsoft.com/office/drawing/2014/main" id="{D3F54FD5-DF59-453E-9E74-5A0E2B3894A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7"/>
    <xdr:sp macro="" textlink="">
      <xdr:nvSpPr>
        <xdr:cNvPr id="484" name="AutoShape 219" descr="+">
          <a:extLst>
            <a:ext uri="{FF2B5EF4-FFF2-40B4-BE49-F238E27FC236}">
              <a16:creationId xmlns:a16="http://schemas.microsoft.com/office/drawing/2014/main" id="{631B12A1-7BC2-4B38-A304-8DA036D03AE2}"/>
            </a:ext>
          </a:extLst>
        </xdr:cNvPr>
        <xdr:cNvSpPr>
          <a:spLocks noChangeAspect="1" noChangeArrowheads="1"/>
        </xdr:cNvSpPr>
      </xdr:nvSpPr>
      <xdr:spPr bwMode="auto">
        <a:xfrm>
          <a:off x="1885950" y="269557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5" name="AutoShape 220" descr="+">
          <a:extLst>
            <a:ext uri="{FF2B5EF4-FFF2-40B4-BE49-F238E27FC236}">
              <a16:creationId xmlns:a16="http://schemas.microsoft.com/office/drawing/2014/main" id="{64EEFE36-FC25-494F-B430-ECD05F4AD8E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6" name="AutoShape 221" descr="+">
          <a:extLst>
            <a:ext uri="{FF2B5EF4-FFF2-40B4-BE49-F238E27FC236}">
              <a16:creationId xmlns:a16="http://schemas.microsoft.com/office/drawing/2014/main" id="{241BC777-C9B6-487C-A8C9-056EA8AE15C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7" name="AutoShape 222" descr="+">
          <a:extLst>
            <a:ext uri="{FF2B5EF4-FFF2-40B4-BE49-F238E27FC236}">
              <a16:creationId xmlns:a16="http://schemas.microsoft.com/office/drawing/2014/main" id="{C78B6AB7-F79C-4E68-8B19-1EC418D3DC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8" name="AutoShape 223" descr="+">
          <a:extLst>
            <a:ext uri="{FF2B5EF4-FFF2-40B4-BE49-F238E27FC236}">
              <a16:creationId xmlns:a16="http://schemas.microsoft.com/office/drawing/2014/main" id="{840555B1-3532-46DE-82F7-0F6B28ADE2F2}"/>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9" name="AutoShape 224" descr="+">
          <a:extLst>
            <a:ext uri="{FF2B5EF4-FFF2-40B4-BE49-F238E27FC236}">
              <a16:creationId xmlns:a16="http://schemas.microsoft.com/office/drawing/2014/main" id="{1DA9E61D-F89F-4837-B2A7-BEF97650556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90" name="AutoShape 225" descr="+">
          <a:extLst>
            <a:ext uri="{FF2B5EF4-FFF2-40B4-BE49-F238E27FC236}">
              <a16:creationId xmlns:a16="http://schemas.microsoft.com/office/drawing/2014/main" id="{148B3EED-E147-4DB0-9C8F-A4EC3A73898A}"/>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2"/>
    <xdr:sp macro="" textlink="">
      <xdr:nvSpPr>
        <xdr:cNvPr id="491" name="AutoShape 226" descr="+">
          <a:extLst>
            <a:ext uri="{FF2B5EF4-FFF2-40B4-BE49-F238E27FC236}">
              <a16:creationId xmlns:a16="http://schemas.microsoft.com/office/drawing/2014/main" id="{8A590588-34E1-4896-BE34-62771AC22FFA}"/>
            </a:ext>
          </a:extLst>
        </xdr:cNvPr>
        <xdr:cNvSpPr>
          <a:spLocks noChangeAspect="1" noChangeArrowheads="1"/>
        </xdr:cNvSpPr>
      </xdr:nvSpPr>
      <xdr:spPr bwMode="auto">
        <a:xfrm>
          <a:off x="1885950" y="2695575"/>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92" name="AutoShape 227" descr="+">
          <a:extLst>
            <a:ext uri="{FF2B5EF4-FFF2-40B4-BE49-F238E27FC236}">
              <a16:creationId xmlns:a16="http://schemas.microsoft.com/office/drawing/2014/main" id="{6FD03CD7-FE06-4234-B3B4-0C202A9C0947}"/>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93" name="AutoShape 228" descr="+">
          <a:extLst>
            <a:ext uri="{FF2B5EF4-FFF2-40B4-BE49-F238E27FC236}">
              <a16:creationId xmlns:a16="http://schemas.microsoft.com/office/drawing/2014/main" id="{4CF2D7E8-2296-4CF2-B6CD-F4E09C8985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6479"/>
    <xdr:sp macro="" textlink="">
      <xdr:nvSpPr>
        <xdr:cNvPr id="494" name="AutoShape 229" descr="+">
          <a:extLst>
            <a:ext uri="{FF2B5EF4-FFF2-40B4-BE49-F238E27FC236}">
              <a16:creationId xmlns:a16="http://schemas.microsoft.com/office/drawing/2014/main" id="{C106DE18-125D-42EC-8079-9BC0214F3AF8}"/>
            </a:ext>
          </a:extLst>
        </xdr:cNvPr>
        <xdr:cNvSpPr>
          <a:spLocks noChangeAspect="1" noChangeArrowheads="1"/>
        </xdr:cNvSpPr>
      </xdr:nvSpPr>
      <xdr:spPr bwMode="auto">
        <a:xfrm>
          <a:off x="1885950" y="2695575"/>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495" name="AutoShape 230" descr="+">
          <a:extLst>
            <a:ext uri="{FF2B5EF4-FFF2-40B4-BE49-F238E27FC236}">
              <a16:creationId xmlns:a16="http://schemas.microsoft.com/office/drawing/2014/main" id="{DAEC5FD8-C9D8-4460-B779-60C65381F06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6" name="AutoShape 231" descr="+">
          <a:extLst>
            <a:ext uri="{FF2B5EF4-FFF2-40B4-BE49-F238E27FC236}">
              <a16:creationId xmlns:a16="http://schemas.microsoft.com/office/drawing/2014/main" id="{8C6755FE-E292-4ED5-90E3-AED4076CACD8}"/>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497" name="AutoShape 232" descr="+">
          <a:extLst>
            <a:ext uri="{FF2B5EF4-FFF2-40B4-BE49-F238E27FC236}">
              <a16:creationId xmlns:a16="http://schemas.microsoft.com/office/drawing/2014/main" id="{31D2985C-F851-4377-B3A5-76599B1277A5}"/>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8" name="AutoShape 233" descr="+">
          <a:extLst>
            <a:ext uri="{FF2B5EF4-FFF2-40B4-BE49-F238E27FC236}">
              <a16:creationId xmlns:a16="http://schemas.microsoft.com/office/drawing/2014/main" id="{59E32771-B0E1-43E0-8A48-C52DAD52400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99" name="AutoShape 234" descr="+">
          <a:extLst>
            <a:ext uri="{FF2B5EF4-FFF2-40B4-BE49-F238E27FC236}">
              <a16:creationId xmlns:a16="http://schemas.microsoft.com/office/drawing/2014/main" id="{5E3239AE-D522-40F6-BDC1-F4559455F03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0" name="AutoShape 235" descr="+">
          <a:extLst>
            <a:ext uri="{FF2B5EF4-FFF2-40B4-BE49-F238E27FC236}">
              <a16:creationId xmlns:a16="http://schemas.microsoft.com/office/drawing/2014/main" id="{57DAFE84-1BA6-432D-9CC6-E4E8BC9FB72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1" name="AutoShape 236" descr="+">
          <a:extLst>
            <a:ext uri="{FF2B5EF4-FFF2-40B4-BE49-F238E27FC236}">
              <a16:creationId xmlns:a16="http://schemas.microsoft.com/office/drawing/2014/main" id="{2743E36B-2F3D-45B7-85AE-3F69EEAA22E6}"/>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02" name="AutoShape 237" descr="+">
          <a:extLst>
            <a:ext uri="{FF2B5EF4-FFF2-40B4-BE49-F238E27FC236}">
              <a16:creationId xmlns:a16="http://schemas.microsoft.com/office/drawing/2014/main" id="{280B6C95-0339-43B9-BF73-0C075E018E3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4"/>
    <xdr:sp macro="" textlink="">
      <xdr:nvSpPr>
        <xdr:cNvPr id="503" name="AutoShape 238" descr="+">
          <a:extLst>
            <a:ext uri="{FF2B5EF4-FFF2-40B4-BE49-F238E27FC236}">
              <a16:creationId xmlns:a16="http://schemas.microsoft.com/office/drawing/2014/main" id="{E344B4AF-FCBF-41A1-BBCA-FD51CB92A9DC}"/>
            </a:ext>
          </a:extLst>
        </xdr:cNvPr>
        <xdr:cNvSpPr>
          <a:spLocks noChangeAspect="1" noChangeArrowheads="1"/>
        </xdr:cNvSpPr>
      </xdr:nvSpPr>
      <xdr:spPr bwMode="auto">
        <a:xfrm>
          <a:off x="1885950" y="2695575"/>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4" name="AutoShape 239" descr="+">
          <a:extLst>
            <a:ext uri="{FF2B5EF4-FFF2-40B4-BE49-F238E27FC236}">
              <a16:creationId xmlns:a16="http://schemas.microsoft.com/office/drawing/2014/main" id="{2274B0CD-3CD0-486D-B0B2-8E33AE4B393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5" name="AutoShape 240" descr="+">
          <a:extLst>
            <a:ext uri="{FF2B5EF4-FFF2-40B4-BE49-F238E27FC236}">
              <a16:creationId xmlns:a16="http://schemas.microsoft.com/office/drawing/2014/main" id="{0AA917EC-AF52-4895-A040-83E9A9B2AD1E}"/>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06" name="AutoShape 241" descr="+">
          <a:extLst>
            <a:ext uri="{FF2B5EF4-FFF2-40B4-BE49-F238E27FC236}">
              <a16:creationId xmlns:a16="http://schemas.microsoft.com/office/drawing/2014/main" id="{F815D172-0045-4D03-B661-23384DFA2711}"/>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507" name="AutoShape 242" descr="+">
          <a:extLst>
            <a:ext uri="{FF2B5EF4-FFF2-40B4-BE49-F238E27FC236}">
              <a16:creationId xmlns:a16="http://schemas.microsoft.com/office/drawing/2014/main" id="{16D29CE9-F354-4E9E-B402-62091D85337B}"/>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08" name="AutoShape 243" descr="+">
          <a:extLst>
            <a:ext uri="{FF2B5EF4-FFF2-40B4-BE49-F238E27FC236}">
              <a16:creationId xmlns:a16="http://schemas.microsoft.com/office/drawing/2014/main" id="{EF0F963C-0FDD-4691-A99F-1F54D67EEBE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9" name="AutoShape 244" descr="+">
          <a:extLst>
            <a:ext uri="{FF2B5EF4-FFF2-40B4-BE49-F238E27FC236}">
              <a16:creationId xmlns:a16="http://schemas.microsoft.com/office/drawing/2014/main" id="{00C941B1-DB2E-40F3-B056-67280B020D1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0" name="AutoShape 245" descr="+">
          <a:extLst>
            <a:ext uri="{FF2B5EF4-FFF2-40B4-BE49-F238E27FC236}">
              <a16:creationId xmlns:a16="http://schemas.microsoft.com/office/drawing/2014/main" id="{C76FA0FE-65F9-41F7-8B74-246DD9CFB85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511" name="AutoShape 246" descr="+">
          <a:extLst>
            <a:ext uri="{FF2B5EF4-FFF2-40B4-BE49-F238E27FC236}">
              <a16:creationId xmlns:a16="http://schemas.microsoft.com/office/drawing/2014/main" id="{54CD8AAE-D275-4A44-9026-0C10D52CD26C}"/>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2" name="AutoShape 247" descr="+">
          <a:extLst>
            <a:ext uri="{FF2B5EF4-FFF2-40B4-BE49-F238E27FC236}">
              <a16:creationId xmlns:a16="http://schemas.microsoft.com/office/drawing/2014/main" id="{3A4514BB-20B2-406C-A849-088FF095C44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13" name="AutoShape 248" descr="+">
          <a:extLst>
            <a:ext uri="{FF2B5EF4-FFF2-40B4-BE49-F238E27FC236}">
              <a16:creationId xmlns:a16="http://schemas.microsoft.com/office/drawing/2014/main" id="{52B1C5B5-878E-4B75-9961-2E41036521B9}"/>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4" name="AutoShape 249" descr="+">
          <a:extLst>
            <a:ext uri="{FF2B5EF4-FFF2-40B4-BE49-F238E27FC236}">
              <a16:creationId xmlns:a16="http://schemas.microsoft.com/office/drawing/2014/main" id="{9E36104C-4B06-413D-A391-58524B260A2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5" name="AutoShape 250" descr="+">
          <a:extLst>
            <a:ext uri="{FF2B5EF4-FFF2-40B4-BE49-F238E27FC236}">
              <a16:creationId xmlns:a16="http://schemas.microsoft.com/office/drawing/2014/main" id="{D7EA71C2-5A4A-45F4-B398-CC86BE0075F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6" name="AutoShape 251" descr="+">
          <a:extLst>
            <a:ext uri="{FF2B5EF4-FFF2-40B4-BE49-F238E27FC236}">
              <a16:creationId xmlns:a16="http://schemas.microsoft.com/office/drawing/2014/main" id="{1299422C-5840-41B5-BA94-776BDE4E510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17" name="AutoShape 252" descr="+">
          <a:extLst>
            <a:ext uri="{FF2B5EF4-FFF2-40B4-BE49-F238E27FC236}">
              <a16:creationId xmlns:a16="http://schemas.microsoft.com/office/drawing/2014/main" id="{7ED57156-B259-4306-B3FC-01EBD7AFFD55}"/>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18" name="AutoShape 253" descr="+">
          <a:extLst>
            <a:ext uri="{FF2B5EF4-FFF2-40B4-BE49-F238E27FC236}">
              <a16:creationId xmlns:a16="http://schemas.microsoft.com/office/drawing/2014/main" id="{B70F50AC-6E86-47E7-9A81-4D9051479ECE}"/>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9" name="AutoShape 254" descr="+">
          <a:extLst>
            <a:ext uri="{FF2B5EF4-FFF2-40B4-BE49-F238E27FC236}">
              <a16:creationId xmlns:a16="http://schemas.microsoft.com/office/drawing/2014/main" id="{B991F78A-4D0B-4ACC-BEFB-403986E9E86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20" name="AutoShape 255" descr="+">
          <a:extLst>
            <a:ext uri="{FF2B5EF4-FFF2-40B4-BE49-F238E27FC236}">
              <a16:creationId xmlns:a16="http://schemas.microsoft.com/office/drawing/2014/main" id="{5DF0A79E-D2C3-4DC9-A568-0EA176A66E7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1" name="AutoShape 256" descr="+">
          <a:extLst>
            <a:ext uri="{FF2B5EF4-FFF2-40B4-BE49-F238E27FC236}">
              <a16:creationId xmlns:a16="http://schemas.microsoft.com/office/drawing/2014/main" id="{FC8B75BD-A5D0-462A-A872-831EEDAD6D4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2" name="AutoShape 257" descr="+">
          <a:extLst>
            <a:ext uri="{FF2B5EF4-FFF2-40B4-BE49-F238E27FC236}">
              <a16:creationId xmlns:a16="http://schemas.microsoft.com/office/drawing/2014/main" id="{4FC807DF-7461-4D8A-A063-972B086F1B6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1743"/>
    <xdr:sp macro="" textlink="">
      <xdr:nvSpPr>
        <xdr:cNvPr id="523" name="AutoShape 258" descr="+">
          <a:extLst>
            <a:ext uri="{FF2B5EF4-FFF2-40B4-BE49-F238E27FC236}">
              <a16:creationId xmlns:a16="http://schemas.microsoft.com/office/drawing/2014/main" id="{384B8943-5D41-4650-9EF0-2824B59AACD2}"/>
            </a:ext>
          </a:extLst>
        </xdr:cNvPr>
        <xdr:cNvSpPr>
          <a:spLocks noChangeAspect="1" noChangeArrowheads="1"/>
        </xdr:cNvSpPr>
      </xdr:nvSpPr>
      <xdr:spPr bwMode="auto">
        <a:xfrm>
          <a:off x="1885950" y="2695575"/>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24" name="AutoShape 259" descr="+">
          <a:extLst>
            <a:ext uri="{FF2B5EF4-FFF2-40B4-BE49-F238E27FC236}">
              <a16:creationId xmlns:a16="http://schemas.microsoft.com/office/drawing/2014/main" id="{56E44D7D-5C1F-4E0D-8BD9-959E379D9B58}"/>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525" name="AutoShape 260" descr="+">
          <a:extLst>
            <a:ext uri="{FF2B5EF4-FFF2-40B4-BE49-F238E27FC236}">
              <a16:creationId xmlns:a16="http://schemas.microsoft.com/office/drawing/2014/main" id="{209FAD95-1EE8-41AC-99D7-57761313A4DA}"/>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6" name="AutoShape 261" descr="+">
          <a:extLst>
            <a:ext uri="{FF2B5EF4-FFF2-40B4-BE49-F238E27FC236}">
              <a16:creationId xmlns:a16="http://schemas.microsoft.com/office/drawing/2014/main" id="{9441583E-9064-4818-8691-40367021610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7" name="AutoShape 262" descr="+">
          <a:extLst>
            <a:ext uri="{FF2B5EF4-FFF2-40B4-BE49-F238E27FC236}">
              <a16:creationId xmlns:a16="http://schemas.microsoft.com/office/drawing/2014/main" id="{9EB0FE65-55D8-44D4-B9FD-889478079C4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9"/>
    <xdr:sp macro="" textlink="">
      <xdr:nvSpPr>
        <xdr:cNvPr id="528" name="AutoShape 263" descr="+">
          <a:extLst>
            <a:ext uri="{FF2B5EF4-FFF2-40B4-BE49-F238E27FC236}">
              <a16:creationId xmlns:a16="http://schemas.microsoft.com/office/drawing/2014/main" id="{70528893-11C1-4BAB-AC26-2CB1EA0448C2}"/>
            </a:ext>
          </a:extLst>
        </xdr:cNvPr>
        <xdr:cNvSpPr>
          <a:spLocks noChangeAspect="1" noChangeArrowheads="1"/>
        </xdr:cNvSpPr>
      </xdr:nvSpPr>
      <xdr:spPr bwMode="auto">
        <a:xfrm>
          <a:off x="1885950" y="2695575"/>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8"/>
    <xdr:sp macro="" textlink="">
      <xdr:nvSpPr>
        <xdr:cNvPr id="529" name="AutoShape 264" descr="+">
          <a:extLst>
            <a:ext uri="{FF2B5EF4-FFF2-40B4-BE49-F238E27FC236}">
              <a16:creationId xmlns:a16="http://schemas.microsoft.com/office/drawing/2014/main" id="{B2485957-2450-4520-AE95-AEDBB8F0087B}"/>
            </a:ext>
          </a:extLst>
        </xdr:cNvPr>
        <xdr:cNvSpPr>
          <a:spLocks noChangeAspect="1" noChangeArrowheads="1"/>
        </xdr:cNvSpPr>
      </xdr:nvSpPr>
      <xdr:spPr bwMode="auto">
        <a:xfrm>
          <a:off x="1885950" y="269557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0" name="AutoShape 265" descr="+">
          <a:extLst>
            <a:ext uri="{FF2B5EF4-FFF2-40B4-BE49-F238E27FC236}">
              <a16:creationId xmlns:a16="http://schemas.microsoft.com/office/drawing/2014/main" id="{13BE3F9C-0FC1-4540-BC1E-BEB50800AAF9}"/>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531" name="AutoShape 266" descr="+">
          <a:extLst>
            <a:ext uri="{FF2B5EF4-FFF2-40B4-BE49-F238E27FC236}">
              <a16:creationId xmlns:a16="http://schemas.microsoft.com/office/drawing/2014/main" id="{E4F9C1AE-E336-4A77-977B-E4F0823B93F6}"/>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532" name="AutoShape 267" descr="+">
          <a:extLst>
            <a:ext uri="{FF2B5EF4-FFF2-40B4-BE49-F238E27FC236}">
              <a16:creationId xmlns:a16="http://schemas.microsoft.com/office/drawing/2014/main" id="{1890157E-E698-4DA7-80D3-128288320498}"/>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3" name="AutoShape 268" descr="+">
          <a:extLst>
            <a:ext uri="{FF2B5EF4-FFF2-40B4-BE49-F238E27FC236}">
              <a16:creationId xmlns:a16="http://schemas.microsoft.com/office/drawing/2014/main" id="{D0DD9970-5653-462E-B70F-46E463A7DDE3}"/>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4" name="AutoShape 269" descr="+">
          <a:extLst>
            <a:ext uri="{FF2B5EF4-FFF2-40B4-BE49-F238E27FC236}">
              <a16:creationId xmlns:a16="http://schemas.microsoft.com/office/drawing/2014/main" id="{4557E344-AECB-4BD1-A7AC-6D23741187F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5" name="AutoShape 270" descr="+">
          <a:extLst>
            <a:ext uri="{FF2B5EF4-FFF2-40B4-BE49-F238E27FC236}">
              <a16:creationId xmlns:a16="http://schemas.microsoft.com/office/drawing/2014/main" id="{83D2DE96-0382-4979-8589-9D353A7D630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536" name="AutoShape 271" descr="+">
          <a:extLst>
            <a:ext uri="{FF2B5EF4-FFF2-40B4-BE49-F238E27FC236}">
              <a16:creationId xmlns:a16="http://schemas.microsoft.com/office/drawing/2014/main" id="{B458FDE3-37A5-4C8C-83A0-9509E244D381}"/>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7" name="AutoShape 272" descr="+">
          <a:extLst>
            <a:ext uri="{FF2B5EF4-FFF2-40B4-BE49-F238E27FC236}">
              <a16:creationId xmlns:a16="http://schemas.microsoft.com/office/drawing/2014/main" id="{8F36A306-AF2A-4153-869E-51DB1CA20140}"/>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8" name="AutoShape 273" descr="+">
          <a:extLst>
            <a:ext uri="{FF2B5EF4-FFF2-40B4-BE49-F238E27FC236}">
              <a16:creationId xmlns:a16="http://schemas.microsoft.com/office/drawing/2014/main" id="{9ACA11E3-74B0-4872-AECD-C06F31A00C1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9" name="AutoShape 274" descr="+">
          <a:extLst>
            <a:ext uri="{FF2B5EF4-FFF2-40B4-BE49-F238E27FC236}">
              <a16:creationId xmlns:a16="http://schemas.microsoft.com/office/drawing/2014/main" id="{5D5A734C-F2AC-4CDB-8550-9955D35E52A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5297"/>
    <xdr:sp macro="" textlink="">
      <xdr:nvSpPr>
        <xdr:cNvPr id="540" name="AutoShape 275" descr="+">
          <a:extLst>
            <a:ext uri="{FF2B5EF4-FFF2-40B4-BE49-F238E27FC236}">
              <a16:creationId xmlns:a16="http://schemas.microsoft.com/office/drawing/2014/main" id="{522E0FDF-A8AE-4A87-83AF-9DBCA2FF80C6}"/>
            </a:ext>
          </a:extLst>
        </xdr:cNvPr>
        <xdr:cNvSpPr>
          <a:spLocks noChangeAspect="1" noChangeArrowheads="1"/>
        </xdr:cNvSpPr>
      </xdr:nvSpPr>
      <xdr:spPr bwMode="auto">
        <a:xfrm>
          <a:off x="1885950" y="2695575"/>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41" name="AutoShape 276" descr="+">
          <a:extLst>
            <a:ext uri="{FF2B5EF4-FFF2-40B4-BE49-F238E27FC236}">
              <a16:creationId xmlns:a16="http://schemas.microsoft.com/office/drawing/2014/main" id="{616200AB-B8E2-41E8-AA7A-0B48DA435062}"/>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42" name="AutoShape 277" descr="+">
          <a:extLst>
            <a:ext uri="{FF2B5EF4-FFF2-40B4-BE49-F238E27FC236}">
              <a16:creationId xmlns:a16="http://schemas.microsoft.com/office/drawing/2014/main" id="{6FC65C9C-BAA0-4AB9-97BF-FFF42CAEA26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43" name="AutoShape 278" descr="+">
          <a:extLst>
            <a:ext uri="{FF2B5EF4-FFF2-40B4-BE49-F238E27FC236}">
              <a16:creationId xmlns:a16="http://schemas.microsoft.com/office/drawing/2014/main" id="{2FA426B3-EF19-4381-923E-B3E1CE0A544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544" name="AutoShape 279" descr="+">
          <a:extLst>
            <a:ext uri="{FF2B5EF4-FFF2-40B4-BE49-F238E27FC236}">
              <a16:creationId xmlns:a16="http://schemas.microsoft.com/office/drawing/2014/main" id="{1CF16296-7C8C-492B-8A5F-8E41F48B0445}"/>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545" name="AutoShape 280" descr="+">
          <a:extLst>
            <a:ext uri="{FF2B5EF4-FFF2-40B4-BE49-F238E27FC236}">
              <a16:creationId xmlns:a16="http://schemas.microsoft.com/office/drawing/2014/main" id="{7A0C7C12-A689-46CC-BB41-6B70786901FD}"/>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46" name="AutoShape 281" descr="+">
          <a:extLst>
            <a:ext uri="{FF2B5EF4-FFF2-40B4-BE49-F238E27FC236}">
              <a16:creationId xmlns:a16="http://schemas.microsoft.com/office/drawing/2014/main" id="{3129C24E-F3D5-4DC6-9032-B3DA95BB4CB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547" name="AutoShape 282" descr="+">
          <a:extLst>
            <a:ext uri="{FF2B5EF4-FFF2-40B4-BE49-F238E27FC236}">
              <a16:creationId xmlns:a16="http://schemas.microsoft.com/office/drawing/2014/main" id="{FD35DF12-9D8B-427F-A168-31A7D3229922}"/>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8" name="AutoShape 283" descr="+">
          <a:extLst>
            <a:ext uri="{FF2B5EF4-FFF2-40B4-BE49-F238E27FC236}">
              <a16:creationId xmlns:a16="http://schemas.microsoft.com/office/drawing/2014/main" id="{77FF9329-DF43-41E8-898F-9977F733955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9" name="AutoShape 284" descr="+">
          <a:extLst>
            <a:ext uri="{FF2B5EF4-FFF2-40B4-BE49-F238E27FC236}">
              <a16:creationId xmlns:a16="http://schemas.microsoft.com/office/drawing/2014/main" id="{B07CDAA3-4ECA-4A3D-846E-89783AB2DE3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550" name="AutoShape 285" descr="+">
          <a:extLst>
            <a:ext uri="{FF2B5EF4-FFF2-40B4-BE49-F238E27FC236}">
              <a16:creationId xmlns:a16="http://schemas.microsoft.com/office/drawing/2014/main" id="{3ECF533C-EEE5-4D49-AFFA-40FBB496EFB2}"/>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551" name="AutoShape 286" descr="+">
          <a:extLst>
            <a:ext uri="{FF2B5EF4-FFF2-40B4-BE49-F238E27FC236}">
              <a16:creationId xmlns:a16="http://schemas.microsoft.com/office/drawing/2014/main" id="{0A22C095-4CD0-46A2-ABF5-742B735B61AB}"/>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7"/>
    <xdr:sp macro="" textlink="">
      <xdr:nvSpPr>
        <xdr:cNvPr id="552" name="AutoShape 287" descr="+">
          <a:extLst>
            <a:ext uri="{FF2B5EF4-FFF2-40B4-BE49-F238E27FC236}">
              <a16:creationId xmlns:a16="http://schemas.microsoft.com/office/drawing/2014/main" id="{90151353-E9AC-468E-A2D6-705E32F9083D}"/>
            </a:ext>
          </a:extLst>
        </xdr:cNvPr>
        <xdr:cNvSpPr>
          <a:spLocks noChangeAspect="1" noChangeArrowheads="1"/>
        </xdr:cNvSpPr>
      </xdr:nvSpPr>
      <xdr:spPr bwMode="auto">
        <a:xfrm>
          <a:off x="1885950" y="2695575"/>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7"/>
    <xdr:sp macro="" textlink="">
      <xdr:nvSpPr>
        <xdr:cNvPr id="553" name="AutoShape 288" descr="+">
          <a:extLst>
            <a:ext uri="{FF2B5EF4-FFF2-40B4-BE49-F238E27FC236}">
              <a16:creationId xmlns:a16="http://schemas.microsoft.com/office/drawing/2014/main" id="{AA7F2972-62FA-445F-9465-16B865AEDD3E}"/>
            </a:ext>
          </a:extLst>
        </xdr:cNvPr>
        <xdr:cNvSpPr>
          <a:spLocks noChangeAspect="1" noChangeArrowheads="1"/>
        </xdr:cNvSpPr>
      </xdr:nvSpPr>
      <xdr:spPr bwMode="auto">
        <a:xfrm>
          <a:off x="1885950" y="269557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54" name="AutoShape 289" descr="+">
          <a:extLst>
            <a:ext uri="{FF2B5EF4-FFF2-40B4-BE49-F238E27FC236}">
              <a16:creationId xmlns:a16="http://schemas.microsoft.com/office/drawing/2014/main" id="{A80328FF-E33E-4FB8-9371-574C34988C1C}"/>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5" name="AutoShape 290" descr="+">
          <a:extLst>
            <a:ext uri="{FF2B5EF4-FFF2-40B4-BE49-F238E27FC236}">
              <a16:creationId xmlns:a16="http://schemas.microsoft.com/office/drawing/2014/main" id="{226E8744-BE2B-4AC3-B04A-F0717141827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56" name="AutoShape 291" descr="+">
          <a:extLst>
            <a:ext uri="{FF2B5EF4-FFF2-40B4-BE49-F238E27FC236}">
              <a16:creationId xmlns:a16="http://schemas.microsoft.com/office/drawing/2014/main" id="{9731CA08-EF56-439A-BA95-1388ED338E8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7" name="AutoShape 292" descr="+">
          <a:extLst>
            <a:ext uri="{FF2B5EF4-FFF2-40B4-BE49-F238E27FC236}">
              <a16:creationId xmlns:a16="http://schemas.microsoft.com/office/drawing/2014/main" id="{58B53219-909D-41D4-916D-18BFD8F82DB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58" name="AutoShape 293" descr="+">
          <a:extLst>
            <a:ext uri="{FF2B5EF4-FFF2-40B4-BE49-F238E27FC236}">
              <a16:creationId xmlns:a16="http://schemas.microsoft.com/office/drawing/2014/main" id="{87624E4E-578E-4728-A761-EE17EB13984A}"/>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9" name="AutoShape 294" descr="+">
          <a:extLst>
            <a:ext uri="{FF2B5EF4-FFF2-40B4-BE49-F238E27FC236}">
              <a16:creationId xmlns:a16="http://schemas.microsoft.com/office/drawing/2014/main" id="{1BDF8C08-E1D4-4844-BCEC-6DA2F4EEAE3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5079"/>
    <xdr:sp macro="" textlink="">
      <xdr:nvSpPr>
        <xdr:cNvPr id="560" name="AutoShape 295" descr="+">
          <a:extLst>
            <a:ext uri="{FF2B5EF4-FFF2-40B4-BE49-F238E27FC236}">
              <a16:creationId xmlns:a16="http://schemas.microsoft.com/office/drawing/2014/main" id="{947D32ED-320C-4837-9FB9-03E1F9F8E619}"/>
            </a:ext>
          </a:extLst>
        </xdr:cNvPr>
        <xdr:cNvSpPr>
          <a:spLocks noChangeAspect="1" noChangeArrowheads="1"/>
        </xdr:cNvSpPr>
      </xdr:nvSpPr>
      <xdr:spPr bwMode="auto">
        <a:xfrm>
          <a:off x="1885950" y="2695575"/>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61" name="AutoShape 296" descr="+">
          <a:extLst>
            <a:ext uri="{FF2B5EF4-FFF2-40B4-BE49-F238E27FC236}">
              <a16:creationId xmlns:a16="http://schemas.microsoft.com/office/drawing/2014/main" id="{89ED7E94-562D-4779-B736-9AF2B4AA799B}"/>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63" name="AutoShape 298" descr="+">
          <a:extLst>
            <a:ext uri="{FF2B5EF4-FFF2-40B4-BE49-F238E27FC236}">
              <a16:creationId xmlns:a16="http://schemas.microsoft.com/office/drawing/2014/main" id="{53C8C576-FAE1-43CA-A071-4E3011F0AFE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7"/>
    <xdr:sp macro="" textlink="">
      <xdr:nvSpPr>
        <xdr:cNvPr id="564" name="AutoShape 80" descr="+">
          <a:extLst>
            <a:ext uri="{FF2B5EF4-FFF2-40B4-BE49-F238E27FC236}">
              <a16:creationId xmlns:a16="http://schemas.microsoft.com/office/drawing/2014/main" id="{461F2D05-D234-4EAC-8EAF-D0925B375D1F}"/>
            </a:ext>
          </a:extLst>
        </xdr:cNvPr>
        <xdr:cNvSpPr>
          <a:spLocks noChangeAspect="1" noChangeArrowheads="1"/>
        </xdr:cNvSpPr>
      </xdr:nvSpPr>
      <xdr:spPr bwMode="auto">
        <a:xfrm>
          <a:off x="1885950" y="2695575"/>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161925</xdr:colOff>
      <xdr:row>20</xdr:row>
      <xdr:rowOff>47626</xdr:rowOff>
    </xdr:from>
    <xdr:to>
      <xdr:col>4</xdr:col>
      <xdr:colOff>118027</xdr:colOff>
      <xdr:row>20</xdr:row>
      <xdr:rowOff>4265543</xdr:rowOff>
    </xdr:to>
    <xdr:pic>
      <xdr:nvPicPr>
        <xdr:cNvPr id="566" name="Picture 565">
          <a:extLst>
            <a:ext uri="{FF2B5EF4-FFF2-40B4-BE49-F238E27FC236}">
              <a16:creationId xmlns:a16="http://schemas.microsoft.com/office/drawing/2014/main" id="{42918226-D719-4E44-BADC-2DD7C9BA56AF}"/>
            </a:ext>
          </a:extLst>
        </xdr:cNvPr>
        <xdr:cNvPicPr>
          <a:picLocks noChangeAspect="1"/>
        </xdr:cNvPicPr>
      </xdr:nvPicPr>
      <xdr:blipFill>
        <a:blip xmlns:r="http://schemas.openxmlformats.org/officeDocument/2006/relationships" r:embed="rId1"/>
        <a:stretch>
          <a:fillRect/>
        </a:stretch>
      </xdr:blipFill>
      <xdr:spPr>
        <a:xfrm>
          <a:off x="161925" y="6764822"/>
          <a:ext cx="6143211" cy="4217917"/>
        </a:xfrm>
        <a:prstGeom prst="rect">
          <a:avLst/>
        </a:prstGeom>
        <a:ln>
          <a:solidFill>
            <a:schemeClr val="tx1"/>
          </a:solidFill>
        </a:ln>
      </xdr:spPr>
    </xdr:pic>
    <xdr:clientData/>
  </xdr:twoCellAnchor>
  <xdr:oneCellAnchor>
    <xdr:from>
      <xdr:col>2</xdr:col>
      <xdr:colOff>0</xdr:colOff>
      <xdr:row>7</xdr:row>
      <xdr:rowOff>0</xdr:rowOff>
    </xdr:from>
    <xdr:ext cx="304800" cy="270548"/>
    <xdr:sp macro="" textlink="">
      <xdr:nvSpPr>
        <xdr:cNvPr id="568" name="AutoShape 12" descr="+">
          <a:extLst>
            <a:ext uri="{FF2B5EF4-FFF2-40B4-BE49-F238E27FC236}">
              <a16:creationId xmlns:a16="http://schemas.microsoft.com/office/drawing/2014/main" id="{56B14DAD-8C99-45EE-BDAB-1374819B5548}"/>
            </a:ext>
          </a:extLst>
        </xdr:cNvPr>
        <xdr:cNvSpPr>
          <a:spLocks noChangeAspect="1" noChangeArrowheads="1"/>
        </xdr:cNvSpPr>
      </xdr:nvSpPr>
      <xdr:spPr bwMode="auto">
        <a:xfrm>
          <a:off x="1885950" y="33528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69" name="AutoShape 59" descr="+">
          <a:extLst>
            <a:ext uri="{FF2B5EF4-FFF2-40B4-BE49-F238E27FC236}">
              <a16:creationId xmlns:a16="http://schemas.microsoft.com/office/drawing/2014/main" id="{80002117-B79D-4014-AAA0-DDF3597DCBC4}"/>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7044"/>
    <xdr:sp macro="" textlink="">
      <xdr:nvSpPr>
        <xdr:cNvPr id="570" name="AutoShape 91" descr="+">
          <a:extLst>
            <a:ext uri="{FF2B5EF4-FFF2-40B4-BE49-F238E27FC236}">
              <a16:creationId xmlns:a16="http://schemas.microsoft.com/office/drawing/2014/main" id="{9796CACE-044A-4947-84B4-30306D58646D}"/>
            </a:ext>
          </a:extLst>
        </xdr:cNvPr>
        <xdr:cNvSpPr>
          <a:spLocks noChangeAspect="1" noChangeArrowheads="1"/>
        </xdr:cNvSpPr>
      </xdr:nvSpPr>
      <xdr:spPr bwMode="auto">
        <a:xfrm>
          <a:off x="1885950" y="33528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27330"/>
    <xdr:sp macro="" textlink="">
      <xdr:nvSpPr>
        <xdr:cNvPr id="571" name="AutoShape 143" descr="+">
          <a:extLst>
            <a:ext uri="{FF2B5EF4-FFF2-40B4-BE49-F238E27FC236}">
              <a16:creationId xmlns:a16="http://schemas.microsoft.com/office/drawing/2014/main" id="{7812BC99-9C2C-4EB6-9B8B-AF9BD03A638F}"/>
            </a:ext>
          </a:extLst>
        </xdr:cNvPr>
        <xdr:cNvSpPr>
          <a:spLocks noChangeAspect="1" noChangeArrowheads="1"/>
        </xdr:cNvSpPr>
      </xdr:nvSpPr>
      <xdr:spPr bwMode="auto">
        <a:xfrm>
          <a:off x="1885950" y="33528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796"/>
    <xdr:sp macro="" textlink="">
      <xdr:nvSpPr>
        <xdr:cNvPr id="572" name="AutoShape 153" descr="+">
          <a:extLst>
            <a:ext uri="{FF2B5EF4-FFF2-40B4-BE49-F238E27FC236}">
              <a16:creationId xmlns:a16="http://schemas.microsoft.com/office/drawing/2014/main" id="{B856280A-5F33-4D5A-8822-8E80613A6977}"/>
            </a:ext>
          </a:extLst>
        </xdr:cNvPr>
        <xdr:cNvSpPr>
          <a:spLocks noChangeAspect="1" noChangeArrowheads="1"/>
        </xdr:cNvSpPr>
      </xdr:nvSpPr>
      <xdr:spPr bwMode="auto">
        <a:xfrm>
          <a:off x="1885950" y="33528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5"/>
    <xdr:sp macro="" textlink="">
      <xdr:nvSpPr>
        <xdr:cNvPr id="573" name="AutoShape 168" descr="+">
          <a:extLst>
            <a:ext uri="{FF2B5EF4-FFF2-40B4-BE49-F238E27FC236}">
              <a16:creationId xmlns:a16="http://schemas.microsoft.com/office/drawing/2014/main" id="{138BFF9C-FB9C-4504-B5DD-F045D3F54F8B}"/>
            </a:ext>
          </a:extLst>
        </xdr:cNvPr>
        <xdr:cNvSpPr>
          <a:spLocks noChangeAspect="1" noChangeArrowheads="1"/>
        </xdr:cNvSpPr>
      </xdr:nvSpPr>
      <xdr:spPr bwMode="auto">
        <a:xfrm>
          <a:off x="1885950" y="33528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74" name="AutoShape 171" descr="+">
          <a:extLst>
            <a:ext uri="{FF2B5EF4-FFF2-40B4-BE49-F238E27FC236}">
              <a16:creationId xmlns:a16="http://schemas.microsoft.com/office/drawing/2014/main" id="{7494419A-E425-42C8-90D3-E4F22DC21155}"/>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9916"/>
    <xdr:sp macro="" textlink="">
      <xdr:nvSpPr>
        <xdr:cNvPr id="575" name="AutoShape 182" descr="+">
          <a:extLst>
            <a:ext uri="{FF2B5EF4-FFF2-40B4-BE49-F238E27FC236}">
              <a16:creationId xmlns:a16="http://schemas.microsoft.com/office/drawing/2014/main" id="{0221E128-670A-4E4A-A1C4-278A33924685}"/>
            </a:ext>
          </a:extLst>
        </xdr:cNvPr>
        <xdr:cNvSpPr>
          <a:spLocks noChangeAspect="1" noChangeArrowheads="1"/>
        </xdr:cNvSpPr>
      </xdr:nvSpPr>
      <xdr:spPr bwMode="auto">
        <a:xfrm>
          <a:off x="1885950" y="33528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6" name="AutoShape 197" descr="+">
          <a:extLst>
            <a:ext uri="{FF2B5EF4-FFF2-40B4-BE49-F238E27FC236}">
              <a16:creationId xmlns:a16="http://schemas.microsoft.com/office/drawing/2014/main" id="{BA9D1629-D8F9-4F62-8C42-E3D0C4EA9D55}"/>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7" name="AutoShape 211" descr="+">
          <a:extLst>
            <a:ext uri="{FF2B5EF4-FFF2-40B4-BE49-F238E27FC236}">
              <a16:creationId xmlns:a16="http://schemas.microsoft.com/office/drawing/2014/main" id="{1CB14A46-E948-4BFC-8FC6-6673551A51CA}"/>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6830"/>
    <xdr:sp macro="" textlink="">
      <xdr:nvSpPr>
        <xdr:cNvPr id="578" name="AutoShape 212" descr="+">
          <a:extLst>
            <a:ext uri="{FF2B5EF4-FFF2-40B4-BE49-F238E27FC236}">
              <a16:creationId xmlns:a16="http://schemas.microsoft.com/office/drawing/2014/main" id="{EB0B0D20-1683-416E-A65A-F726F12C2174}"/>
            </a:ext>
          </a:extLst>
        </xdr:cNvPr>
        <xdr:cNvSpPr>
          <a:spLocks noChangeAspect="1" noChangeArrowheads="1"/>
        </xdr:cNvSpPr>
      </xdr:nvSpPr>
      <xdr:spPr bwMode="auto">
        <a:xfrm>
          <a:off x="1885950" y="33528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2"/>
    <xdr:sp macro="" textlink="">
      <xdr:nvSpPr>
        <xdr:cNvPr id="579" name="AutoShape 226" descr="+">
          <a:extLst>
            <a:ext uri="{FF2B5EF4-FFF2-40B4-BE49-F238E27FC236}">
              <a16:creationId xmlns:a16="http://schemas.microsoft.com/office/drawing/2014/main" id="{D9B69A56-4D8E-4610-9D2B-2E95A2D85308}"/>
            </a:ext>
          </a:extLst>
        </xdr:cNvPr>
        <xdr:cNvSpPr>
          <a:spLocks noChangeAspect="1" noChangeArrowheads="1"/>
        </xdr:cNvSpPr>
      </xdr:nvSpPr>
      <xdr:spPr bwMode="auto">
        <a:xfrm>
          <a:off x="1885950" y="33528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9"/>
    <xdr:sp macro="" textlink="">
      <xdr:nvSpPr>
        <xdr:cNvPr id="580" name="AutoShape 229" descr="+">
          <a:extLst>
            <a:ext uri="{FF2B5EF4-FFF2-40B4-BE49-F238E27FC236}">
              <a16:creationId xmlns:a16="http://schemas.microsoft.com/office/drawing/2014/main" id="{06A0DF07-EF9B-44ED-A79C-A70C88343BF5}"/>
            </a:ext>
          </a:extLst>
        </xdr:cNvPr>
        <xdr:cNvSpPr>
          <a:spLocks noChangeAspect="1" noChangeArrowheads="1"/>
        </xdr:cNvSpPr>
      </xdr:nvSpPr>
      <xdr:spPr bwMode="auto">
        <a:xfrm>
          <a:off x="1885950" y="33528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1" name="AutoShape 230" descr="+">
          <a:extLst>
            <a:ext uri="{FF2B5EF4-FFF2-40B4-BE49-F238E27FC236}">
              <a16:creationId xmlns:a16="http://schemas.microsoft.com/office/drawing/2014/main" id="{ECA3C8B3-71BE-4815-861F-24E99BCD4491}"/>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1743"/>
    <xdr:sp macro="" textlink="">
      <xdr:nvSpPr>
        <xdr:cNvPr id="582" name="AutoShape 258" descr="+">
          <a:extLst>
            <a:ext uri="{FF2B5EF4-FFF2-40B4-BE49-F238E27FC236}">
              <a16:creationId xmlns:a16="http://schemas.microsoft.com/office/drawing/2014/main" id="{DCC40CE4-7ABF-4D44-BEB9-F6BD9BEED97D}"/>
            </a:ext>
          </a:extLst>
        </xdr:cNvPr>
        <xdr:cNvSpPr>
          <a:spLocks noChangeAspect="1" noChangeArrowheads="1"/>
        </xdr:cNvSpPr>
      </xdr:nvSpPr>
      <xdr:spPr bwMode="auto">
        <a:xfrm>
          <a:off x="1885950" y="33528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3" name="AutoShape 260" descr="+">
          <a:extLst>
            <a:ext uri="{FF2B5EF4-FFF2-40B4-BE49-F238E27FC236}">
              <a16:creationId xmlns:a16="http://schemas.microsoft.com/office/drawing/2014/main" id="{165D5D23-1439-47C8-8333-9A4B41FFC7FF}"/>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84" name="AutoShape 271" descr="+">
          <a:extLst>
            <a:ext uri="{FF2B5EF4-FFF2-40B4-BE49-F238E27FC236}">
              <a16:creationId xmlns:a16="http://schemas.microsoft.com/office/drawing/2014/main" id="{A869492D-2CB1-47E1-95A4-75EC647CD026}"/>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5079"/>
    <xdr:sp macro="" textlink="">
      <xdr:nvSpPr>
        <xdr:cNvPr id="585" name="AutoShape 295" descr="+">
          <a:extLst>
            <a:ext uri="{FF2B5EF4-FFF2-40B4-BE49-F238E27FC236}">
              <a16:creationId xmlns:a16="http://schemas.microsoft.com/office/drawing/2014/main" id="{39CCBBFD-CBE5-45FB-A768-D20D284A0B83}"/>
            </a:ext>
          </a:extLst>
        </xdr:cNvPr>
        <xdr:cNvSpPr>
          <a:spLocks noChangeAspect="1" noChangeArrowheads="1"/>
        </xdr:cNvSpPr>
      </xdr:nvSpPr>
      <xdr:spPr bwMode="auto">
        <a:xfrm>
          <a:off x="1885950" y="33528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8"/>
    <xdr:sp macro="" textlink="">
      <xdr:nvSpPr>
        <xdr:cNvPr id="586" name="AutoShape 297" descr="+">
          <a:extLst>
            <a:ext uri="{FF2B5EF4-FFF2-40B4-BE49-F238E27FC236}">
              <a16:creationId xmlns:a16="http://schemas.microsoft.com/office/drawing/2014/main" id="{D51A8E78-81E5-47C3-9046-3F33626CDC60}"/>
            </a:ext>
          </a:extLst>
        </xdr:cNvPr>
        <xdr:cNvSpPr>
          <a:spLocks noChangeAspect="1" noChangeArrowheads="1"/>
        </xdr:cNvSpPr>
      </xdr:nvSpPr>
      <xdr:spPr bwMode="auto">
        <a:xfrm>
          <a:off x="1885950" y="33528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199847</xdr:colOff>
      <xdr:row>19</xdr:row>
      <xdr:rowOff>159204</xdr:rowOff>
    </xdr:from>
    <xdr:to>
      <xdr:col>10</xdr:col>
      <xdr:colOff>370471</xdr:colOff>
      <xdr:row>20</xdr:row>
      <xdr:rowOff>2245415</xdr:rowOff>
    </xdr:to>
    <xdr:pic>
      <xdr:nvPicPr>
        <xdr:cNvPr id="587" name="Picture 586">
          <a:extLst>
            <a:ext uri="{FF2B5EF4-FFF2-40B4-BE49-F238E27FC236}">
              <a16:creationId xmlns:a16="http://schemas.microsoft.com/office/drawing/2014/main" id="{01658AA8-50E8-4D05-957D-80DA772FA611}"/>
            </a:ext>
          </a:extLst>
        </xdr:cNvPr>
        <xdr:cNvPicPr>
          <a:picLocks noChangeAspect="1"/>
        </xdr:cNvPicPr>
      </xdr:nvPicPr>
      <xdr:blipFill>
        <a:blip xmlns:r="http://schemas.openxmlformats.org/officeDocument/2006/relationships" r:embed="rId2"/>
        <a:stretch>
          <a:fillRect/>
        </a:stretch>
      </xdr:blipFill>
      <xdr:spPr>
        <a:xfrm>
          <a:off x="6381572" y="5921829"/>
          <a:ext cx="6895274" cy="2248136"/>
        </a:xfrm>
        <a:prstGeom prst="rect">
          <a:avLst/>
        </a:prstGeom>
        <a:ln>
          <a:solidFill>
            <a:schemeClr val="tx1"/>
          </a:solidFill>
        </a:ln>
      </xdr:spPr>
    </xdr:pic>
    <xdr:clientData/>
  </xdr:twoCellAnchor>
  <xdr:oneCellAnchor>
    <xdr:from>
      <xdr:col>2</xdr:col>
      <xdr:colOff>0</xdr:colOff>
      <xdr:row>8</xdr:row>
      <xdr:rowOff>0</xdr:rowOff>
    </xdr:from>
    <xdr:ext cx="304800" cy="171731"/>
    <xdr:sp macro="" textlink="">
      <xdr:nvSpPr>
        <xdr:cNvPr id="588" name="AutoShape 4" descr="+">
          <a:extLst>
            <a:ext uri="{FF2B5EF4-FFF2-40B4-BE49-F238E27FC236}">
              <a16:creationId xmlns:a16="http://schemas.microsoft.com/office/drawing/2014/main" id="{60093FAF-2674-469F-A0CF-56474F258739}"/>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589" name="AutoShape 5" descr="+">
          <a:extLst>
            <a:ext uri="{FF2B5EF4-FFF2-40B4-BE49-F238E27FC236}">
              <a16:creationId xmlns:a16="http://schemas.microsoft.com/office/drawing/2014/main" id="{BD694EF4-EEA5-47EA-867D-FB62C37FCEF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7"/>
    <xdr:sp macro="" textlink="">
      <xdr:nvSpPr>
        <xdr:cNvPr id="590" name="AutoShape 6" descr="+">
          <a:extLst>
            <a:ext uri="{FF2B5EF4-FFF2-40B4-BE49-F238E27FC236}">
              <a16:creationId xmlns:a16="http://schemas.microsoft.com/office/drawing/2014/main" id="{66FCA929-032B-49C3-8D5D-F85EFF38F247}"/>
            </a:ext>
          </a:extLst>
        </xdr:cNvPr>
        <xdr:cNvSpPr>
          <a:spLocks noChangeAspect="1" noChangeArrowheads="1"/>
        </xdr:cNvSpPr>
      </xdr:nvSpPr>
      <xdr:spPr bwMode="auto">
        <a:xfrm>
          <a:off x="1888435" y="4447761"/>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4665"/>
    <xdr:sp macro="" textlink="">
      <xdr:nvSpPr>
        <xdr:cNvPr id="591" name="AutoShape 7" descr="+">
          <a:extLst>
            <a:ext uri="{FF2B5EF4-FFF2-40B4-BE49-F238E27FC236}">
              <a16:creationId xmlns:a16="http://schemas.microsoft.com/office/drawing/2014/main" id="{0C6D7385-B3CF-459A-895E-42F0A4E262F8}"/>
            </a:ext>
          </a:extLst>
        </xdr:cNvPr>
        <xdr:cNvSpPr>
          <a:spLocks noChangeAspect="1" noChangeArrowheads="1"/>
        </xdr:cNvSpPr>
      </xdr:nvSpPr>
      <xdr:spPr bwMode="auto">
        <a:xfrm>
          <a:off x="1888435" y="4447761"/>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2" name="AutoShape 8" descr="+">
          <a:extLst>
            <a:ext uri="{FF2B5EF4-FFF2-40B4-BE49-F238E27FC236}">
              <a16:creationId xmlns:a16="http://schemas.microsoft.com/office/drawing/2014/main" id="{BF3AD1D6-AC9D-40B3-AC77-B2564AC63F6E}"/>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3" name="AutoShape 9" descr="+">
          <a:extLst>
            <a:ext uri="{FF2B5EF4-FFF2-40B4-BE49-F238E27FC236}">
              <a16:creationId xmlns:a16="http://schemas.microsoft.com/office/drawing/2014/main" id="{0FEC47C1-04E9-4139-A68F-5BEC419AFCAF}"/>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4" name="AutoShape 10" descr="+">
          <a:extLst>
            <a:ext uri="{FF2B5EF4-FFF2-40B4-BE49-F238E27FC236}">
              <a16:creationId xmlns:a16="http://schemas.microsoft.com/office/drawing/2014/main" id="{530D7E96-0284-4D74-B5D1-A2EC35F6A914}"/>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2180"/>
    <xdr:sp macro="" textlink="">
      <xdr:nvSpPr>
        <xdr:cNvPr id="595" name="AutoShape 11" descr="+">
          <a:extLst>
            <a:ext uri="{FF2B5EF4-FFF2-40B4-BE49-F238E27FC236}">
              <a16:creationId xmlns:a16="http://schemas.microsoft.com/office/drawing/2014/main" id="{A5462971-242B-492E-B4CA-365F840F4727}"/>
            </a:ext>
          </a:extLst>
        </xdr:cNvPr>
        <xdr:cNvSpPr>
          <a:spLocks noChangeAspect="1" noChangeArrowheads="1"/>
        </xdr:cNvSpPr>
      </xdr:nvSpPr>
      <xdr:spPr bwMode="auto">
        <a:xfrm>
          <a:off x="1888435" y="4447761"/>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0133"/>
    <xdr:sp macro="" textlink="">
      <xdr:nvSpPr>
        <xdr:cNvPr id="596" name="AutoShape 12" descr="+">
          <a:extLst>
            <a:ext uri="{FF2B5EF4-FFF2-40B4-BE49-F238E27FC236}">
              <a16:creationId xmlns:a16="http://schemas.microsoft.com/office/drawing/2014/main" id="{22C40F96-5D05-4295-B007-5BA6980C03C8}"/>
            </a:ext>
          </a:extLst>
        </xdr:cNvPr>
        <xdr:cNvSpPr>
          <a:spLocks noChangeAspect="1" noChangeArrowheads="1"/>
        </xdr:cNvSpPr>
      </xdr:nvSpPr>
      <xdr:spPr bwMode="auto">
        <a:xfrm>
          <a:off x="1888435" y="4447761"/>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597" name="AutoShape 13" descr="+">
          <a:extLst>
            <a:ext uri="{FF2B5EF4-FFF2-40B4-BE49-F238E27FC236}">
              <a16:creationId xmlns:a16="http://schemas.microsoft.com/office/drawing/2014/main" id="{88443AF7-A8A2-4C1C-8900-451A2F683194}"/>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8" name="AutoShape 14" descr="+">
          <a:extLst>
            <a:ext uri="{FF2B5EF4-FFF2-40B4-BE49-F238E27FC236}">
              <a16:creationId xmlns:a16="http://schemas.microsoft.com/office/drawing/2014/main" id="{4C95C644-2A49-4738-90E1-07C3201B86AA}"/>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9" name="AutoShape 15" descr="+">
          <a:extLst>
            <a:ext uri="{FF2B5EF4-FFF2-40B4-BE49-F238E27FC236}">
              <a16:creationId xmlns:a16="http://schemas.microsoft.com/office/drawing/2014/main" id="{60CD7C59-B06D-4C74-978E-7FFB6700CD76}"/>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901"/>
    <xdr:sp macro="" textlink="">
      <xdr:nvSpPr>
        <xdr:cNvPr id="600" name="AutoShape 16" descr="+">
          <a:extLst>
            <a:ext uri="{FF2B5EF4-FFF2-40B4-BE49-F238E27FC236}">
              <a16:creationId xmlns:a16="http://schemas.microsoft.com/office/drawing/2014/main" id="{91CA10EF-BC4F-483B-A6B0-C945C66E9E34}"/>
            </a:ext>
          </a:extLst>
        </xdr:cNvPr>
        <xdr:cNvSpPr>
          <a:spLocks noChangeAspect="1" noChangeArrowheads="1"/>
        </xdr:cNvSpPr>
      </xdr:nvSpPr>
      <xdr:spPr bwMode="auto">
        <a:xfrm>
          <a:off x="1888435" y="4447761"/>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3"/>
    <xdr:sp macro="" textlink="">
      <xdr:nvSpPr>
        <xdr:cNvPr id="601" name="AutoShape 17" descr="+">
          <a:extLst>
            <a:ext uri="{FF2B5EF4-FFF2-40B4-BE49-F238E27FC236}">
              <a16:creationId xmlns:a16="http://schemas.microsoft.com/office/drawing/2014/main" id="{6E3D90D9-9A61-4F5D-BC66-CC3684BE33AE}"/>
            </a:ext>
          </a:extLst>
        </xdr:cNvPr>
        <xdr:cNvSpPr>
          <a:spLocks noChangeAspect="1" noChangeArrowheads="1"/>
        </xdr:cNvSpPr>
      </xdr:nvSpPr>
      <xdr:spPr bwMode="auto">
        <a:xfrm>
          <a:off x="1888435" y="4447761"/>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5"/>
    <xdr:sp macro="" textlink="">
      <xdr:nvSpPr>
        <xdr:cNvPr id="602" name="AutoShape 18" descr="+">
          <a:extLst>
            <a:ext uri="{FF2B5EF4-FFF2-40B4-BE49-F238E27FC236}">
              <a16:creationId xmlns:a16="http://schemas.microsoft.com/office/drawing/2014/main" id="{B643415D-8830-40AA-BCDE-E387D9EDBC35}"/>
            </a:ext>
          </a:extLst>
        </xdr:cNvPr>
        <xdr:cNvSpPr>
          <a:spLocks noChangeAspect="1" noChangeArrowheads="1"/>
        </xdr:cNvSpPr>
      </xdr:nvSpPr>
      <xdr:spPr bwMode="auto">
        <a:xfrm>
          <a:off x="1888435" y="4447761"/>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03" name="AutoShape 19" descr="+">
          <a:extLst>
            <a:ext uri="{FF2B5EF4-FFF2-40B4-BE49-F238E27FC236}">
              <a16:creationId xmlns:a16="http://schemas.microsoft.com/office/drawing/2014/main" id="{62719FF8-4A9F-4297-A5C5-0DEB44B599B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2"/>
    <xdr:sp macro="" textlink="">
      <xdr:nvSpPr>
        <xdr:cNvPr id="604" name="AutoShape 20" descr="+">
          <a:extLst>
            <a:ext uri="{FF2B5EF4-FFF2-40B4-BE49-F238E27FC236}">
              <a16:creationId xmlns:a16="http://schemas.microsoft.com/office/drawing/2014/main" id="{B3A20879-D00B-40FF-8F0F-263DEDC9FC24}"/>
            </a:ext>
          </a:extLst>
        </xdr:cNvPr>
        <xdr:cNvSpPr>
          <a:spLocks noChangeAspect="1" noChangeArrowheads="1"/>
        </xdr:cNvSpPr>
      </xdr:nvSpPr>
      <xdr:spPr bwMode="auto">
        <a:xfrm>
          <a:off x="1888435" y="4447761"/>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2"/>
    <xdr:sp macro="" textlink="">
      <xdr:nvSpPr>
        <xdr:cNvPr id="605" name="AutoShape 21" descr="+">
          <a:extLst>
            <a:ext uri="{FF2B5EF4-FFF2-40B4-BE49-F238E27FC236}">
              <a16:creationId xmlns:a16="http://schemas.microsoft.com/office/drawing/2014/main" id="{56678721-9FA9-42F9-959F-EFB2C7816AD6}"/>
            </a:ext>
          </a:extLst>
        </xdr:cNvPr>
        <xdr:cNvSpPr>
          <a:spLocks noChangeAspect="1" noChangeArrowheads="1"/>
        </xdr:cNvSpPr>
      </xdr:nvSpPr>
      <xdr:spPr bwMode="auto">
        <a:xfrm>
          <a:off x="1888435" y="4447761"/>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06" name="AutoShape 22" descr="+">
          <a:extLst>
            <a:ext uri="{FF2B5EF4-FFF2-40B4-BE49-F238E27FC236}">
              <a16:creationId xmlns:a16="http://schemas.microsoft.com/office/drawing/2014/main" id="{4FB0FA82-57CA-4093-A57A-E81F25C2EBC6}"/>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1"/>
    <xdr:sp macro="" textlink="">
      <xdr:nvSpPr>
        <xdr:cNvPr id="607" name="AutoShape 23" descr="+">
          <a:extLst>
            <a:ext uri="{FF2B5EF4-FFF2-40B4-BE49-F238E27FC236}">
              <a16:creationId xmlns:a16="http://schemas.microsoft.com/office/drawing/2014/main" id="{F46E59D7-38AE-46C1-9CAF-49F01D9275D4}"/>
            </a:ext>
          </a:extLst>
        </xdr:cNvPr>
        <xdr:cNvSpPr>
          <a:spLocks noChangeAspect="1" noChangeArrowheads="1"/>
        </xdr:cNvSpPr>
      </xdr:nvSpPr>
      <xdr:spPr bwMode="auto">
        <a:xfrm>
          <a:off x="1888435" y="4447761"/>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8584"/>
    <xdr:sp macro="" textlink="">
      <xdr:nvSpPr>
        <xdr:cNvPr id="608" name="AutoShape 24" descr="+">
          <a:extLst>
            <a:ext uri="{FF2B5EF4-FFF2-40B4-BE49-F238E27FC236}">
              <a16:creationId xmlns:a16="http://schemas.microsoft.com/office/drawing/2014/main" id="{3064BF07-CBA3-43FF-95BD-662477E18D70}"/>
            </a:ext>
          </a:extLst>
        </xdr:cNvPr>
        <xdr:cNvSpPr>
          <a:spLocks noChangeAspect="1" noChangeArrowheads="1"/>
        </xdr:cNvSpPr>
      </xdr:nvSpPr>
      <xdr:spPr bwMode="auto">
        <a:xfrm>
          <a:off x="1888435" y="4447761"/>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09" name="AutoShape 25" descr="+">
          <a:extLst>
            <a:ext uri="{FF2B5EF4-FFF2-40B4-BE49-F238E27FC236}">
              <a16:creationId xmlns:a16="http://schemas.microsoft.com/office/drawing/2014/main" id="{759DE48D-D677-4C26-B7D5-92134E40BA14}"/>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10" name="AutoShape 26" descr="+">
          <a:extLst>
            <a:ext uri="{FF2B5EF4-FFF2-40B4-BE49-F238E27FC236}">
              <a16:creationId xmlns:a16="http://schemas.microsoft.com/office/drawing/2014/main" id="{EBC84322-5214-4F65-B76A-6BC7819B9A97}"/>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11" name="AutoShape 27" descr="+">
          <a:extLst>
            <a:ext uri="{FF2B5EF4-FFF2-40B4-BE49-F238E27FC236}">
              <a16:creationId xmlns:a16="http://schemas.microsoft.com/office/drawing/2014/main" id="{5030FD1E-A4E3-4380-8C60-F577C314176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12" name="AutoShape 28" descr="+">
          <a:extLst>
            <a:ext uri="{FF2B5EF4-FFF2-40B4-BE49-F238E27FC236}">
              <a16:creationId xmlns:a16="http://schemas.microsoft.com/office/drawing/2014/main" id="{2885BDF2-DA64-4405-8D92-50A17A5101E5}"/>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11"/>
    <xdr:sp macro="" textlink="">
      <xdr:nvSpPr>
        <xdr:cNvPr id="613" name="AutoShape 29" descr="+">
          <a:extLst>
            <a:ext uri="{FF2B5EF4-FFF2-40B4-BE49-F238E27FC236}">
              <a16:creationId xmlns:a16="http://schemas.microsoft.com/office/drawing/2014/main" id="{6FAEE8E4-65AD-4E1A-9F76-74241ECC4693}"/>
            </a:ext>
          </a:extLst>
        </xdr:cNvPr>
        <xdr:cNvSpPr>
          <a:spLocks noChangeAspect="1" noChangeArrowheads="1"/>
        </xdr:cNvSpPr>
      </xdr:nvSpPr>
      <xdr:spPr bwMode="auto">
        <a:xfrm>
          <a:off x="1888435" y="4447761"/>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4" name="AutoShape 30" descr="+">
          <a:extLst>
            <a:ext uri="{FF2B5EF4-FFF2-40B4-BE49-F238E27FC236}">
              <a16:creationId xmlns:a16="http://schemas.microsoft.com/office/drawing/2014/main" id="{DB9DD137-510D-470D-BF65-488E02DEC23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15" name="AutoShape 31" descr="+">
          <a:extLst>
            <a:ext uri="{FF2B5EF4-FFF2-40B4-BE49-F238E27FC236}">
              <a16:creationId xmlns:a16="http://schemas.microsoft.com/office/drawing/2014/main" id="{4BBB8AF7-85DE-49AC-9267-C92C6F3459C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16" name="AutoShape 32" descr="+">
          <a:extLst>
            <a:ext uri="{FF2B5EF4-FFF2-40B4-BE49-F238E27FC236}">
              <a16:creationId xmlns:a16="http://schemas.microsoft.com/office/drawing/2014/main" id="{9176F051-60C7-4789-921D-48E7C96152D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17" name="AutoShape 33" descr="+">
          <a:extLst>
            <a:ext uri="{FF2B5EF4-FFF2-40B4-BE49-F238E27FC236}">
              <a16:creationId xmlns:a16="http://schemas.microsoft.com/office/drawing/2014/main" id="{48C0D024-C4ED-496A-A610-F80614135026}"/>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18" name="AutoShape 34" descr="+">
          <a:extLst>
            <a:ext uri="{FF2B5EF4-FFF2-40B4-BE49-F238E27FC236}">
              <a16:creationId xmlns:a16="http://schemas.microsoft.com/office/drawing/2014/main" id="{13973312-9868-47AB-A1B5-131D0F0778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9" name="AutoShape 52" descr="+">
          <a:extLst>
            <a:ext uri="{FF2B5EF4-FFF2-40B4-BE49-F238E27FC236}">
              <a16:creationId xmlns:a16="http://schemas.microsoft.com/office/drawing/2014/main" id="{AEFDC8B9-EE24-46A6-88B1-EF043C4B9D5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20" name="AutoShape 53" descr="+">
          <a:extLst>
            <a:ext uri="{FF2B5EF4-FFF2-40B4-BE49-F238E27FC236}">
              <a16:creationId xmlns:a16="http://schemas.microsoft.com/office/drawing/2014/main" id="{23875092-2B21-43FB-B7F6-EE2BE79DF9E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621" name="AutoShape 54" descr="+">
          <a:extLst>
            <a:ext uri="{FF2B5EF4-FFF2-40B4-BE49-F238E27FC236}">
              <a16:creationId xmlns:a16="http://schemas.microsoft.com/office/drawing/2014/main" id="{EE7EFEF0-A5D3-4A5A-938D-84194E69F34A}"/>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22" name="AutoShape 55" descr="+">
          <a:extLst>
            <a:ext uri="{FF2B5EF4-FFF2-40B4-BE49-F238E27FC236}">
              <a16:creationId xmlns:a16="http://schemas.microsoft.com/office/drawing/2014/main" id="{19F07D7B-9C69-4CD1-8645-BA25E2DB844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3" name="AutoShape 56" descr="+">
          <a:extLst>
            <a:ext uri="{FF2B5EF4-FFF2-40B4-BE49-F238E27FC236}">
              <a16:creationId xmlns:a16="http://schemas.microsoft.com/office/drawing/2014/main" id="{CE7DC5F7-9692-4475-9B1F-FAF79436721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24" name="AutoShape 57" descr="+">
          <a:extLst>
            <a:ext uri="{FF2B5EF4-FFF2-40B4-BE49-F238E27FC236}">
              <a16:creationId xmlns:a16="http://schemas.microsoft.com/office/drawing/2014/main" id="{939C4544-852E-406A-8B47-F5AB477B53A6}"/>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25" name="AutoShape 58" descr="+">
          <a:extLst>
            <a:ext uri="{FF2B5EF4-FFF2-40B4-BE49-F238E27FC236}">
              <a16:creationId xmlns:a16="http://schemas.microsoft.com/office/drawing/2014/main" id="{3E41A0C2-D5A4-4CF2-85D1-096CF3438937}"/>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626" name="AutoShape 59" descr="+">
          <a:extLst>
            <a:ext uri="{FF2B5EF4-FFF2-40B4-BE49-F238E27FC236}">
              <a16:creationId xmlns:a16="http://schemas.microsoft.com/office/drawing/2014/main" id="{65E53851-7917-4A08-ADC6-49535DFABD9B}"/>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627" name="AutoShape 60" descr="+">
          <a:extLst>
            <a:ext uri="{FF2B5EF4-FFF2-40B4-BE49-F238E27FC236}">
              <a16:creationId xmlns:a16="http://schemas.microsoft.com/office/drawing/2014/main" id="{DCDC9E43-8F4D-47E4-B798-2996C01FDC33}"/>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28" name="AutoShape 61" descr="+">
          <a:extLst>
            <a:ext uri="{FF2B5EF4-FFF2-40B4-BE49-F238E27FC236}">
              <a16:creationId xmlns:a16="http://schemas.microsoft.com/office/drawing/2014/main" id="{1189D1C6-C49B-4DB0-84E5-E993F520452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9" name="AutoShape 62" descr="+">
          <a:extLst>
            <a:ext uri="{FF2B5EF4-FFF2-40B4-BE49-F238E27FC236}">
              <a16:creationId xmlns:a16="http://schemas.microsoft.com/office/drawing/2014/main" id="{000BBF52-1F63-441A-95E9-420F0587C41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30" name="AutoShape 63" descr="+">
          <a:extLst>
            <a:ext uri="{FF2B5EF4-FFF2-40B4-BE49-F238E27FC236}">
              <a16:creationId xmlns:a16="http://schemas.microsoft.com/office/drawing/2014/main" id="{9B1D8D5C-7A78-4A1E-AD9D-4DC3583978D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1" name="AutoShape 64" descr="+">
          <a:extLst>
            <a:ext uri="{FF2B5EF4-FFF2-40B4-BE49-F238E27FC236}">
              <a16:creationId xmlns:a16="http://schemas.microsoft.com/office/drawing/2014/main" id="{10F2EA97-B41C-45BD-9324-DED6227D48C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632" name="AutoShape 65" descr="+">
          <a:extLst>
            <a:ext uri="{FF2B5EF4-FFF2-40B4-BE49-F238E27FC236}">
              <a16:creationId xmlns:a16="http://schemas.microsoft.com/office/drawing/2014/main" id="{23AD0AF3-F633-43B6-BB02-FFA6CE6723E0}"/>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3" name="AutoShape 66" descr="+">
          <a:extLst>
            <a:ext uri="{FF2B5EF4-FFF2-40B4-BE49-F238E27FC236}">
              <a16:creationId xmlns:a16="http://schemas.microsoft.com/office/drawing/2014/main" id="{375402F9-18D6-481B-9D71-E9165E5B2A2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4" name="AutoShape 67" descr="+">
          <a:extLst>
            <a:ext uri="{FF2B5EF4-FFF2-40B4-BE49-F238E27FC236}">
              <a16:creationId xmlns:a16="http://schemas.microsoft.com/office/drawing/2014/main" id="{D3A93B73-987B-400E-9516-0F8D4495610E}"/>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5" name="AutoShape 68" descr="+">
          <a:extLst>
            <a:ext uri="{FF2B5EF4-FFF2-40B4-BE49-F238E27FC236}">
              <a16:creationId xmlns:a16="http://schemas.microsoft.com/office/drawing/2014/main" id="{960534A1-FD42-4963-AD97-5C9CABB40068}"/>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36" name="AutoShape 69" descr="+">
          <a:extLst>
            <a:ext uri="{FF2B5EF4-FFF2-40B4-BE49-F238E27FC236}">
              <a16:creationId xmlns:a16="http://schemas.microsoft.com/office/drawing/2014/main" id="{22AEB4CA-0478-4015-A686-7FD1BB51DCB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37" name="AutoShape 70" descr="+">
          <a:extLst>
            <a:ext uri="{FF2B5EF4-FFF2-40B4-BE49-F238E27FC236}">
              <a16:creationId xmlns:a16="http://schemas.microsoft.com/office/drawing/2014/main" id="{D63ADA8E-911E-40B3-9324-ADFFEF700075}"/>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638" name="AutoShape 71" descr="+">
          <a:extLst>
            <a:ext uri="{FF2B5EF4-FFF2-40B4-BE49-F238E27FC236}">
              <a16:creationId xmlns:a16="http://schemas.microsoft.com/office/drawing/2014/main" id="{F8C52046-F201-480D-81FE-48D9BF5239ED}"/>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39" name="AutoShape 72" descr="+">
          <a:extLst>
            <a:ext uri="{FF2B5EF4-FFF2-40B4-BE49-F238E27FC236}">
              <a16:creationId xmlns:a16="http://schemas.microsoft.com/office/drawing/2014/main" id="{1E190E29-B521-4DDA-873C-2EBA55A72F94}"/>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0" name="AutoShape 73" descr="+">
          <a:extLst>
            <a:ext uri="{FF2B5EF4-FFF2-40B4-BE49-F238E27FC236}">
              <a16:creationId xmlns:a16="http://schemas.microsoft.com/office/drawing/2014/main" id="{BB5EDBB0-B6AF-43F6-AF2D-C4858AF9322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41" name="AutoShape 74" descr="+">
          <a:extLst>
            <a:ext uri="{FF2B5EF4-FFF2-40B4-BE49-F238E27FC236}">
              <a16:creationId xmlns:a16="http://schemas.microsoft.com/office/drawing/2014/main" id="{A19218FD-773E-4735-80E8-9F6A72B6A9C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2" name="AutoShape 75" descr="+">
          <a:extLst>
            <a:ext uri="{FF2B5EF4-FFF2-40B4-BE49-F238E27FC236}">
              <a16:creationId xmlns:a16="http://schemas.microsoft.com/office/drawing/2014/main" id="{8E8993C5-5114-407E-8D8A-70512A05A7D8}"/>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3" name="AutoShape 76" descr="+">
          <a:extLst>
            <a:ext uri="{FF2B5EF4-FFF2-40B4-BE49-F238E27FC236}">
              <a16:creationId xmlns:a16="http://schemas.microsoft.com/office/drawing/2014/main" id="{0DDFDFC5-5D09-4ECF-824B-8676ECF83BA5}"/>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44" name="AutoShape 77" descr="+">
          <a:extLst>
            <a:ext uri="{FF2B5EF4-FFF2-40B4-BE49-F238E27FC236}">
              <a16:creationId xmlns:a16="http://schemas.microsoft.com/office/drawing/2014/main" id="{31553AA4-2004-45E6-B569-9C1F6B81027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5" name="AutoShape 78" descr="+">
          <a:extLst>
            <a:ext uri="{FF2B5EF4-FFF2-40B4-BE49-F238E27FC236}">
              <a16:creationId xmlns:a16="http://schemas.microsoft.com/office/drawing/2014/main" id="{30264CBD-2E65-4BF9-8753-7228D6D87DB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9"/>
    <xdr:sp macro="" textlink="">
      <xdr:nvSpPr>
        <xdr:cNvPr id="646" name="AutoShape 79" descr="+">
          <a:extLst>
            <a:ext uri="{FF2B5EF4-FFF2-40B4-BE49-F238E27FC236}">
              <a16:creationId xmlns:a16="http://schemas.microsoft.com/office/drawing/2014/main" id="{E6C73EF4-2C38-43D2-AD4C-6975E431B6B4}"/>
            </a:ext>
          </a:extLst>
        </xdr:cNvPr>
        <xdr:cNvSpPr>
          <a:spLocks noChangeAspect="1" noChangeArrowheads="1"/>
        </xdr:cNvSpPr>
      </xdr:nvSpPr>
      <xdr:spPr bwMode="auto">
        <a:xfrm>
          <a:off x="1888435" y="4447761"/>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7" name="AutoShape 80" descr="+">
          <a:extLst>
            <a:ext uri="{FF2B5EF4-FFF2-40B4-BE49-F238E27FC236}">
              <a16:creationId xmlns:a16="http://schemas.microsoft.com/office/drawing/2014/main" id="{81EAFCE6-6860-475E-B0F4-EB24400ED8ED}"/>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655"/>
    <xdr:sp macro="" textlink="">
      <xdr:nvSpPr>
        <xdr:cNvPr id="648" name="AutoShape 81" descr="+">
          <a:extLst>
            <a:ext uri="{FF2B5EF4-FFF2-40B4-BE49-F238E27FC236}">
              <a16:creationId xmlns:a16="http://schemas.microsoft.com/office/drawing/2014/main" id="{EE6BAAFF-EF71-41C5-BE52-D5CC100A6302}"/>
            </a:ext>
          </a:extLst>
        </xdr:cNvPr>
        <xdr:cNvSpPr>
          <a:spLocks noChangeAspect="1" noChangeArrowheads="1"/>
        </xdr:cNvSpPr>
      </xdr:nvSpPr>
      <xdr:spPr bwMode="auto">
        <a:xfrm>
          <a:off x="1888435" y="4447761"/>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9" name="AutoShape 82" descr="+">
          <a:extLst>
            <a:ext uri="{FF2B5EF4-FFF2-40B4-BE49-F238E27FC236}">
              <a16:creationId xmlns:a16="http://schemas.microsoft.com/office/drawing/2014/main" id="{00326285-FA8B-4CD8-8292-451B92E7375E}"/>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1"/>
    <xdr:sp macro="" textlink="">
      <xdr:nvSpPr>
        <xdr:cNvPr id="650" name="AutoShape 83" descr="+">
          <a:extLst>
            <a:ext uri="{FF2B5EF4-FFF2-40B4-BE49-F238E27FC236}">
              <a16:creationId xmlns:a16="http://schemas.microsoft.com/office/drawing/2014/main" id="{06A85EEC-9ED8-42F5-B225-9093848BF47B}"/>
            </a:ext>
          </a:extLst>
        </xdr:cNvPr>
        <xdr:cNvSpPr>
          <a:spLocks noChangeAspect="1" noChangeArrowheads="1"/>
        </xdr:cNvSpPr>
      </xdr:nvSpPr>
      <xdr:spPr bwMode="auto">
        <a:xfrm>
          <a:off x="1888435" y="4447761"/>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1" name="AutoShape 84" descr="+">
          <a:extLst>
            <a:ext uri="{FF2B5EF4-FFF2-40B4-BE49-F238E27FC236}">
              <a16:creationId xmlns:a16="http://schemas.microsoft.com/office/drawing/2014/main" id="{E83B131B-BD9B-40EB-AD1C-C6EB88D17A5C}"/>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8"/>
    <xdr:sp macro="" textlink="">
      <xdr:nvSpPr>
        <xdr:cNvPr id="652" name="AutoShape 85" descr="+">
          <a:extLst>
            <a:ext uri="{FF2B5EF4-FFF2-40B4-BE49-F238E27FC236}">
              <a16:creationId xmlns:a16="http://schemas.microsoft.com/office/drawing/2014/main" id="{590AD43C-2113-4559-949E-788AB475B76A}"/>
            </a:ext>
          </a:extLst>
        </xdr:cNvPr>
        <xdr:cNvSpPr>
          <a:spLocks noChangeAspect="1" noChangeArrowheads="1"/>
        </xdr:cNvSpPr>
      </xdr:nvSpPr>
      <xdr:spPr bwMode="auto">
        <a:xfrm>
          <a:off x="1888435" y="4447761"/>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53" name="AutoShape 86" descr="+">
          <a:extLst>
            <a:ext uri="{FF2B5EF4-FFF2-40B4-BE49-F238E27FC236}">
              <a16:creationId xmlns:a16="http://schemas.microsoft.com/office/drawing/2014/main" id="{2E1A2E50-0EC2-4D82-8A09-29DA387FF661}"/>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4" name="AutoShape 87" descr="+">
          <a:extLst>
            <a:ext uri="{FF2B5EF4-FFF2-40B4-BE49-F238E27FC236}">
              <a16:creationId xmlns:a16="http://schemas.microsoft.com/office/drawing/2014/main" id="{10C5669F-9E9E-4A9B-A3B3-7D6C8145DCCA}"/>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5" name="AutoShape 88" descr="+">
          <a:extLst>
            <a:ext uri="{FF2B5EF4-FFF2-40B4-BE49-F238E27FC236}">
              <a16:creationId xmlns:a16="http://schemas.microsoft.com/office/drawing/2014/main" id="{AD51A60A-EC9B-4A05-991D-286948256BDD}"/>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56" name="AutoShape 89" descr="+">
          <a:extLst>
            <a:ext uri="{FF2B5EF4-FFF2-40B4-BE49-F238E27FC236}">
              <a16:creationId xmlns:a16="http://schemas.microsoft.com/office/drawing/2014/main" id="{61BDC94E-5175-4A2A-803C-8CA597334467}"/>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7"/>
    <xdr:sp macro="" textlink="">
      <xdr:nvSpPr>
        <xdr:cNvPr id="657" name="AutoShape 90" descr="+">
          <a:extLst>
            <a:ext uri="{FF2B5EF4-FFF2-40B4-BE49-F238E27FC236}">
              <a16:creationId xmlns:a16="http://schemas.microsoft.com/office/drawing/2014/main" id="{991ECE4E-3134-40A7-8562-F5E48606D067}"/>
            </a:ext>
          </a:extLst>
        </xdr:cNvPr>
        <xdr:cNvSpPr>
          <a:spLocks noChangeAspect="1" noChangeArrowheads="1"/>
        </xdr:cNvSpPr>
      </xdr:nvSpPr>
      <xdr:spPr bwMode="auto">
        <a:xfrm>
          <a:off x="1888435" y="4447761"/>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629"/>
    <xdr:sp macro="" textlink="">
      <xdr:nvSpPr>
        <xdr:cNvPr id="658" name="AutoShape 91" descr="+">
          <a:extLst>
            <a:ext uri="{FF2B5EF4-FFF2-40B4-BE49-F238E27FC236}">
              <a16:creationId xmlns:a16="http://schemas.microsoft.com/office/drawing/2014/main" id="{A746469D-497A-4E3B-A404-F2EC3A0F5B2B}"/>
            </a:ext>
          </a:extLst>
        </xdr:cNvPr>
        <xdr:cNvSpPr>
          <a:spLocks noChangeAspect="1" noChangeArrowheads="1"/>
        </xdr:cNvSpPr>
      </xdr:nvSpPr>
      <xdr:spPr bwMode="auto">
        <a:xfrm>
          <a:off x="1888435" y="4447761"/>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450"/>
    <xdr:sp macro="" textlink="">
      <xdr:nvSpPr>
        <xdr:cNvPr id="659" name="AutoShape 92" descr="+">
          <a:extLst>
            <a:ext uri="{FF2B5EF4-FFF2-40B4-BE49-F238E27FC236}">
              <a16:creationId xmlns:a16="http://schemas.microsoft.com/office/drawing/2014/main" id="{026675FE-4590-4FBC-B3B2-00ADDC0352B9}"/>
            </a:ext>
          </a:extLst>
        </xdr:cNvPr>
        <xdr:cNvSpPr>
          <a:spLocks noChangeAspect="1" noChangeArrowheads="1"/>
        </xdr:cNvSpPr>
      </xdr:nvSpPr>
      <xdr:spPr bwMode="auto">
        <a:xfrm>
          <a:off x="1888435" y="4447761"/>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0" name="AutoShape 93" descr="+">
          <a:extLst>
            <a:ext uri="{FF2B5EF4-FFF2-40B4-BE49-F238E27FC236}">
              <a16:creationId xmlns:a16="http://schemas.microsoft.com/office/drawing/2014/main" id="{3527AA4A-2A2C-45BB-8218-2D646B3B2326}"/>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1" name="AutoShape 94" descr="+">
          <a:extLst>
            <a:ext uri="{FF2B5EF4-FFF2-40B4-BE49-F238E27FC236}">
              <a16:creationId xmlns:a16="http://schemas.microsoft.com/office/drawing/2014/main" id="{A7AC674E-0B8A-470A-8430-6FA9886BA3DD}"/>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8"/>
    <xdr:sp macro="" textlink="">
      <xdr:nvSpPr>
        <xdr:cNvPr id="662" name="AutoShape 95" descr="+">
          <a:extLst>
            <a:ext uri="{FF2B5EF4-FFF2-40B4-BE49-F238E27FC236}">
              <a16:creationId xmlns:a16="http://schemas.microsoft.com/office/drawing/2014/main" id="{5362B434-11E9-44B2-82B0-507D77B867FD}"/>
            </a:ext>
          </a:extLst>
        </xdr:cNvPr>
        <xdr:cNvSpPr>
          <a:spLocks noChangeAspect="1" noChangeArrowheads="1"/>
        </xdr:cNvSpPr>
      </xdr:nvSpPr>
      <xdr:spPr bwMode="auto">
        <a:xfrm>
          <a:off x="1888435" y="4447761"/>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63" name="AutoShape 96" descr="+">
          <a:extLst>
            <a:ext uri="{FF2B5EF4-FFF2-40B4-BE49-F238E27FC236}">
              <a16:creationId xmlns:a16="http://schemas.microsoft.com/office/drawing/2014/main" id="{17A581A0-BDE5-456E-ABD2-08F6ED2656A2}"/>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64" name="AutoShape 97" descr="+">
          <a:extLst>
            <a:ext uri="{FF2B5EF4-FFF2-40B4-BE49-F238E27FC236}">
              <a16:creationId xmlns:a16="http://schemas.microsoft.com/office/drawing/2014/main" id="{E42DC7B5-B09D-4E69-92AB-AB33D92729FB}"/>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65" name="AutoShape 98" descr="+">
          <a:extLst>
            <a:ext uri="{FF2B5EF4-FFF2-40B4-BE49-F238E27FC236}">
              <a16:creationId xmlns:a16="http://schemas.microsoft.com/office/drawing/2014/main" id="{CC1B6199-E6ED-4394-8607-CB76C7D9C310}"/>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66" name="AutoShape 99" descr="+">
          <a:extLst>
            <a:ext uri="{FF2B5EF4-FFF2-40B4-BE49-F238E27FC236}">
              <a16:creationId xmlns:a16="http://schemas.microsoft.com/office/drawing/2014/main" id="{F0C1363F-BBF5-422D-A8DA-06E180F2C550}"/>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667" name="AutoShape 100" descr="+">
          <a:extLst>
            <a:ext uri="{FF2B5EF4-FFF2-40B4-BE49-F238E27FC236}">
              <a16:creationId xmlns:a16="http://schemas.microsoft.com/office/drawing/2014/main" id="{18BCB892-5F40-48DC-A199-BB47A5810B8C}"/>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68" name="AutoShape 101" descr="+">
          <a:extLst>
            <a:ext uri="{FF2B5EF4-FFF2-40B4-BE49-F238E27FC236}">
              <a16:creationId xmlns:a16="http://schemas.microsoft.com/office/drawing/2014/main" id="{F9A6B529-5A7F-43BB-B9D1-725BCED93E00}"/>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69" name="AutoShape 102" descr="+">
          <a:extLst>
            <a:ext uri="{FF2B5EF4-FFF2-40B4-BE49-F238E27FC236}">
              <a16:creationId xmlns:a16="http://schemas.microsoft.com/office/drawing/2014/main" id="{652E25F4-7BCE-45BF-8826-E15BC54ABE7C}"/>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70" name="AutoShape 103" descr="+">
          <a:extLst>
            <a:ext uri="{FF2B5EF4-FFF2-40B4-BE49-F238E27FC236}">
              <a16:creationId xmlns:a16="http://schemas.microsoft.com/office/drawing/2014/main" id="{2F7F2928-EC41-4E80-80DF-D9AF91EA63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71" name="AutoShape 104" descr="+">
          <a:extLst>
            <a:ext uri="{FF2B5EF4-FFF2-40B4-BE49-F238E27FC236}">
              <a16:creationId xmlns:a16="http://schemas.microsoft.com/office/drawing/2014/main" id="{26188E84-B277-484C-9E69-AED8CB38FC9D}"/>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133"/>
    <xdr:sp macro="" textlink="">
      <xdr:nvSpPr>
        <xdr:cNvPr id="672" name="AutoShape 105" descr="+">
          <a:extLst>
            <a:ext uri="{FF2B5EF4-FFF2-40B4-BE49-F238E27FC236}">
              <a16:creationId xmlns:a16="http://schemas.microsoft.com/office/drawing/2014/main" id="{7642E38C-C0ED-493A-9900-3D9965B80505}"/>
            </a:ext>
          </a:extLst>
        </xdr:cNvPr>
        <xdr:cNvSpPr>
          <a:spLocks noChangeAspect="1" noChangeArrowheads="1"/>
        </xdr:cNvSpPr>
      </xdr:nvSpPr>
      <xdr:spPr bwMode="auto">
        <a:xfrm>
          <a:off x="1888435" y="4447761"/>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5"/>
    <xdr:sp macro="" textlink="">
      <xdr:nvSpPr>
        <xdr:cNvPr id="673" name="AutoShape 106" descr="+">
          <a:extLst>
            <a:ext uri="{FF2B5EF4-FFF2-40B4-BE49-F238E27FC236}">
              <a16:creationId xmlns:a16="http://schemas.microsoft.com/office/drawing/2014/main" id="{CAEA7FCA-842E-4EFB-95BE-53E63BA5D670}"/>
            </a:ext>
          </a:extLst>
        </xdr:cNvPr>
        <xdr:cNvSpPr>
          <a:spLocks noChangeAspect="1" noChangeArrowheads="1"/>
        </xdr:cNvSpPr>
      </xdr:nvSpPr>
      <xdr:spPr bwMode="auto">
        <a:xfrm>
          <a:off x="1888435" y="4447761"/>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674" name="AutoShape 107" descr="+">
          <a:extLst>
            <a:ext uri="{FF2B5EF4-FFF2-40B4-BE49-F238E27FC236}">
              <a16:creationId xmlns:a16="http://schemas.microsoft.com/office/drawing/2014/main" id="{CBFB2D48-217E-453A-80EB-73858D4DC81D}"/>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5" name="AutoShape 108" descr="+">
          <a:extLst>
            <a:ext uri="{FF2B5EF4-FFF2-40B4-BE49-F238E27FC236}">
              <a16:creationId xmlns:a16="http://schemas.microsoft.com/office/drawing/2014/main" id="{236405E6-E567-4651-8835-7CC3C8A09218}"/>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76" name="AutoShape 109" descr="+">
          <a:extLst>
            <a:ext uri="{FF2B5EF4-FFF2-40B4-BE49-F238E27FC236}">
              <a16:creationId xmlns:a16="http://schemas.microsoft.com/office/drawing/2014/main" id="{767FF66C-A87B-4D66-B824-B67024A1CBCF}"/>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7" name="AutoShape 110" descr="+">
          <a:extLst>
            <a:ext uri="{FF2B5EF4-FFF2-40B4-BE49-F238E27FC236}">
              <a16:creationId xmlns:a16="http://schemas.microsoft.com/office/drawing/2014/main" id="{86930FAD-E418-4CB7-AA4C-1A8981E295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78" name="AutoShape 111" descr="+">
          <a:extLst>
            <a:ext uri="{FF2B5EF4-FFF2-40B4-BE49-F238E27FC236}">
              <a16:creationId xmlns:a16="http://schemas.microsoft.com/office/drawing/2014/main" id="{2F759F2E-0F2F-425C-9E81-3AA26D51CC23}"/>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79" name="AutoShape 112" descr="+">
          <a:extLst>
            <a:ext uri="{FF2B5EF4-FFF2-40B4-BE49-F238E27FC236}">
              <a16:creationId xmlns:a16="http://schemas.microsoft.com/office/drawing/2014/main" id="{9AB9B6FF-2A62-4A44-A95A-33C90B8FC4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58"/>
    <xdr:sp macro="" textlink="">
      <xdr:nvSpPr>
        <xdr:cNvPr id="680" name="AutoShape 113" descr="+">
          <a:extLst>
            <a:ext uri="{FF2B5EF4-FFF2-40B4-BE49-F238E27FC236}">
              <a16:creationId xmlns:a16="http://schemas.microsoft.com/office/drawing/2014/main" id="{BCE8BD5D-A5FC-49EF-8988-697A436B3212}"/>
            </a:ext>
          </a:extLst>
        </xdr:cNvPr>
        <xdr:cNvSpPr>
          <a:spLocks noChangeAspect="1" noChangeArrowheads="1"/>
        </xdr:cNvSpPr>
      </xdr:nvSpPr>
      <xdr:spPr bwMode="auto">
        <a:xfrm>
          <a:off x="1888435" y="4447761"/>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1" name="AutoShape 114" descr="+">
          <a:extLst>
            <a:ext uri="{FF2B5EF4-FFF2-40B4-BE49-F238E27FC236}">
              <a16:creationId xmlns:a16="http://schemas.microsoft.com/office/drawing/2014/main" id="{550CCD9C-BE63-4B73-B5BE-40D9A3542C9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2" name="AutoShape 115" descr="+">
          <a:extLst>
            <a:ext uri="{FF2B5EF4-FFF2-40B4-BE49-F238E27FC236}">
              <a16:creationId xmlns:a16="http://schemas.microsoft.com/office/drawing/2014/main" id="{9C40095D-ACDE-4D94-877C-2DCDAF88BC49}"/>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3" name="AutoShape 116" descr="+">
          <a:extLst>
            <a:ext uri="{FF2B5EF4-FFF2-40B4-BE49-F238E27FC236}">
              <a16:creationId xmlns:a16="http://schemas.microsoft.com/office/drawing/2014/main" id="{E5DF879C-FAE0-4CC7-BF66-4E0922332B4B}"/>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4" name="AutoShape 117" descr="+">
          <a:extLst>
            <a:ext uri="{FF2B5EF4-FFF2-40B4-BE49-F238E27FC236}">
              <a16:creationId xmlns:a16="http://schemas.microsoft.com/office/drawing/2014/main" id="{157A298E-6378-429A-977E-64F00279527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5" name="AutoShape 118" descr="+">
          <a:extLst>
            <a:ext uri="{FF2B5EF4-FFF2-40B4-BE49-F238E27FC236}">
              <a16:creationId xmlns:a16="http://schemas.microsoft.com/office/drawing/2014/main" id="{A532DD31-D03E-4C0D-8050-AE9000D323A5}"/>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86" name="AutoShape 119" descr="+">
          <a:extLst>
            <a:ext uri="{FF2B5EF4-FFF2-40B4-BE49-F238E27FC236}">
              <a16:creationId xmlns:a16="http://schemas.microsoft.com/office/drawing/2014/main" id="{3EDEF8E2-DB69-4798-B2F5-0A362AC76AC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87" name="AutoShape 120" descr="+">
          <a:extLst>
            <a:ext uri="{FF2B5EF4-FFF2-40B4-BE49-F238E27FC236}">
              <a16:creationId xmlns:a16="http://schemas.microsoft.com/office/drawing/2014/main" id="{E8F69F0B-24C9-4B46-8896-5A86B8B50B40}"/>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88" name="AutoShape 121" descr="+">
          <a:extLst>
            <a:ext uri="{FF2B5EF4-FFF2-40B4-BE49-F238E27FC236}">
              <a16:creationId xmlns:a16="http://schemas.microsoft.com/office/drawing/2014/main" id="{056150AA-D127-4D5E-8179-C248A1738327}"/>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89" name="AutoShape 122" descr="+">
          <a:extLst>
            <a:ext uri="{FF2B5EF4-FFF2-40B4-BE49-F238E27FC236}">
              <a16:creationId xmlns:a16="http://schemas.microsoft.com/office/drawing/2014/main" id="{B1423A0E-AC02-43E6-A6AD-03FA135AB4EC}"/>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90" name="AutoShape 123" descr="+">
          <a:extLst>
            <a:ext uri="{FF2B5EF4-FFF2-40B4-BE49-F238E27FC236}">
              <a16:creationId xmlns:a16="http://schemas.microsoft.com/office/drawing/2014/main" id="{24B2A645-3904-43B8-B7BC-FBB3144B0D3D}"/>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1" name="AutoShape 124" descr="+">
          <a:extLst>
            <a:ext uri="{FF2B5EF4-FFF2-40B4-BE49-F238E27FC236}">
              <a16:creationId xmlns:a16="http://schemas.microsoft.com/office/drawing/2014/main" id="{DF12106C-9FA9-4C87-9F74-5CB99C29D746}"/>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92" name="AutoShape 125" descr="+">
          <a:extLst>
            <a:ext uri="{FF2B5EF4-FFF2-40B4-BE49-F238E27FC236}">
              <a16:creationId xmlns:a16="http://schemas.microsoft.com/office/drawing/2014/main" id="{18A6D339-E55C-4B60-9C72-4D3D18769C9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3" name="AutoShape 126" descr="+">
          <a:extLst>
            <a:ext uri="{FF2B5EF4-FFF2-40B4-BE49-F238E27FC236}">
              <a16:creationId xmlns:a16="http://schemas.microsoft.com/office/drawing/2014/main" id="{E8FA965E-30B1-4FE0-9556-6400E8C046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94" name="AutoShape 127" descr="+">
          <a:extLst>
            <a:ext uri="{FF2B5EF4-FFF2-40B4-BE49-F238E27FC236}">
              <a16:creationId xmlns:a16="http://schemas.microsoft.com/office/drawing/2014/main" id="{BC7728C3-561D-416E-891A-1B34CDEC0530}"/>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9"/>
    <xdr:sp macro="" textlink="">
      <xdr:nvSpPr>
        <xdr:cNvPr id="695" name="AutoShape 128" descr="+">
          <a:extLst>
            <a:ext uri="{FF2B5EF4-FFF2-40B4-BE49-F238E27FC236}">
              <a16:creationId xmlns:a16="http://schemas.microsoft.com/office/drawing/2014/main" id="{4AD49220-9E6C-4CC6-8ECC-3540E50D2AB8}"/>
            </a:ext>
          </a:extLst>
        </xdr:cNvPr>
        <xdr:cNvSpPr>
          <a:spLocks noChangeAspect="1" noChangeArrowheads="1"/>
        </xdr:cNvSpPr>
      </xdr:nvSpPr>
      <xdr:spPr bwMode="auto">
        <a:xfrm>
          <a:off x="1888435" y="4447761"/>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96" name="AutoShape 129" descr="+">
          <a:extLst>
            <a:ext uri="{FF2B5EF4-FFF2-40B4-BE49-F238E27FC236}">
              <a16:creationId xmlns:a16="http://schemas.microsoft.com/office/drawing/2014/main" id="{520746DF-4889-478F-B27F-2FF7CEEF4C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97" name="AutoShape 130" descr="+">
          <a:extLst>
            <a:ext uri="{FF2B5EF4-FFF2-40B4-BE49-F238E27FC236}">
              <a16:creationId xmlns:a16="http://schemas.microsoft.com/office/drawing/2014/main" id="{F6E7D8D9-F624-4DAE-83B8-71550DBC6A30}"/>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98" name="AutoShape 131" descr="+">
          <a:extLst>
            <a:ext uri="{FF2B5EF4-FFF2-40B4-BE49-F238E27FC236}">
              <a16:creationId xmlns:a16="http://schemas.microsoft.com/office/drawing/2014/main" id="{B1667887-50C1-4274-86CA-E89EEA50AE1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99" name="AutoShape 132" descr="+">
          <a:extLst>
            <a:ext uri="{FF2B5EF4-FFF2-40B4-BE49-F238E27FC236}">
              <a16:creationId xmlns:a16="http://schemas.microsoft.com/office/drawing/2014/main" id="{305A0573-FEFE-4F2A-8384-F81A2FD998EB}"/>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0" name="AutoShape 133" descr="+">
          <a:extLst>
            <a:ext uri="{FF2B5EF4-FFF2-40B4-BE49-F238E27FC236}">
              <a16:creationId xmlns:a16="http://schemas.microsoft.com/office/drawing/2014/main" id="{DD73B690-540D-4F9B-A43F-39BFE298B56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01" name="AutoShape 134" descr="+">
          <a:extLst>
            <a:ext uri="{FF2B5EF4-FFF2-40B4-BE49-F238E27FC236}">
              <a16:creationId xmlns:a16="http://schemas.microsoft.com/office/drawing/2014/main" id="{51BA1ABC-36D7-4716-A38A-E3A83E03E7E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2" name="AutoShape 135" descr="+">
          <a:extLst>
            <a:ext uri="{FF2B5EF4-FFF2-40B4-BE49-F238E27FC236}">
              <a16:creationId xmlns:a16="http://schemas.microsoft.com/office/drawing/2014/main" id="{262ABF61-9ABC-4B24-ADA6-EB4A48D6C32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3" name="AutoShape 136" descr="+">
          <a:extLst>
            <a:ext uri="{FF2B5EF4-FFF2-40B4-BE49-F238E27FC236}">
              <a16:creationId xmlns:a16="http://schemas.microsoft.com/office/drawing/2014/main" id="{3AAC90BD-5158-419F-9147-1BD5714D0F7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04" name="AutoShape 137" descr="+">
          <a:extLst>
            <a:ext uri="{FF2B5EF4-FFF2-40B4-BE49-F238E27FC236}">
              <a16:creationId xmlns:a16="http://schemas.microsoft.com/office/drawing/2014/main" id="{3B852CB5-D440-417C-B479-B267C7167B5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5" name="AutoShape 138" descr="+">
          <a:extLst>
            <a:ext uri="{FF2B5EF4-FFF2-40B4-BE49-F238E27FC236}">
              <a16:creationId xmlns:a16="http://schemas.microsoft.com/office/drawing/2014/main" id="{14C7BB99-9C10-40D2-B869-090D5A3EF47F}"/>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06" name="AutoShape 139" descr="+">
          <a:extLst>
            <a:ext uri="{FF2B5EF4-FFF2-40B4-BE49-F238E27FC236}">
              <a16:creationId xmlns:a16="http://schemas.microsoft.com/office/drawing/2014/main" id="{54163309-3691-496F-8625-3ED41377984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07" name="AutoShape 140" descr="+">
          <a:extLst>
            <a:ext uri="{FF2B5EF4-FFF2-40B4-BE49-F238E27FC236}">
              <a16:creationId xmlns:a16="http://schemas.microsoft.com/office/drawing/2014/main" id="{0A789C91-13B7-4166-9623-ABDCB38B0F05}"/>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08" name="AutoShape 141" descr="+">
          <a:extLst>
            <a:ext uri="{FF2B5EF4-FFF2-40B4-BE49-F238E27FC236}">
              <a16:creationId xmlns:a16="http://schemas.microsoft.com/office/drawing/2014/main" id="{94B4B578-8A78-4132-9BD8-3EF5BC3F7A44}"/>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09" name="AutoShape 142" descr="+">
          <a:extLst>
            <a:ext uri="{FF2B5EF4-FFF2-40B4-BE49-F238E27FC236}">
              <a16:creationId xmlns:a16="http://schemas.microsoft.com/office/drawing/2014/main" id="{E6A03382-E9F8-4B88-8D76-3FA2D782E49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26915"/>
    <xdr:sp macro="" textlink="">
      <xdr:nvSpPr>
        <xdr:cNvPr id="710" name="AutoShape 143" descr="+">
          <a:extLst>
            <a:ext uri="{FF2B5EF4-FFF2-40B4-BE49-F238E27FC236}">
              <a16:creationId xmlns:a16="http://schemas.microsoft.com/office/drawing/2014/main" id="{6124344A-0CD1-4888-961B-6176F7E3AE14}"/>
            </a:ext>
          </a:extLst>
        </xdr:cNvPr>
        <xdr:cNvSpPr>
          <a:spLocks noChangeAspect="1" noChangeArrowheads="1"/>
        </xdr:cNvSpPr>
      </xdr:nvSpPr>
      <xdr:spPr bwMode="auto">
        <a:xfrm>
          <a:off x="1888435" y="4447761"/>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1" name="AutoShape 144" descr="+">
          <a:extLst>
            <a:ext uri="{FF2B5EF4-FFF2-40B4-BE49-F238E27FC236}">
              <a16:creationId xmlns:a16="http://schemas.microsoft.com/office/drawing/2014/main" id="{E3386357-6FD1-4479-9743-5CA2F3A3FFC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2" name="AutoShape 145" descr="+">
          <a:extLst>
            <a:ext uri="{FF2B5EF4-FFF2-40B4-BE49-F238E27FC236}">
              <a16:creationId xmlns:a16="http://schemas.microsoft.com/office/drawing/2014/main" id="{F298E916-62BC-4505-9447-0766ACD4BAC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3" name="AutoShape 146" descr="+">
          <a:extLst>
            <a:ext uri="{FF2B5EF4-FFF2-40B4-BE49-F238E27FC236}">
              <a16:creationId xmlns:a16="http://schemas.microsoft.com/office/drawing/2014/main" id="{263D7E40-C1C5-4209-8666-FF8F59E1EBD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14" name="AutoShape 147" descr="+">
          <a:extLst>
            <a:ext uri="{FF2B5EF4-FFF2-40B4-BE49-F238E27FC236}">
              <a16:creationId xmlns:a16="http://schemas.microsoft.com/office/drawing/2014/main" id="{7CBA0640-1DCF-48A3-A21E-9DA5169C7DD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15" name="AutoShape 148" descr="+">
          <a:extLst>
            <a:ext uri="{FF2B5EF4-FFF2-40B4-BE49-F238E27FC236}">
              <a16:creationId xmlns:a16="http://schemas.microsoft.com/office/drawing/2014/main" id="{4314236B-D21A-4DF1-BD38-733403B54811}"/>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16" name="AutoShape 149" descr="+">
          <a:extLst>
            <a:ext uri="{FF2B5EF4-FFF2-40B4-BE49-F238E27FC236}">
              <a16:creationId xmlns:a16="http://schemas.microsoft.com/office/drawing/2014/main" id="{436FD943-D6C2-4765-9531-33DDE392D9DF}"/>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7" name="AutoShape 150" descr="+">
          <a:extLst>
            <a:ext uri="{FF2B5EF4-FFF2-40B4-BE49-F238E27FC236}">
              <a16:creationId xmlns:a16="http://schemas.microsoft.com/office/drawing/2014/main" id="{823667CE-2807-405B-B707-EFA65EAFA7B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8" name="AutoShape 151" descr="+">
          <a:extLst>
            <a:ext uri="{FF2B5EF4-FFF2-40B4-BE49-F238E27FC236}">
              <a16:creationId xmlns:a16="http://schemas.microsoft.com/office/drawing/2014/main" id="{5057AC56-1218-40E4-B535-C028E2B1D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9" name="AutoShape 152" descr="+">
          <a:extLst>
            <a:ext uri="{FF2B5EF4-FFF2-40B4-BE49-F238E27FC236}">
              <a16:creationId xmlns:a16="http://schemas.microsoft.com/office/drawing/2014/main" id="{AB5E3EC5-842A-44C0-B9A8-D3D80F837B3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1"/>
    <xdr:sp macro="" textlink="">
      <xdr:nvSpPr>
        <xdr:cNvPr id="720" name="AutoShape 153" descr="+">
          <a:extLst>
            <a:ext uri="{FF2B5EF4-FFF2-40B4-BE49-F238E27FC236}">
              <a16:creationId xmlns:a16="http://schemas.microsoft.com/office/drawing/2014/main" id="{F4B3ABDA-E077-47EA-B494-DBFBA474DE13}"/>
            </a:ext>
          </a:extLst>
        </xdr:cNvPr>
        <xdr:cNvSpPr>
          <a:spLocks noChangeAspect="1" noChangeArrowheads="1"/>
        </xdr:cNvSpPr>
      </xdr:nvSpPr>
      <xdr:spPr bwMode="auto">
        <a:xfrm>
          <a:off x="1888435" y="4447761"/>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10"/>
    <xdr:sp macro="" textlink="">
      <xdr:nvSpPr>
        <xdr:cNvPr id="721" name="AutoShape 154" descr="+">
          <a:extLst>
            <a:ext uri="{FF2B5EF4-FFF2-40B4-BE49-F238E27FC236}">
              <a16:creationId xmlns:a16="http://schemas.microsoft.com/office/drawing/2014/main" id="{FE8CEE9C-AB48-4A0D-8370-4B6209EB0F33}"/>
            </a:ext>
          </a:extLst>
        </xdr:cNvPr>
        <xdr:cNvSpPr>
          <a:spLocks noChangeAspect="1" noChangeArrowheads="1"/>
        </xdr:cNvSpPr>
      </xdr:nvSpPr>
      <xdr:spPr bwMode="auto">
        <a:xfrm>
          <a:off x="1888435" y="4447761"/>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2" name="AutoShape 155" descr="+">
          <a:extLst>
            <a:ext uri="{FF2B5EF4-FFF2-40B4-BE49-F238E27FC236}">
              <a16:creationId xmlns:a16="http://schemas.microsoft.com/office/drawing/2014/main" id="{92480431-E5AF-46D3-A15E-D7D4D7CE01A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723" name="AutoShape 156" descr="+">
          <a:extLst>
            <a:ext uri="{FF2B5EF4-FFF2-40B4-BE49-F238E27FC236}">
              <a16:creationId xmlns:a16="http://schemas.microsoft.com/office/drawing/2014/main" id="{BA357462-F3C8-4CF2-A86D-9C4F4E6D586F}"/>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2"/>
    <xdr:sp macro="" textlink="">
      <xdr:nvSpPr>
        <xdr:cNvPr id="724" name="AutoShape 157" descr="+">
          <a:extLst>
            <a:ext uri="{FF2B5EF4-FFF2-40B4-BE49-F238E27FC236}">
              <a16:creationId xmlns:a16="http://schemas.microsoft.com/office/drawing/2014/main" id="{D2E1C798-6112-4551-B234-C4FF83BB8986}"/>
            </a:ext>
          </a:extLst>
        </xdr:cNvPr>
        <xdr:cNvSpPr>
          <a:spLocks noChangeAspect="1" noChangeArrowheads="1"/>
        </xdr:cNvSpPr>
      </xdr:nvSpPr>
      <xdr:spPr bwMode="auto">
        <a:xfrm>
          <a:off x="1888435" y="4447761"/>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25" name="AutoShape 158" descr="+">
          <a:extLst>
            <a:ext uri="{FF2B5EF4-FFF2-40B4-BE49-F238E27FC236}">
              <a16:creationId xmlns:a16="http://schemas.microsoft.com/office/drawing/2014/main" id="{8A26714B-88E9-4D7F-9C96-105F2706694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26" name="AutoShape 159" descr="+">
          <a:extLst>
            <a:ext uri="{FF2B5EF4-FFF2-40B4-BE49-F238E27FC236}">
              <a16:creationId xmlns:a16="http://schemas.microsoft.com/office/drawing/2014/main" id="{D2B4C2D4-9650-435B-A8BD-C2909A4FFAC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727" name="AutoShape 160" descr="+">
          <a:extLst>
            <a:ext uri="{FF2B5EF4-FFF2-40B4-BE49-F238E27FC236}">
              <a16:creationId xmlns:a16="http://schemas.microsoft.com/office/drawing/2014/main" id="{70D85780-5B7F-4168-810B-8FAEE502E0E5}"/>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28" name="AutoShape 161" descr="+">
          <a:extLst>
            <a:ext uri="{FF2B5EF4-FFF2-40B4-BE49-F238E27FC236}">
              <a16:creationId xmlns:a16="http://schemas.microsoft.com/office/drawing/2014/main" id="{5AFCC8DE-95D6-49C8-8302-8E031777712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9" name="AutoShape 162" descr="+">
          <a:extLst>
            <a:ext uri="{FF2B5EF4-FFF2-40B4-BE49-F238E27FC236}">
              <a16:creationId xmlns:a16="http://schemas.microsoft.com/office/drawing/2014/main" id="{523BEA9F-8A8F-434D-9B3C-0CB2E2A37990}"/>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30" name="AutoShape 163" descr="+">
          <a:extLst>
            <a:ext uri="{FF2B5EF4-FFF2-40B4-BE49-F238E27FC236}">
              <a16:creationId xmlns:a16="http://schemas.microsoft.com/office/drawing/2014/main" id="{25D6D85A-B8F9-430D-87EE-8EF50B1095A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31" name="AutoShape 164" descr="+">
          <a:extLst>
            <a:ext uri="{FF2B5EF4-FFF2-40B4-BE49-F238E27FC236}">
              <a16:creationId xmlns:a16="http://schemas.microsoft.com/office/drawing/2014/main" id="{DE58CBC3-3590-44A9-AD41-622503420E14}"/>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2" name="AutoShape 165" descr="+">
          <a:extLst>
            <a:ext uri="{FF2B5EF4-FFF2-40B4-BE49-F238E27FC236}">
              <a16:creationId xmlns:a16="http://schemas.microsoft.com/office/drawing/2014/main" id="{FB9F77ED-F974-43F9-85FF-80F995CF134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3" name="AutoShape 166" descr="+">
          <a:extLst>
            <a:ext uri="{FF2B5EF4-FFF2-40B4-BE49-F238E27FC236}">
              <a16:creationId xmlns:a16="http://schemas.microsoft.com/office/drawing/2014/main" id="{5EF7F9EA-5ADF-4713-96BB-F2F8A5D5570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34" name="AutoShape 167" descr="+">
          <a:extLst>
            <a:ext uri="{FF2B5EF4-FFF2-40B4-BE49-F238E27FC236}">
              <a16:creationId xmlns:a16="http://schemas.microsoft.com/office/drawing/2014/main" id="{C05B8DB0-7445-436A-8EE6-6244B6176706}"/>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70"/>
    <xdr:sp macro="" textlink="">
      <xdr:nvSpPr>
        <xdr:cNvPr id="735" name="AutoShape 168" descr="+">
          <a:extLst>
            <a:ext uri="{FF2B5EF4-FFF2-40B4-BE49-F238E27FC236}">
              <a16:creationId xmlns:a16="http://schemas.microsoft.com/office/drawing/2014/main" id="{794F3897-039C-411A-B33D-995FF4963BCF}"/>
            </a:ext>
          </a:extLst>
        </xdr:cNvPr>
        <xdr:cNvSpPr>
          <a:spLocks noChangeAspect="1" noChangeArrowheads="1"/>
        </xdr:cNvSpPr>
      </xdr:nvSpPr>
      <xdr:spPr bwMode="auto">
        <a:xfrm>
          <a:off x="1888435" y="4447761"/>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5533"/>
    <xdr:sp macro="" textlink="">
      <xdr:nvSpPr>
        <xdr:cNvPr id="736" name="AutoShape 169" descr="+">
          <a:extLst>
            <a:ext uri="{FF2B5EF4-FFF2-40B4-BE49-F238E27FC236}">
              <a16:creationId xmlns:a16="http://schemas.microsoft.com/office/drawing/2014/main" id="{C1B3FEC4-C608-4653-893F-4590399D9304}"/>
            </a:ext>
          </a:extLst>
        </xdr:cNvPr>
        <xdr:cNvSpPr>
          <a:spLocks noChangeAspect="1" noChangeArrowheads="1"/>
        </xdr:cNvSpPr>
      </xdr:nvSpPr>
      <xdr:spPr bwMode="auto">
        <a:xfrm>
          <a:off x="1888435" y="4447761"/>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737" name="AutoShape 170" descr="+">
          <a:extLst>
            <a:ext uri="{FF2B5EF4-FFF2-40B4-BE49-F238E27FC236}">
              <a16:creationId xmlns:a16="http://schemas.microsoft.com/office/drawing/2014/main" id="{5B00D288-B6FA-4564-AD04-B039453A232A}"/>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738" name="AutoShape 171" descr="+">
          <a:extLst>
            <a:ext uri="{FF2B5EF4-FFF2-40B4-BE49-F238E27FC236}">
              <a16:creationId xmlns:a16="http://schemas.microsoft.com/office/drawing/2014/main" id="{22132AF6-E28E-47DF-ADF6-70AE8C20755F}"/>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739" name="AutoShape 172" descr="+">
          <a:extLst>
            <a:ext uri="{FF2B5EF4-FFF2-40B4-BE49-F238E27FC236}">
              <a16:creationId xmlns:a16="http://schemas.microsoft.com/office/drawing/2014/main" id="{97A5050A-8DEA-4355-A968-298D4B5B202C}"/>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0" name="AutoShape 173" descr="+">
          <a:extLst>
            <a:ext uri="{FF2B5EF4-FFF2-40B4-BE49-F238E27FC236}">
              <a16:creationId xmlns:a16="http://schemas.microsoft.com/office/drawing/2014/main" id="{5F61B26B-C97B-4BE7-9821-C843FBC62389}"/>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41" name="AutoShape 174" descr="+">
          <a:extLst>
            <a:ext uri="{FF2B5EF4-FFF2-40B4-BE49-F238E27FC236}">
              <a16:creationId xmlns:a16="http://schemas.microsoft.com/office/drawing/2014/main" id="{EF65D4D4-571B-46BD-96A8-6ADE97EA13C5}"/>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2" name="AutoShape 175" descr="+">
          <a:extLst>
            <a:ext uri="{FF2B5EF4-FFF2-40B4-BE49-F238E27FC236}">
              <a16:creationId xmlns:a16="http://schemas.microsoft.com/office/drawing/2014/main" id="{EF2A91D3-2FFE-4AF0-96E7-77081210E433}"/>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43" name="AutoShape 176" descr="+">
          <a:extLst>
            <a:ext uri="{FF2B5EF4-FFF2-40B4-BE49-F238E27FC236}">
              <a16:creationId xmlns:a16="http://schemas.microsoft.com/office/drawing/2014/main" id="{D365F6C0-8D44-484A-B5BE-880B28BB1EE3}"/>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4" name="AutoShape 177" descr="+">
          <a:extLst>
            <a:ext uri="{FF2B5EF4-FFF2-40B4-BE49-F238E27FC236}">
              <a16:creationId xmlns:a16="http://schemas.microsoft.com/office/drawing/2014/main" id="{EF60C22D-EC83-4C00-8D8E-B84FDD10AA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5" name="AutoShape 178" descr="+">
          <a:extLst>
            <a:ext uri="{FF2B5EF4-FFF2-40B4-BE49-F238E27FC236}">
              <a16:creationId xmlns:a16="http://schemas.microsoft.com/office/drawing/2014/main" id="{85CB1963-83A0-47DE-9104-62C8C9DD58A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6" name="AutoShape 179" descr="+">
          <a:extLst>
            <a:ext uri="{FF2B5EF4-FFF2-40B4-BE49-F238E27FC236}">
              <a16:creationId xmlns:a16="http://schemas.microsoft.com/office/drawing/2014/main" id="{DCCF5BDC-2CFD-4936-A9FB-D46A57623C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2"/>
    <xdr:sp macro="" textlink="">
      <xdr:nvSpPr>
        <xdr:cNvPr id="747" name="AutoShape 180" descr="+">
          <a:extLst>
            <a:ext uri="{FF2B5EF4-FFF2-40B4-BE49-F238E27FC236}">
              <a16:creationId xmlns:a16="http://schemas.microsoft.com/office/drawing/2014/main" id="{259423BB-AC38-4C40-9455-F42D341A4ADE}"/>
            </a:ext>
          </a:extLst>
        </xdr:cNvPr>
        <xdr:cNvSpPr>
          <a:spLocks noChangeAspect="1" noChangeArrowheads="1"/>
        </xdr:cNvSpPr>
      </xdr:nvSpPr>
      <xdr:spPr bwMode="auto">
        <a:xfrm>
          <a:off x="1888435" y="4447761"/>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748" name="AutoShape 181" descr="+">
          <a:extLst>
            <a:ext uri="{FF2B5EF4-FFF2-40B4-BE49-F238E27FC236}">
              <a16:creationId xmlns:a16="http://schemas.microsoft.com/office/drawing/2014/main" id="{B1612489-857A-41AC-B2A5-FEF87240A1AC}"/>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9501"/>
    <xdr:sp macro="" textlink="">
      <xdr:nvSpPr>
        <xdr:cNvPr id="749" name="AutoShape 182" descr="+">
          <a:extLst>
            <a:ext uri="{FF2B5EF4-FFF2-40B4-BE49-F238E27FC236}">
              <a16:creationId xmlns:a16="http://schemas.microsoft.com/office/drawing/2014/main" id="{FE8AFCD2-4C1F-40BB-AE67-31D373DCFD19}"/>
            </a:ext>
          </a:extLst>
        </xdr:cNvPr>
        <xdr:cNvSpPr>
          <a:spLocks noChangeAspect="1" noChangeArrowheads="1"/>
        </xdr:cNvSpPr>
      </xdr:nvSpPr>
      <xdr:spPr bwMode="auto">
        <a:xfrm>
          <a:off x="1888435" y="4447761"/>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0" name="AutoShape 183" descr="+">
          <a:extLst>
            <a:ext uri="{FF2B5EF4-FFF2-40B4-BE49-F238E27FC236}">
              <a16:creationId xmlns:a16="http://schemas.microsoft.com/office/drawing/2014/main" id="{C0EF9D2D-C801-4484-9AA5-42FB6A17E8B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1" name="AutoShape 184" descr="+">
          <a:extLst>
            <a:ext uri="{FF2B5EF4-FFF2-40B4-BE49-F238E27FC236}">
              <a16:creationId xmlns:a16="http://schemas.microsoft.com/office/drawing/2014/main" id="{ECF83FD0-1672-4B61-809F-BD5A15F3EC3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752" name="AutoShape 185" descr="+">
          <a:extLst>
            <a:ext uri="{FF2B5EF4-FFF2-40B4-BE49-F238E27FC236}">
              <a16:creationId xmlns:a16="http://schemas.microsoft.com/office/drawing/2014/main" id="{29FD477C-7F47-4CFF-85CD-5D60054EA5EC}"/>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3" name="AutoShape 186" descr="+">
          <a:extLst>
            <a:ext uri="{FF2B5EF4-FFF2-40B4-BE49-F238E27FC236}">
              <a16:creationId xmlns:a16="http://schemas.microsoft.com/office/drawing/2014/main" id="{B990E30C-4912-4628-A718-D1D9A7453B9A}"/>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54" name="AutoShape 187" descr="+">
          <a:extLst>
            <a:ext uri="{FF2B5EF4-FFF2-40B4-BE49-F238E27FC236}">
              <a16:creationId xmlns:a16="http://schemas.microsoft.com/office/drawing/2014/main" id="{50B161B0-35FA-4A81-BA1A-E3260497FDB6}"/>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55" name="AutoShape 188" descr="+">
          <a:extLst>
            <a:ext uri="{FF2B5EF4-FFF2-40B4-BE49-F238E27FC236}">
              <a16:creationId xmlns:a16="http://schemas.microsoft.com/office/drawing/2014/main" id="{A3D4DD3B-4D1A-45A6-A6C8-5FFD1C61A50F}"/>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6" name="AutoShape 189" descr="+">
          <a:extLst>
            <a:ext uri="{FF2B5EF4-FFF2-40B4-BE49-F238E27FC236}">
              <a16:creationId xmlns:a16="http://schemas.microsoft.com/office/drawing/2014/main" id="{B9E16324-9851-4A25-8B84-BCB29F52C2D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09"/>
    <xdr:sp macro="" textlink="">
      <xdr:nvSpPr>
        <xdr:cNvPr id="757" name="AutoShape 190" descr="+">
          <a:extLst>
            <a:ext uri="{FF2B5EF4-FFF2-40B4-BE49-F238E27FC236}">
              <a16:creationId xmlns:a16="http://schemas.microsoft.com/office/drawing/2014/main" id="{D4EC29FE-68F5-435C-9F85-626BEA3213C5}"/>
            </a:ext>
          </a:extLst>
        </xdr:cNvPr>
        <xdr:cNvSpPr>
          <a:spLocks noChangeAspect="1" noChangeArrowheads="1"/>
        </xdr:cNvSpPr>
      </xdr:nvSpPr>
      <xdr:spPr bwMode="auto">
        <a:xfrm>
          <a:off x="1888435" y="4447761"/>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8" name="AutoShape 191" descr="+">
          <a:extLst>
            <a:ext uri="{FF2B5EF4-FFF2-40B4-BE49-F238E27FC236}">
              <a16:creationId xmlns:a16="http://schemas.microsoft.com/office/drawing/2014/main" id="{98B89A05-4667-4F75-9883-30ED699177A9}"/>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9" name="AutoShape 192" descr="+">
          <a:extLst>
            <a:ext uri="{FF2B5EF4-FFF2-40B4-BE49-F238E27FC236}">
              <a16:creationId xmlns:a16="http://schemas.microsoft.com/office/drawing/2014/main" id="{12992BA3-FD4B-442D-8808-247BBB5956A7}"/>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0" name="AutoShape 193" descr="+">
          <a:extLst>
            <a:ext uri="{FF2B5EF4-FFF2-40B4-BE49-F238E27FC236}">
              <a16:creationId xmlns:a16="http://schemas.microsoft.com/office/drawing/2014/main" id="{A6A2B73B-9579-4177-B1A0-AFA76A1321A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1" name="AutoShape 194" descr="+">
          <a:extLst>
            <a:ext uri="{FF2B5EF4-FFF2-40B4-BE49-F238E27FC236}">
              <a16:creationId xmlns:a16="http://schemas.microsoft.com/office/drawing/2014/main" id="{3D8EED2A-B1E2-4836-A1D8-929404EA2EF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62" name="AutoShape 195" descr="+">
          <a:extLst>
            <a:ext uri="{FF2B5EF4-FFF2-40B4-BE49-F238E27FC236}">
              <a16:creationId xmlns:a16="http://schemas.microsoft.com/office/drawing/2014/main" id="{CBC3E550-4D8A-4235-A913-FE73D6D56854}"/>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763" name="AutoShape 196" descr="+">
          <a:extLst>
            <a:ext uri="{FF2B5EF4-FFF2-40B4-BE49-F238E27FC236}">
              <a16:creationId xmlns:a16="http://schemas.microsoft.com/office/drawing/2014/main" id="{8033B463-EF9E-438A-A973-0A175A77E40D}"/>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64" name="AutoShape 197" descr="+">
          <a:extLst>
            <a:ext uri="{FF2B5EF4-FFF2-40B4-BE49-F238E27FC236}">
              <a16:creationId xmlns:a16="http://schemas.microsoft.com/office/drawing/2014/main" id="{AF745DD8-E072-41F2-8A40-0555CDEFEFF5}"/>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65" name="AutoShape 198" descr="+">
          <a:extLst>
            <a:ext uri="{FF2B5EF4-FFF2-40B4-BE49-F238E27FC236}">
              <a16:creationId xmlns:a16="http://schemas.microsoft.com/office/drawing/2014/main" id="{7FCCE498-0155-4F3A-BF73-79DA3E4066B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66" name="AutoShape 199" descr="+">
          <a:extLst>
            <a:ext uri="{FF2B5EF4-FFF2-40B4-BE49-F238E27FC236}">
              <a16:creationId xmlns:a16="http://schemas.microsoft.com/office/drawing/2014/main" id="{810CBB9E-F788-476F-80B4-36F8C4CD6F9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3470"/>
    <xdr:sp macro="" textlink="">
      <xdr:nvSpPr>
        <xdr:cNvPr id="767" name="AutoShape 200" descr="+">
          <a:extLst>
            <a:ext uri="{FF2B5EF4-FFF2-40B4-BE49-F238E27FC236}">
              <a16:creationId xmlns:a16="http://schemas.microsoft.com/office/drawing/2014/main" id="{C1963F40-1899-4F07-890C-E4D0F9082582}"/>
            </a:ext>
          </a:extLst>
        </xdr:cNvPr>
        <xdr:cNvSpPr>
          <a:spLocks noChangeAspect="1" noChangeArrowheads="1"/>
        </xdr:cNvSpPr>
      </xdr:nvSpPr>
      <xdr:spPr bwMode="auto">
        <a:xfrm>
          <a:off x="1888435" y="4447761"/>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68" name="AutoShape 201" descr="+">
          <a:extLst>
            <a:ext uri="{FF2B5EF4-FFF2-40B4-BE49-F238E27FC236}">
              <a16:creationId xmlns:a16="http://schemas.microsoft.com/office/drawing/2014/main" id="{F93D9AE1-D90B-4897-A7E7-02B60F9A66F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9" name="AutoShape 202" descr="+">
          <a:extLst>
            <a:ext uri="{FF2B5EF4-FFF2-40B4-BE49-F238E27FC236}">
              <a16:creationId xmlns:a16="http://schemas.microsoft.com/office/drawing/2014/main" id="{51657C78-1453-435C-BAC1-925973F0FB9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0" name="AutoShape 203" descr="+">
          <a:extLst>
            <a:ext uri="{FF2B5EF4-FFF2-40B4-BE49-F238E27FC236}">
              <a16:creationId xmlns:a16="http://schemas.microsoft.com/office/drawing/2014/main" id="{B7732B5A-1DB2-4D23-AFED-F65FD14DDC1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1" name="AutoShape 204" descr="+">
          <a:extLst>
            <a:ext uri="{FF2B5EF4-FFF2-40B4-BE49-F238E27FC236}">
              <a16:creationId xmlns:a16="http://schemas.microsoft.com/office/drawing/2014/main" id="{95ED2CC6-29D2-4843-8998-F00D49218C8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72" name="AutoShape 205" descr="+">
          <a:extLst>
            <a:ext uri="{FF2B5EF4-FFF2-40B4-BE49-F238E27FC236}">
              <a16:creationId xmlns:a16="http://schemas.microsoft.com/office/drawing/2014/main" id="{DF51AC23-BC85-49B1-802A-52E6C3A4DF0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73" name="AutoShape 206" descr="+">
          <a:extLst>
            <a:ext uri="{FF2B5EF4-FFF2-40B4-BE49-F238E27FC236}">
              <a16:creationId xmlns:a16="http://schemas.microsoft.com/office/drawing/2014/main" id="{6900CBCE-9267-4F20-8F10-4BB9C33769F1}"/>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774" name="AutoShape 207" descr="+">
          <a:extLst>
            <a:ext uri="{FF2B5EF4-FFF2-40B4-BE49-F238E27FC236}">
              <a16:creationId xmlns:a16="http://schemas.microsoft.com/office/drawing/2014/main" id="{E9926547-A931-4C7F-A62D-F9FBB92BB63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75" name="AutoShape 208" descr="+">
          <a:extLst>
            <a:ext uri="{FF2B5EF4-FFF2-40B4-BE49-F238E27FC236}">
              <a16:creationId xmlns:a16="http://schemas.microsoft.com/office/drawing/2014/main" id="{E568AF0E-F61F-448C-8E69-0818BC3F2BD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76" name="AutoShape 209" descr="+">
          <a:extLst>
            <a:ext uri="{FF2B5EF4-FFF2-40B4-BE49-F238E27FC236}">
              <a16:creationId xmlns:a16="http://schemas.microsoft.com/office/drawing/2014/main" id="{8F1DBC22-4352-462D-AC92-9ECF9093EEEE}"/>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777" name="AutoShape 210" descr="+">
          <a:extLst>
            <a:ext uri="{FF2B5EF4-FFF2-40B4-BE49-F238E27FC236}">
              <a16:creationId xmlns:a16="http://schemas.microsoft.com/office/drawing/2014/main" id="{B19D7DC6-7994-4D9E-870B-7AF7FA9CB657}"/>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78" name="AutoShape 211" descr="+">
          <a:extLst>
            <a:ext uri="{FF2B5EF4-FFF2-40B4-BE49-F238E27FC236}">
              <a16:creationId xmlns:a16="http://schemas.microsoft.com/office/drawing/2014/main" id="{CECC9D35-C878-4F00-B77A-36C0F4564AC1}"/>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6415"/>
    <xdr:sp macro="" textlink="">
      <xdr:nvSpPr>
        <xdr:cNvPr id="779" name="AutoShape 212" descr="+">
          <a:extLst>
            <a:ext uri="{FF2B5EF4-FFF2-40B4-BE49-F238E27FC236}">
              <a16:creationId xmlns:a16="http://schemas.microsoft.com/office/drawing/2014/main" id="{12BC5506-D1DB-4233-885F-E6D0DCE57E75}"/>
            </a:ext>
          </a:extLst>
        </xdr:cNvPr>
        <xdr:cNvSpPr>
          <a:spLocks noChangeAspect="1" noChangeArrowheads="1"/>
        </xdr:cNvSpPr>
      </xdr:nvSpPr>
      <xdr:spPr bwMode="auto">
        <a:xfrm>
          <a:off x="1888435" y="4447761"/>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80" name="AutoShape 213" descr="+">
          <a:extLst>
            <a:ext uri="{FF2B5EF4-FFF2-40B4-BE49-F238E27FC236}">
              <a16:creationId xmlns:a16="http://schemas.microsoft.com/office/drawing/2014/main" id="{21F1D34F-C701-46F4-A389-FDA6D54978A3}"/>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81" name="AutoShape 214" descr="+">
          <a:extLst>
            <a:ext uri="{FF2B5EF4-FFF2-40B4-BE49-F238E27FC236}">
              <a16:creationId xmlns:a16="http://schemas.microsoft.com/office/drawing/2014/main" id="{E4F0B1A7-9920-4BDB-BF7E-AB9CD70735F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2" name="AutoShape 215" descr="+">
          <a:extLst>
            <a:ext uri="{FF2B5EF4-FFF2-40B4-BE49-F238E27FC236}">
              <a16:creationId xmlns:a16="http://schemas.microsoft.com/office/drawing/2014/main" id="{5169B0D3-8B0C-4808-838C-5B21F5B4260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90"/>
    <xdr:sp macro="" textlink="">
      <xdr:nvSpPr>
        <xdr:cNvPr id="783" name="AutoShape 216" descr="+">
          <a:extLst>
            <a:ext uri="{FF2B5EF4-FFF2-40B4-BE49-F238E27FC236}">
              <a16:creationId xmlns:a16="http://schemas.microsoft.com/office/drawing/2014/main" id="{19DF9D06-FA8B-4FFB-89E9-CF6DF149844D}"/>
            </a:ext>
          </a:extLst>
        </xdr:cNvPr>
        <xdr:cNvSpPr>
          <a:spLocks noChangeAspect="1" noChangeArrowheads="1"/>
        </xdr:cNvSpPr>
      </xdr:nvSpPr>
      <xdr:spPr bwMode="auto">
        <a:xfrm>
          <a:off x="1888435" y="4447761"/>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84" name="AutoShape 217" descr="+">
          <a:extLst>
            <a:ext uri="{FF2B5EF4-FFF2-40B4-BE49-F238E27FC236}">
              <a16:creationId xmlns:a16="http://schemas.microsoft.com/office/drawing/2014/main" id="{1B7BE7AC-AEA2-47E1-941B-5474F658969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5" name="AutoShape 218" descr="+">
          <a:extLst>
            <a:ext uri="{FF2B5EF4-FFF2-40B4-BE49-F238E27FC236}">
              <a16:creationId xmlns:a16="http://schemas.microsoft.com/office/drawing/2014/main" id="{00DA34D3-7AE4-4866-B5A6-D55631B396E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7"/>
    <xdr:sp macro="" textlink="">
      <xdr:nvSpPr>
        <xdr:cNvPr id="786" name="AutoShape 219" descr="+">
          <a:extLst>
            <a:ext uri="{FF2B5EF4-FFF2-40B4-BE49-F238E27FC236}">
              <a16:creationId xmlns:a16="http://schemas.microsoft.com/office/drawing/2014/main" id="{9D6BCB99-4B46-4A61-B24D-8C4E4BA59C5F}"/>
            </a:ext>
          </a:extLst>
        </xdr:cNvPr>
        <xdr:cNvSpPr>
          <a:spLocks noChangeAspect="1" noChangeArrowheads="1"/>
        </xdr:cNvSpPr>
      </xdr:nvSpPr>
      <xdr:spPr bwMode="auto">
        <a:xfrm>
          <a:off x="1888435" y="4447761"/>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7" name="AutoShape 220" descr="+">
          <a:extLst>
            <a:ext uri="{FF2B5EF4-FFF2-40B4-BE49-F238E27FC236}">
              <a16:creationId xmlns:a16="http://schemas.microsoft.com/office/drawing/2014/main" id="{D4DD73BA-2C25-47F3-8343-D3F972781C5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8" name="AutoShape 221" descr="+">
          <a:extLst>
            <a:ext uri="{FF2B5EF4-FFF2-40B4-BE49-F238E27FC236}">
              <a16:creationId xmlns:a16="http://schemas.microsoft.com/office/drawing/2014/main" id="{BAEE61CA-BD43-4D83-919F-D449AB7C403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9" name="AutoShape 222" descr="+">
          <a:extLst>
            <a:ext uri="{FF2B5EF4-FFF2-40B4-BE49-F238E27FC236}">
              <a16:creationId xmlns:a16="http://schemas.microsoft.com/office/drawing/2014/main" id="{F6F50193-B16F-4B5C-B4C7-185387A8A69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0" name="AutoShape 223" descr="+">
          <a:extLst>
            <a:ext uri="{FF2B5EF4-FFF2-40B4-BE49-F238E27FC236}">
              <a16:creationId xmlns:a16="http://schemas.microsoft.com/office/drawing/2014/main" id="{DDCBFE3C-B9E1-43E6-8B4C-DAB7801D55D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1" name="AutoShape 224" descr="+">
          <a:extLst>
            <a:ext uri="{FF2B5EF4-FFF2-40B4-BE49-F238E27FC236}">
              <a16:creationId xmlns:a16="http://schemas.microsoft.com/office/drawing/2014/main" id="{3518092D-17E1-46F4-85EF-C2AE6C4E498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92" name="AutoShape 225" descr="+">
          <a:extLst>
            <a:ext uri="{FF2B5EF4-FFF2-40B4-BE49-F238E27FC236}">
              <a16:creationId xmlns:a16="http://schemas.microsoft.com/office/drawing/2014/main" id="{F101B514-968B-4475-8BEB-44EBBEA1AD20}"/>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7"/>
    <xdr:sp macro="" textlink="">
      <xdr:nvSpPr>
        <xdr:cNvPr id="793" name="AutoShape 226" descr="+">
          <a:extLst>
            <a:ext uri="{FF2B5EF4-FFF2-40B4-BE49-F238E27FC236}">
              <a16:creationId xmlns:a16="http://schemas.microsoft.com/office/drawing/2014/main" id="{F7C92495-A6CF-456D-9E1B-53312F7079CD}"/>
            </a:ext>
          </a:extLst>
        </xdr:cNvPr>
        <xdr:cNvSpPr>
          <a:spLocks noChangeAspect="1" noChangeArrowheads="1"/>
        </xdr:cNvSpPr>
      </xdr:nvSpPr>
      <xdr:spPr bwMode="auto">
        <a:xfrm>
          <a:off x="1888435" y="4447761"/>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4" name="AutoShape 227" descr="+">
          <a:extLst>
            <a:ext uri="{FF2B5EF4-FFF2-40B4-BE49-F238E27FC236}">
              <a16:creationId xmlns:a16="http://schemas.microsoft.com/office/drawing/2014/main" id="{31B7A1F9-9BAA-4CCC-B3C3-34D310D992E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95" name="AutoShape 228" descr="+">
          <a:extLst>
            <a:ext uri="{FF2B5EF4-FFF2-40B4-BE49-F238E27FC236}">
              <a16:creationId xmlns:a16="http://schemas.microsoft.com/office/drawing/2014/main" id="{BCDC052C-47C9-45F4-8237-E84A17D35A0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4"/>
    <xdr:sp macro="" textlink="">
      <xdr:nvSpPr>
        <xdr:cNvPr id="796" name="AutoShape 229" descr="+">
          <a:extLst>
            <a:ext uri="{FF2B5EF4-FFF2-40B4-BE49-F238E27FC236}">
              <a16:creationId xmlns:a16="http://schemas.microsoft.com/office/drawing/2014/main" id="{E323B40C-8885-4DE9-87A0-DD4A5C9635F4}"/>
            </a:ext>
          </a:extLst>
        </xdr:cNvPr>
        <xdr:cNvSpPr>
          <a:spLocks noChangeAspect="1" noChangeArrowheads="1"/>
        </xdr:cNvSpPr>
      </xdr:nvSpPr>
      <xdr:spPr bwMode="auto">
        <a:xfrm>
          <a:off x="1888435" y="4447761"/>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797" name="AutoShape 230" descr="+">
          <a:extLst>
            <a:ext uri="{FF2B5EF4-FFF2-40B4-BE49-F238E27FC236}">
              <a16:creationId xmlns:a16="http://schemas.microsoft.com/office/drawing/2014/main" id="{62F1CC39-8DAA-4E04-AC97-C04B0D03F3E1}"/>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98" name="AutoShape 231" descr="+">
          <a:extLst>
            <a:ext uri="{FF2B5EF4-FFF2-40B4-BE49-F238E27FC236}">
              <a16:creationId xmlns:a16="http://schemas.microsoft.com/office/drawing/2014/main" id="{F688E6CC-5E5D-4BE8-849A-5D012C658F0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799" name="AutoShape 232" descr="+">
          <a:extLst>
            <a:ext uri="{FF2B5EF4-FFF2-40B4-BE49-F238E27FC236}">
              <a16:creationId xmlns:a16="http://schemas.microsoft.com/office/drawing/2014/main" id="{4869907B-F47F-4E27-9C90-F0BB29894531}"/>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0" name="AutoShape 233" descr="+">
          <a:extLst>
            <a:ext uri="{FF2B5EF4-FFF2-40B4-BE49-F238E27FC236}">
              <a16:creationId xmlns:a16="http://schemas.microsoft.com/office/drawing/2014/main" id="{2D020F05-C16D-4BEC-94F1-D4AEB19A3B6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01" name="AutoShape 234" descr="+">
          <a:extLst>
            <a:ext uri="{FF2B5EF4-FFF2-40B4-BE49-F238E27FC236}">
              <a16:creationId xmlns:a16="http://schemas.microsoft.com/office/drawing/2014/main" id="{789FD3EB-997A-43E4-B09A-FFE60D23C22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2" name="AutoShape 235" descr="+">
          <a:extLst>
            <a:ext uri="{FF2B5EF4-FFF2-40B4-BE49-F238E27FC236}">
              <a16:creationId xmlns:a16="http://schemas.microsoft.com/office/drawing/2014/main" id="{EA7A87DC-C39C-4478-9550-57CFD3F4D0E8}"/>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3" name="AutoShape 236" descr="+">
          <a:extLst>
            <a:ext uri="{FF2B5EF4-FFF2-40B4-BE49-F238E27FC236}">
              <a16:creationId xmlns:a16="http://schemas.microsoft.com/office/drawing/2014/main" id="{F83252BC-A986-4A47-AC20-85A5D1A23D5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4" name="AutoShape 237" descr="+">
          <a:extLst>
            <a:ext uri="{FF2B5EF4-FFF2-40B4-BE49-F238E27FC236}">
              <a16:creationId xmlns:a16="http://schemas.microsoft.com/office/drawing/2014/main" id="{4E651C80-B0D3-4412-ADCA-CB65867244D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4"/>
    <xdr:sp macro="" textlink="">
      <xdr:nvSpPr>
        <xdr:cNvPr id="805" name="AutoShape 238" descr="+">
          <a:extLst>
            <a:ext uri="{FF2B5EF4-FFF2-40B4-BE49-F238E27FC236}">
              <a16:creationId xmlns:a16="http://schemas.microsoft.com/office/drawing/2014/main" id="{F8FF169F-3031-45C9-B51F-FB85C7519998}"/>
            </a:ext>
          </a:extLst>
        </xdr:cNvPr>
        <xdr:cNvSpPr>
          <a:spLocks noChangeAspect="1" noChangeArrowheads="1"/>
        </xdr:cNvSpPr>
      </xdr:nvSpPr>
      <xdr:spPr bwMode="auto">
        <a:xfrm>
          <a:off x="1888435" y="4447761"/>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6" name="AutoShape 239" descr="+">
          <a:extLst>
            <a:ext uri="{FF2B5EF4-FFF2-40B4-BE49-F238E27FC236}">
              <a16:creationId xmlns:a16="http://schemas.microsoft.com/office/drawing/2014/main" id="{2FC60200-C22A-4AEE-869E-537523400FA1}"/>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7" name="AutoShape 240" descr="+">
          <a:extLst>
            <a:ext uri="{FF2B5EF4-FFF2-40B4-BE49-F238E27FC236}">
              <a16:creationId xmlns:a16="http://schemas.microsoft.com/office/drawing/2014/main" id="{8BD1FF4F-ECA4-4147-AB4B-77CE40F97A9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08" name="AutoShape 241" descr="+">
          <a:extLst>
            <a:ext uri="{FF2B5EF4-FFF2-40B4-BE49-F238E27FC236}">
              <a16:creationId xmlns:a16="http://schemas.microsoft.com/office/drawing/2014/main" id="{E1DE3EEA-6733-4782-859E-BB1B2AF3B94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809" name="AutoShape 242" descr="+">
          <a:extLst>
            <a:ext uri="{FF2B5EF4-FFF2-40B4-BE49-F238E27FC236}">
              <a16:creationId xmlns:a16="http://schemas.microsoft.com/office/drawing/2014/main" id="{AEF14AD8-D694-4412-87E4-10A022F614BF}"/>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10" name="AutoShape 243" descr="+">
          <a:extLst>
            <a:ext uri="{FF2B5EF4-FFF2-40B4-BE49-F238E27FC236}">
              <a16:creationId xmlns:a16="http://schemas.microsoft.com/office/drawing/2014/main" id="{6FC35319-140E-46F5-B2A6-A227D7484BA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1" name="AutoShape 244" descr="+">
          <a:extLst>
            <a:ext uri="{FF2B5EF4-FFF2-40B4-BE49-F238E27FC236}">
              <a16:creationId xmlns:a16="http://schemas.microsoft.com/office/drawing/2014/main" id="{AD18408B-C31A-4E0E-BE32-675D52B350CA}"/>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2" name="AutoShape 245" descr="+">
          <a:extLst>
            <a:ext uri="{FF2B5EF4-FFF2-40B4-BE49-F238E27FC236}">
              <a16:creationId xmlns:a16="http://schemas.microsoft.com/office/drawing/2014/main" id="{1047EB9E-C53E-4DA0-9912-1EF067DED69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813" name="AutoShape 246" descr="+">
          <a:extLst>
            <a:ext uri="{FF2B5EF4-FFF2-40B4-BE49-F238E27FC236}">
              <a16:creationId xmlns:a16="http://schemas.microsoft.com/office/drawing/2014/main" id="{4AD39705-099A-4332-BA35-5710F6AAE0E2}"/>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4" name="AutoShape 247" descr="+">
          <a:extLst>
            <a:ext uri="{FF2B5EF4-FFF2-40B4-BE49-F238E27FC236}">
              <a16:creationId xmlns:a16="http://schemas.microsoft.com/office/drawing/2014/main" id="{80C4952E-46C5-4B2C-9F6B-AC86C5D52812}"/>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15" name="AutoShape 248" descr="+">
          <a:extLst>
            <a:ext uri="{FF2B5EF4-FFF2-40B4-BE49-F238E27FC236}">
              <a16:creationId xmlns:a16="http://schemas.microsoft.com/office/drawing/2014/main" id="{9B84A0B6-0E68-4150-A162-315AEEBB1A5D}"/>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6" name="AutoShape 249" descr="+">
          <a:extLst>
            <a:ext uri="{FF2B5EF4-FFF2-40B4-BE49-F238E27FC236}">
              <a16:creationId xmlns:a16="http://schemas.microsoft.com/office/drawing/2014/main" id="{6947233B-C78B-4B81-9CAB-6DF975A4B4DF}"/>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7" name="AutoShape 250" descr="+">
          <a:extLst>
            <a:ext uri="{FF2B5EF4-FFF2-40B4-BE49-F238E27FC236}">
              <a16:creationId xmlns:a16="http://schemas.microsoft.com/office/drawing/2014/main" id="{86DD72AF-2895-422C-94FB-2DB85099949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8" name="AutoShape 251" descr="+">
          <a:extLst>
            <a:ext uri="{FF2B5EF4-FFF2-40B4-BE49-F238E27FC236}">
              <a16:creationId xmlns:a16="http://schemas.microsoft.com/office/drawing/2014/main" id="{AF0DF95A-FA7B-4C02-A65E-E23994C5F41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19" name="AutoShape 252" descr="+">
          <a:extLst>
            <a:ext uri="{FF2B5EF4-FFF2-40B4-BE49-F238E27FC236}">
              <a16:creationId xmlns:a16="http://schemas.microsoft.com/office/drawing/2014/main" id="{D233F90A-613F-4A2E-8D45-49EC7B1A54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0" name="AutoShape 253" descr="+">
          <a:extLst>
            <a:ext uri="{FF2B5EF4-FFF2-40B4-BE49-F238E27FC236}">
              <a16:creationId xmlns:a16="http://schemas.microsoft.com/office/drawing/2014/main" id="{77FBC763-0145-4AF1-B292-9FD8449B5C1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1" name="AutoShape 254" descr="+">
          <a:extLst>
            <a:ext uri="{FF2B5EF4-FFF2-40B4-BE49-F238E27FC236}">
              <a16:creationId xmlns:a16="http://schemas.microsoft.com/office/drawing/2014/main" id="{BE927A75-BD10-42BF-A690-71DF70BFCC3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2" name="AutoShape 255" descr="+">
          <a:extLst>
            <a:ext uri="{FF2B5EF4-FFF2-40B4-BE49-F238E27FC236}">
              <a16:creationId xmlns:a16="http://schemas.microsoft.com/office/drawing/2014/main" id="{993FEB7A-308C-49C0-B256-5783AD5880C1}"/>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3" name="AutoShape 256" descr="+">
          <a:extLst>
            <a:ext uri="{FF2B5EF4-FFF2-40B4-BE49-F238E27FC236}">
              <a16:creationId xmlns:a16="http://schemas.microsoft.com/office/drawing/2014/main" id="{E3C6F355-67E1-49D1-9F45-FA50D58C5F2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4" name="AutoShape 257" descr="+">
          <a:extLst>
            <a:ext uri="{FF2B5EF4-FFF2-40B4-BE49-F238E27FC236}">
              <a16:creationId xmlns:a16="http://schemas.microsoft.com/office/drawing/2014/main" id="{2739FDC6-3762-43ED-ACC9-1398BE1A6AB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1328"/>
    <xdr:sp macro="" textlink="">
      <xdr:nvSpPr>
        <xdr:cNvPr id="825" name="AutoShape 258" descr="+">
          <a:extLst>
            <a:ext uri="{FF2B5EF4-FFF2-40B4-BE49-F238E27FC236}">
              <a16:creationId xmlns:a16="http://schemas.microsoft.com/office/drawing/2014/main" id="{B697FCA5-4772-47C0-A3C6-9C0DC3F2C1F6}"/>
            </a:ext>
          </a:extLst>
        </xdr:cNvPr>
        <xdr:cNvSpPr>
          <a:spLocks noChangeAspect="1" noChangeArrowheads="1"/>
        </xdr:cNvSpPr>
      </xdr:nvSpPr>
      <xdr:spPr bwMode="auto">
        <a:xfrm>
          <a:off x="1888435" y="4447761"/>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6" name="AutoShape 259" descr="+">
          <a:extLst>
            <a:ext uri="{FF2B5EF4-FFF2-40B4-BE49-F238E27FC236}">
              <a16:creationId xmlns:a16="http://schemas.microsoft.com/office/drawing/2014/main" id="{2A2395EF-E6B3-4082-BD01-C57AD8A51884}"/>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827" name="AutoShape 260" descr="+">
          <a:extLst>
            <a:ext uri="{FF2B5EF4-FFF2-40B4-BE49-F238E27FC236}">
              <a16:creationId xmlns:a16="http://schemas.microsoft.com/office/drawing/2014/main" id="{974EB9A9-B450-4F29-8D4C-B8CA759C3382}"/>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8" name="AutoShape 261" descr="+">
          <a:extLst>
            <a:ext uri="{FF2B5EF4-FFF2-40B4-BE49-F238E27FC236}">
              <a16:creationId xmlns:a16="http://schemas.microsoft.com/office/drawing/2014/main" id="{D123B60F-31D8-461C-B5FF-1F52FBF7FD4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9" name="AutoShape 262" descr="+">
          <a:extLst>
            <a:ext uri="{FF2B5EF4-FFF2-40B4-BE49-F238E27FC236}">
              <a16:creationId xmlns:a16="http://schemas.microsoft.com/office/drawing/2014/main" id="{3E7A2D3E-2C31-496B-A39A-867154C17A3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9"/>
    <xdr:sp macro="" textlink="">
      <xdr:nvSpPr>
        <xdr:cNvPr id="830" name="AutoShape 263" descr="+">
          <a:extLst>
            <a:ext uri="{FF2B5EF4-FFF2-40B4-BE49-F238E27FC236}">
              <a16:creationId xmlns:a16="http://schemas.microsoft.com/office/drawing/2014/main" id="{528F4C73-3E1C-4BD3-9976-8EB758DAFDA5}"/>
            </a:ext>
          </a:extLst>
        </xdr:cNvPr>
        <xdr:cNvSpPr>
          <a:spLocks noChangeAspect="1" noChangeArrowheads="1"/>
        </xdr:cNvSpPr>
      </xdr:nvSpPr>
      <xdr:spPr bwMode="auto">
        <a:xfrm>
          <a:off x="1888435" y="4447761"/>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8"/>
    <xdr:sp macro="" textlink="">
      <xdr:nvSpPr>
        <xdr:cNvPr id="831" name="AutoShape 264" descr="+">
          <a:extLst>
            <a:ext uri="{FF2B5EF4-FFF2-40B4-BE49-F238E27FC236}">
              <a16:creationId xmlns:a16="http://schemas.microsoft.com/office/drawing/2014/main" id="{2F85A723-6279-4811-9A78-9FB5F98D495E}"/>
            </a:ext>
          </a:extLst>
        </xdr:cNvPr>
        <xdr:cNvSpPr>
          <a:spLocks noChangeAspect="1" noChangeArrowheads="1"/>
        </xdr:cNvSpPr>
      </xdr:nvSpPr>
      <xdr:spPr bwMode="auto">
        <a:xfrm>
          <a:off x="1888435" y="4447761"/>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2" name="AutoShape 265" descr="+">
          <a:extLst>
            <a:ext uri="{FF2B5EF4-FFF2-40B4-BE49-F238E27FC236}">
              <a16:creationId xmlns:a16="http://schemas.microsoft.com/office/drawing/2014/main" id="{FD5FC8F9-7959-4801-B9A5-4CB63C767017}"/>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833" name="AutoShape 266" descr="+">
          <a:extLst>
            <a:ext uri="{FF2B5EF4-FFF2-40B4-BE49-F238E27FC236}">
              <a16:creationId xmlns:a16="http://schemas.microsoft.com/office/drawing/2014/main" id="{3184B63D-7CDC-4816-8F20-D346D456C052}"/>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834" name="AutoShape 267" descr="+">
          <a:extLst>
            <a:ext uri="{FF2B5EF4-FFF2-40B4-BE49-F238E27FC236}">
              <a16:creationId xmlns:a16="http://schemas.microsoft.com/office/drawing/2014/main" id="{E8536FBB-32C2-4092-89EE-463A13645EC9}"/>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5" name="AutoShape 268" descr="+">
          <a:extLst>
            <a:ext uri="{FF2B5EF4-FFF2-40B4-BE49-F238E27FC236}">
              <a16:creationId xmlns:a16="http://schemas.microsoft.com/office/drawing/2014/main" id="{E9C74ABE-58B1-4FD4-BE53-AE26700BBBD1}"/>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6" name="AutoShape 269" descr="+">
          <a:extLst>
            <a:ext uri="{FF2B5EF4-FFF2-40B4-BE49-F238E27FC236}">
              <a16:creationId xmlns:a16="http://schemas.microsoft.com/office/drawing/2014/main" id="{EC2DE87E-5089-45A0-928E-E710A0A96D57}"/>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7" name="AutoShape 270" descr="+">
          <a:extLst>
            <a:ext uri="{FF2B5EF4-FFF2-40B4-BE49-F238E27FC236}">
              <a16:creationId xmlns:a16="http://schemas.microsoft.com/office/drawing/2014/main" id="{C064E9BE-A6A7-4EEA-9C2B-C3FEE638ED6A}"/>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838" name="AutoShape 271" descr="+">
          <a:extLst>
            <a:ext uri="{FF2B5EF4-FFF2-40B4-BE49-F238E27FC236}">
              <a16:creationId xmlns:a16="http://schemas.microsoft.com/office/drawing/2014/main" id="{0EF2868A-972F-4579-91EB-52A8480F0367}"/>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9" name="AutoShape 272" descr="+">
          <a:extLst>
            <a:ext uri="{FF2B5EF4-FFF2-40B4-BE49-F238E27FC236}">
              <a16:creationId xmlns:a16="http://schemas.microsoft.com/office/drawing/2014/main" id="{A57B204D-5F18-490F-BE60-1F5478A3560D}"/>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0" name="AutoShape 273" descr="+">
          <a:extLst>
            <a:ext uri="{FF2B5EF4-FFF2-40B4-BE49-F238E27FC236}">
              <a16:creationId xmlns:a16="http://schemas.microsoft.com/office/drawing/2014/main" id="{88B69A03-791A-40F4-B3FB-D759F60C581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1" name="AutoShape 274" descr="+">
          <a:extLst>
            <a:ext uri="{FF2B5EF4-FFF2-40B4-BE49-F238E27FC236}">
              <a16:creationId xmlns:a16="http://schemas.microsoft.com/office/drawing/2014/main" id="{76C139F1-3013-49A1-9F86-69BEDAD971ED}"/>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5297"/>
    <xdr:sp macro="" textlink="">
      <xdr:nvSpPr>
        <xdr:cNvPr id="842" name="AutoShape 275" descr="+">
          <a:extLst>
            <a:ext uri="{FF2B5EF4-FFF2-40B4-BE49-F238E27FC236}">
              <a16:creationId xmlns:a16="http://schemas.microsoft.com/office/drawing/2014/main" id="{30C972F1-C7A7-4600-B360-B5B4FB225BE7}"/>
            </a:ext>
          </a:extLst>
        </xdr:cNvPr>
        <xdr:cNvSpPr>
          <a:spLocks noChangeAspect="1" noChangeArrowheads="1"/>
        </xdr:cNvSpPr>
      </xdr:nvSpPr>
      <xdr:spPr bwMode="auto">
        <a:xfrm>
          <a:off x="1888435" y="4447761"/>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3" name="AutoShape 276" descr="+">
          <a:extLst>
            <a:ext uri="{FF2B5EF4-FFF2-40B4-BE49-F238E27FC236}">
              <a16:creationId xmlns:a16="http://schemas.microsoft.com/office/drawing/2014/main" id="{5A63CF9E-AE94-47C0-9EF4-C7559481690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44" name="AutoShape 277" descr="+">
          <a:extLst>
            <a:ext uri="{FF2B5EF4-FFF2-40B4-BE49-F238E27FC236}">
              <a16:creationId xmlns:a16="http://schemas.microsoft.com/office/drawing/2014/main" id="{A75BBD4C-16B9-44D2-836A-38B58CD9B0F2}"/>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45" name="AutoShape 278" descr="+">
          <a:extLst>
            <a:ext uri="{FF2B5EF4-FFF2-40B4-BE49-F238E27FC236}">
              <a16:creationId xmlns:a16="http://schemas.microsoft.com/office/drawing/2014/main" id="{8D00EEC2-6890-4841-A33E-8143EBB0869E}"/>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846" name="AutoShape 279" descr="+">
          <a:extLst>
            <a:ext uri="{FF2B5EF4-FFF2-40B4-BE49-F238E27FC236}">
              <a16:creationId xmlns:a16="http://schemas.microsoft.com/office/drawing/2014/main" id="{2BA32A63-99C2-4861-B0CB-14F1B4C619A4}"/>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847" name="AutoShape 280" descr="+">
          <a:extLst>
            <a:ext uri="{FF2B5EF4-FFF2-40B4-BE49-F238E27FC236}">
              <a16:creationId xmlns:a16="http://schemas.microsoft.com/office/drawing/2014/main" id="{25582FC6-B6A7-4B30-9B97-46D802F5882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48" name="AutoShape 281" descr="+">
          <a:extLst>
            <a:ext uri="{FF2B5EF4-FFF2-40B4-BE49-F238E27FC236}">
              <a16:creationId xmlns:a16="http://schemas.microsoft.com/office/drawing/2014/main" id="{2913112A-0AF5-4222-96AB-F95F558AEAC4}"/>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849" name="AutoShape 282" descr="+">
          <a:extLst>
            <a:ext uri="{FF2B5EF4-FFF2-40B4-BE49-F238E27FC236}">
              <a16:creationId xmlns:a16="http://schemas.microsoft.com/office/drawing/2014/main" id="{98487249-C072-4B8A-895B-91FD95A91E24}"/>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0" name="AutoShape 283" descr="+">
          <a:extLst>
            <a:ext uri="{FF2B5EF4-FFF2-40B4-BE49-F238E27FC236}">
              <a16:creationId xmlns:a16="http://schemas.microsoft.com/office/drawing/2014/main" id="{57515E90-F52A-4ACD-8A3C-FD1FE38BC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1" name="AutoShape 284" descr="+">
          <a:extLst>
            <a:ext uri="{FF2B5EF4-FFF2-40B4-BE49-F238E27FC236}">
              <a16:creationId xmlns:a16="http://schemas.microsoft.com/office/drawing/2014/main" id="{9FE3CC25-1C2E-4E98-BEA9-171AA1C3BA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852" name="AutoShape 285" descr="+">
          <a:extLst>
            <a:ext uri="{FF2B5EF4-FFF2-40B4-BE49-F238E27FC236}">
              <a16:creationId xmlns:a16="http://schemas.microsoft.com/office/drawing/2014/main" id="{A72AA8DC-2C49-461A-8903-F14D85D24620}"/>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853" name="AutoShape 286" descr="+">
          <a:extLst>
            <a:ext uri="{FF2B5EF4-FFF2-40B4-BE49-F238E27FC236}">
              <a16:creationId xmlns:a16="http://schemas.microsoft.com/office/drawing/2014/main" id="{7BEAF315-C9EE-4D9A-B340-D5C3A125D58C}"/>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7"/>
    <xdr:sp macro="" textlink="">
      <xdr:nvSpPr>
        <xdr:cNvPr id="854" name="AutoShape 287" descr="+">
          <a:extLst>
            <a:ext uri="{FF2B5EF4-FFF2-40B4-BE49-F238E27FC236}">
              <a16:creationId xmlns:a16="http://schemas.microsoft.com/office/drawing/2014/main" id="{5177E2F3-D443-42A2-BB28-A165B924E323}"/>
            </a:ext>
          </a:extLst>
        </xdr:cNvPr>
        <xdr:cNvSpPr>
          <a:spLocks noChangeAspect="1" noChangeArrowheads="1"/>
        </xdr:cNvSpPr>
      </xdr:nvSpPr>
      <xdr:spPr bwMode="auto">
        <a:xfrm>
          <a:off x="1888435" y="4447761"/>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7"/>
    <xdr:sp macro="" textlink="">
      <xdr:nvSpPr>
        <xdr:cNvPr id="855" name="AutoShape 288" descr="+">
          <a:extLst>
            <a:ext uri="{FF2B5EF4-FFF2-40B4-BE49-F238E27FC236}">
              <a16:creationId xmlns:a16="http://schemas.microsoft.com/office/drawing/2014/main" id="{76E526C8-28B4-4ED5-B239-A9D745C31846}"/>
            </a:ext>
          </a:extLst>
        </xdr:cNvPr>
        <xdr:cNvSpPr>
          <a:spLocks noChangeAspect="1" noChangeArrowheads="1"/>
        </xdr:cNvSpPr>
      </xdr:nvSpPr>
      <xdr:spPr bwMode="auto">
        <a:xfrm>
          <a:off x="1888435" y="4447761"/>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56" name="AutoShape 289" descr="+">
          <a:extLst>
            <a:ext uri="{FF2B5EF4-FFF2-40B4-BE49-F238E27FC236}">
              <a16:creationId xmlns:a16="http://schemas.microsoft.com/office/drawing/2014/main" id="{C902C61B-A3A2-423D-AB08-5AD569EAD9A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7" name="AutoShape 290" descr="+">
          <a:extLst>
            <a:ext uri="{FF2B5EF4-FFF2-40B4-BE49-F238E27FC236}">
              <a16:creationId xmlns:a16="http://schemas.microsoft.com/office/drawing/2014/main" id="{FBB9BAE3-338E-4EA8-A841-44B9299409F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58" name="AutoShape 291" descr="+">
          <a:extLst>
            <a:ext uri="{FF2B5EF4-FFF2-40B4-BE49-F238E27FC236}">
              <a16:creationId xmlns:a16="http://schemas.microsoft.com/office/drawing/2014/main" id="{4CC651E6-9BD2-4265-B337-D6FF5BF7BFE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9" name="AutoShape 292" descr="+">
          <a:extLst>
            <a:ext uri="{FF2B5EF4-FFF2-40B4-BE49-F238E27FC236}">
              <a16:creationId xmlns:a16="http://schemas.microsoft.com/office/drawing/2014/main" id="{C285D2B8-7AC1-40B1-9AC5-79CA9DD6CDA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60" name="AutoShape 293" descr="+">
          <a:extLst>
            <a:ext uri="{FF2B5EF4-FFF2-40B4-BE49-F238E27FC236}">
              <a16:creationId xmlns:a16="http://schemas.microsoft.com/office/drawing/2014/main" id="{87424BC9-9859-4F34-A8FE-CFC974FC0369}"/>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1" name="AutoShape 294" descr="+">
          <a:extLst>
            <a:ext uri="{FF2B5EF4-FFF2-40B4-BE49-F238E27FC236}">
              <a16:creationId xmlns:a16="http://schemas.microsoft.com/office/drawing/2014/main" id="{7050CAAF-6FD1-4FA5-9DB4-D913FADCC06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664"/>
    <xdr:sp macro="" textlink="">
      <xdr:nvSpPr>
        <xdr:cNvPr id="862" name="AutoShape 295" descr="+">
          <a:extLst>
            <a:ext uri="{FF2B5EF4-FFF2-40B4-BE49-F238E27FC236}">
              <a16:creationId xmlns:a16="http://schemas.microsoft.com/office/drawing/2014/main" id="{749BCB45-18A6-4C71-86F0-33594DBFAA02}"/>
            </a:ext>
          </a:extLst>
        </xdr:cNvPr>
        <xdr:cNvSpPr>
          <a:spLocks noChangeAspect="1" noChangeArrowheads="1"/>
        </xdr:cNvSpPr>
      </xdr:nvSpPr>
      <xdr:spPr bwMode="auto">
        <a:xfrm>
          <a:off x="1888435" y="4447761"/>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63" name="AutoShape 296" descr="+">
          <a:extLst>
            <a:ext uri="{FF2B5EF4-FFF2-40B4-BE49-F238E27FC236}">
              <a16:creationId xmlns:a16="http://schemas.microsoft.com/office/drawing/2014/main" id="{E4E036E0-F10B-45EC-8120-5B9BFBD10B02}"/>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3"/>
    <xdr:sp macro="" textlink="">
      <xdr:nvSpPr>
        <xdr:cNvPr id="864" name="AutoShape 297" descr="+">
          <a:extLst>
            <a:ext uri="{FF2B5EF4-FFF2-40B4-BE49-F238E27FC236}">
              <a16:creationId xmlns:a16="http://schemas.microsoft.com/office/drawing/2014/main" id="{51A29828-0A77-4102-8FA9-2DE753E2F762}"/>
            </a:ext>
          </a:extLst>
        </xdr:cNvPr>
        <xdr:cNvSpPr>
          <a:spLocks noChangeAspect="1" noChangeArrowheads="1"/>
        </xdr:cNvSpPr>
      </xdr:nvSpPr>
      <xdr:spPr bwMode="auto">
        <a:xfrm>
          <a:off x="1888435" y="4447761"/>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5" name="AutoShape 298" descr="+">
          <a:extLst>
            <a:ext uri="{FF2B5EF4-FFF2-40B4-BE49-F238E27FC236}">
              <a16:creationId xmlns:a16="http://schemas.microsoft.com/office/drawing/2014/main" id="{4756686F-1D31-42F8-A9DE-CF148087C38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8</xdr:row>
      <xdr:rowOff>0</xdr:rowOff>
    </xdr:from>
    <xdr:ext cx="304800" cy="166687"/>
    <xdr:sp macro="" textlink="">
      <xdr:nvSpPr>
        <xdr:cNvPr id="867" name="AutoShape 80" descr="+">
          <a:extLst>
            <a:ext uri="{FF2B5EF4-FFF2-40B4-BE49-F238E27FC236}">
              <a16:creationId xmlns:a16="http://schemas.microsoft.com/office/drawing/2014/main" id="{924B87E4-9561-4DE4-9EDA-CCACFE4FD70B}"/>
            </a:ext>
          </a:extLst>
        </xdr:cNvPr>
        <xdr:cNvSpPr>
          <a:spLocks noChangeAspect="1" noChangeArrowheads="1"/>
        </xdr:cNvSpPr>
      </xdr:nvSpPr>
      <xdr:spPr bwMode="auto">
        <a:xfrm>
          <a:off x="3385221" y="4447761"/>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66" name="AutoShape 4" descr="+">
          <a:extLst>
            <a:ext uri="{FF2B5EF4-FFF2-40B4-BE49-F238E27FC236}">
              <a16:creationId xmlns:a16="http://schemas.microsoft.com/office/drawing/2014/main" id="{638B5041-C85C-441B-ABD5-8DDF004BDC7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68" name="AutoShape 5" descr="+">
          <a:extLst>
            <a:ext uri="{FF2B5EF4-FFF2-40B4-BE49-F238E27FC236}">
              <a16:creationId xmlns:a16="http://schemas.microsoft.com/office/drawing/2014/main" id="{141D8040-F899-4780-8159-3FE98A314269}"/>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7"/>
    <xdr:sp macro="" textlink="">
      <xdr:nvSpPr>
        <xdr:cNvPr id="869" name="AutoShape 6" descr="+">
          <a:extLst>
            <a:ext uri="{FF2B5EF4-FFF2-40B4-BE49-F238E27FC236}">
              <a16:creationId xmlns:a16="http://schemas.microsoft.com/office/drawing/2014/main" id="{175A2817-D489-4492-A152-301EC24E41AA}"/>
            </a:ext>
          </a:extLst>
        </xdr:cNvPr>
        <xdr:cNvSpPr>
          <a:spLocks noChangeAspect="1" noChangeArrowheads="1"/>
        </xdr:cNvSpPr>
      </xdr:nvSpPr>
      <xdr:spPr bwMode="auto">
        <a:xfrm>
          <a:off x="2294283" y="4977848"/>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4665"/>
    <xdr:sp macro="" textlink="">
      <xdr:nvSpPr>
        <xdr:cNvPr id="870" name="AutoShape 7" descr="+">
          <a:extLst>
            <a:ext uri="{FF2B5EF4-FFF2-40B4-BE49-F238E27FC236}">
              <a16:creationId xmlns:a16="http://schemas.microsoft.com/office/drawing/2014/main" id="{F73883E1-B7FB-47A5-B9AC-D88549213A53}"/>
            </a:ext>
          </a:extLst>
        </xdr:cNvPr>
        <xdr:cNvSpPr>
          <a:spLocks noChangeAspect="1" noChangeArrowheads="1"/>
        </xdr:cNvSpPr>
      </xdr:nvSpPr>
      <xdr:spPr bwMode="auto">
        <a:xfrm>
          <a:off x="2294283" y="4977848"/>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1" name="AutoShape 8" descr="+">
          <a:extLst>
            <a:ext uri="{FF2B5EF4-FFF2-40B4-BE49-F238E27FC236}">
              <a16:creationId xmlns:a16="http://schemas.microsoft.com/office/drawing/2014/main" id="{CDA7A1ED-AB5C-4E12-BA33-77EFDE544F6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2" name="AutoShape 9" descr="+">
          <a:extLst>
            <a:ext uri="{FF2B5EF4-FFF2-40B4-BE49-F238E27FC236}">
              <a16:creationId xmlns:a16="http://schemas.microsoft.com/office/drawing/2014/main" id="{10B976EA-3C92-47AB-BCE7-727F898BBCBE}"/>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3" name="AutoShape 10" descr="+">
          <a:extLst>
            <a:ext uri="{FF2B5EF4-FFF2-40B4-BE49-F238E27FC236}">
              <a16:creationId xmlns:a16="http://schemas.microsoft.com/office/drawing/2014/main" id="{7D1CF251-F265-4D75-A7CC-69AE9A04EEF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2180"/>
    <xdr:sp macro="" textlink="">
      <xdr:nvSpPr>
        <xdr:cNvPr id="874" name="AutoShape 11" descr="+">
          <a:extLst>
            <a:ext uri="{FF2B5EF4-FFF2-40B4-BE49-F238E27FC236}">
              <a16:creationId xmlns:a16="http://schemas.microsoft.com/office/drawing/2014/main" id="{F7C10F6A-AD9D-482E-AB83-FDABC115E4FA}"/>
            </a:ext>
          </a:extLst>
        </xdr:cNvPr>
        <xdr:cNvSpPr>
          <a:spLocks noChangeAspect="1" noChangeArrowheads="1"/>
        </xdr:cNvSpPr>
      </xdr:nvSpPr>
      <xdr:spPr bwMode="auto">
        <a:xfrm>
          <a:off x="2294283" y="4977848"/>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0133"/>
    <xdr:sp macro="" textlink="">
      <xdr:nvSpPr>
        <xdr:cNvPr id="875" name="AutoShape 12" descr="+">
          <a:extLst>
            <a:ext uri="{FF2B5EF4-FFF2-40B4-BE49-F238E27FC236}">
              <a16:creationId xmlns:a16="http://schemas.microsoft.com/office/drawing/2014/main" id="{252C248C-77C3-4748-BD4A-DAD8B7A680CB}"/>
            </a:ext>
          </a:extLst>
        </xdr:cNvPr>
        <xdr:cNvSpPr>
          <a:spLocks noChangeAspect="1" noChangeArrowheads="1"/>
        </xdr:cNvSpPr>
      </xdr:nvSpPr>
      <xdr:spPr bwMode="auto">
        <a:xfrm>
          <a:off x="2294283" y="4977848"/>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876" name="AutoShape 13" descr="+">
          <a:extLst>
            <a:ext uri="{FF2B5EF4-FFF2-40B4-BE49-F238E27FC236}">
              <a16:creationId xmlns:a16="http://schemas.microsoft.com/office/drawing/2014/main" id="{C34ED8F2-3C31-47A3-8FA8-F68FB1C2DF84}"/>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7" name="AutoShape 14" descr="+">
          <a:extLst>
            <a:ext uri="{FF2B5EF4-FFF2-40B4-BE49-F238E27FC236}">
              <a16:creationId xmlns:a16="http://schemas.microsoft.com/office/drawing/2014/main" id="{7595D145-23EE-4FE7-8F77-158EBF9CC234}"/>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8" name="AutoShape 15" descr="+">
          <a:extLst>
            <a:ext uri="{FF2B5EF4-FFF2-40B4-BE49-F238E27FC236}">
              <a16:creationId xmlns:a16="http://schemas.microsoft.com/office/drawing/2014/main" id="{6917867B-1688-4F1C-A210-F2D48E19E0A0}"/>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901"/>
    <xdr:sp macro="" textlink="">
      <xdr:nvSpPr>
        <xdr:cNvPr id="879" name="AutoShape 16" descr="+">
          <a:extLst>
            <a:ext uri="{FF2B5EF4-FFF2-40B4-BE49-F238E27FC236}">
              <a16:creationId xmlns:a16="http://schemas.microsoft.com/office/drawing/2014/main" id="{64E05C77-A2C1-4A7F-89A3-7969E235501F}"/>
            </a:ext>
          </a:extLst>
        </xdr:cNvPr>
        <xdr:cNvSpPr>
          <a:spLocks noChangeAspect="1" noChangeArrowheads="1"/>
        </xdr:cNvSpPr>
      </xdr:nvSpPr>
      <xdr:spPr bwMode="auto">
        <a:xfrm>
          <a:off x="2294283" y="4977848"/>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3"/>
    <xdr:sp macro="" textlink="">
      <xdr:nvSpPr>
        <xdr:cNvPr id="880" name="AutoShape 17" descr="+">
          <a:extLst>
            <a:ext uri="{FF2B5EF4-FFF2-40B4-BE49-F238E27FC236}">
              <a16:creationId xmlns:a16="http://schemas.microsoft.com/office/drawing/2014/main" id="{84A9D2BE-2D80-4633-97B0-EF6ACD907E2D}"/>
            </a:ext>
          </a:extLst>
        </xdr:cNvPr>
        <xdr:cNvSpPr>
          <a:spLocks noChangeAspect="1" noChangeArrowheads="1"/>
        </xdr:cNvSpPr>
      </xdr:nvSpPr>
      <xdr:spPr bwMode="auto">
        <a:xfrm>
          <a:off x="2294283" y="4977848"/>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5"/>
    <xdr:sp macro="" textlink="">
      <xdr:nvSpPr>
        <xdr:cNvPr id="881" name="AutoShape 18" descr="+">
          <a:extLst>
            <a:ext uri="{FF2B5EF4-FFF2-40B4-BE49-F238E27FC236}">
              <a16:creationId xmlns:a16="http://schemas.microsoft.com/office/drawing/2014/main" id="{5C6B65E5-D74F-4C50-86E8-ED6F456ED82A}"/>
            </a:ext>
          </a:extLst>
        </xdr:cNvPr>
        <xdr:cNvSpPr>
          <a:spLocks noChangeAspect="1" noChangeArrowheads="1"/>
        </xdr:cNvSpPr>
      </xdr:nvSpPr>
      <xdr:spPr bwMode="auto">
        <a:xfrm>
          <a:off x="2294283" y="4977848"/>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82" name="AutoShape 19" descr="+">
          <a:extLst>
            <a:ext uri="{FF2B5EF4-FFF2-40B4-BE49-F238E27FC236}">
              <a16:creationId xmlns:a16="http://schemas.microsoft.com/office/drawing/2014/main" id="{698531FB-21E2-499B-BA9F-33A07B3F547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2"/>
    <xdr:sp macro="" textlink="">
      <xdr:nvSpPr>
        <xdr:cNvPr id="883" name="AutoShape 20" descr="+">
          <a:extLst>
            <a:ext uri="{FF2B5EF4-FFF2-40B4-BE49-F238E27FC236}">
              <a16:creationId xmlns:a16="http://schemas.microsoft.com/office/drawing/2014/main" id="{6E8FF2B4-D9D4-4482-B94F-189C726B8CF3}"/>
            </a:ext>
          </a:extLst>
        </xdr:cNvPr>
        <xdr:cNvSpPr>
          <a:spLocks noChangeAspect="1" noChangeArrowheads="1"/>
        </xdr:cNvSpPr>
      </xdr:nvSpPr>
      <xdr:spPr bwMode="auto">
        <a:xfrm>
          <a:off x="2294283" y="4977848"/>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2"/>
    <xdr:sp macro="" textlink="">
      <xdr:nvSpPr>
        <xdr:cNvPr id="884" name="AutoShape 21" descr="+">
          <a:extLst>
            <a:ext uri="{FF2B5EF4-FFF2-40B4-BE49-F238E27FC236}">
              <a16:creationId xmlns:a16="http://schemas.microsoft.com/office/drawing/2014/main" id="{4E255201-33B5-496B-AD83-2B12837A80EA}"/>
            </a:ext>
          </a:extLst>
        </xdr:cNvPr>
        <xdr:cNvSpPr>
          <a:spLocks noChangeAspect="1" noChangeArrowheads="1"/>
        </xdr:cNvSpPr>
      </xdr:nvSpPr>
      <xdr:spPr bwMode="auto">
        <a:xfrm>
          <a:off x="2294283" y="4977848"/>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85" name="AutoShape 22" descr="+">
          <a:extLst>
            <a:ext uri="{FF2B5EF4-FFF2-40B4-BE49-F238E27FC236}">
              <a16:creationId xmlns:a16="http://schemas.microsoft.com/office/drawing/2014/main" id="{A7083444-B933-4ABA-95B4-544B8A4D411D}"/>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1"/>
    <xdr:sp macro="" textlink="">
      <xdr:nvSpPr>
        <xdr:cNvPr id="886" name="AutoShape 23" descr="+">
          <a:extLst>
            <a:ext uri="{FF2B5EF4-FFF2-40B4-BE49-F238E27FC236}">
              <a16:creationId xmlns:a16="http://schemas.microsoft.com/office/drawing/2014/main" id="{7B6930BF-E6A8-4845-B7B2-0206A59F3103}"/>
            </a:ext>
          </a:extLst>
        </xdr:cNvPr>
        <xdr:cNvSpPr>
          <a:spLocks noChangeAspect="1" noChangeArrowheads="1"/>
        </xdr:cNvSpPr>
      </xdr:nvSpPr>
      <xdr:spPr bwMode="auto">
        <a:xfrm>
          <a:off x="2294283" y="4977848"/>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8584"/>
    <xdr:sp macro="" textlink="">
      <xdr:nvSpPr>
        <xdr:cNvPr id="887" name="AutoShape 24" descr="+">
          <a:extLst>
            <a:ext uri="{FF2B5EF4-FFF2-40B4-BE49-F238E27FC236}">
              <a16:creationId xmlns:a16="http://schemas.microsoft.com/office/drawing/2014/main" id="{137C7694-E8D5-426E-B3AA-06DEB9918300}"/>
            </a:ext>
          </a:extLst>
        </xdr:cNvPr>
        <xdr:cNvSpPr>
          <a:spLocks noChangeAspect="1" noChangeArrowheads="1"/>
        </xdr:cNvSpPr>
      </xdr:nvSpPr>
      <xdr:spPr bwMode="auto">
        <a:xfrm>
          <a:off x="2294283" y="4977848"/>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8" name="AutoShape 25" descr="+">
          <a:extLst>
            <a:ext uri="{FF2B5EF4-FFF2-40B4-BE49-F238E27FC236}">
              <a16:creationId xmlns:a16="http://schemas.microsoft.com/office/drawing/2014/main" id="{42C18A3B-9D80-4309-8A73-B2E2023621CC}"/>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9" name="AutoShape 26" descr="+">
          <a:extLst>
            <a:ext uri="{FF2B5EF4-FFF2-40B4-BE49-F238E27FC236}">
              <a16:creationId xmlns:a16="http://schemas.microsoft.com/office/drawing/2014/main" id="{BBB0B189-3829-43C7-8F21-8E2BE66B0047}"/>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90" name="AutoShape 27" descr="+">
          <a:extLst>
            <a:ext uri="{FF2B5EF4-FFF2-40B4-BE49-F238E27FC236}">
              <a16:creationId xmlns:a16="http://schemas.microsoft.com/office/drawing/2014/main" id="{BAD52370-6A05-4D4F-BD5E-10507A3CD0F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91" name="AutoShape 28" descr="+">
          <a:extLst>
            <a:ext uri="{FF2B5EF4-FFF2-40B4-BE49-F238E27FC236}">
              <a16:creationId xmlns:a16="http://schemas.microsoft.com/office/drawing/2014/main" id="{38A6ED13-B151-47B3-B65F-7990AC6A897A}"/>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11"/>
    <xdr:sp macro="" textlink="">
      <xdr:nvSpPr>
        <xdr:cNvPr id="892" name="AutoShape 29" descr="+">
          <a:extLst>
            <a:ext uri="{FF2B5EF4-FFF2-40B4-BE49-F238E27FC236}">
              <a16:creationId xmlns:a16="http://schemas.microsoft.com/office/drawing/2014/main" id="{78A82D90-5EBD-49EA-9331-DFED3523D624}"/>
            </a:ext>
          </a:extLst>
        </xdr:cNvPr>
        <xdr:cNvSpPr>
          <a:spLocks noChangeAspect="1" noChangeArrowheads="1"/>
        </xdr:cNvSpPr>
      </xdr:nvSpPr>
      <xdr:spPr bwMode="auto">
        <a:xfrm>
          <a:off x="2294283" y="4977848"/>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3" name="AutoShape 30" descr="+">
          <a:extLst>
            <a:ext uri="{FF2B5EF4-FFF2-40B4-BE49-F238E27FC236}">
              <a16:creationId xmlns:a16="http://schemas.microsoft.com/office/drawing/2014/main" id="{8A9C64A9-1142-4868-B0A6-8665988E1B1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4" name="AutoShape 31" descr="+">
          <a:extLst>
            <a:ext uri="{FF2B5EF4-FFF2-40B4-BE49-F238E27FC236}">
              <a16:creationId xmlns:a16="http://schemas.microsoft.com/office/drawing/2014/main" id="{C20268A6-816D-4A15-AE5B-E00880E08A23}"/>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895" name="AutoShape 32" descr="+">
          <a:extLst>
            <a:ext uri="{FF2B5EF4-FFF2-40B4-BE49-F238E27FC236}">
              <a16:creationId xmlns:a16="http://schemas.microsoft.com/office/drawing/2014/main" id="{BCA11AD0-64BE-40C6-A429-9D8BB671966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896" name="AutoShape 33" descr="+">
          <a:extLst>
            <a:ext uri="{FF2B5EF4-FFF2-40B4-BE49-F238E27FC236}">
              <a16:creationId xmlns:a16="http://schemas.microsoft.com/office/drawing/2014/main" id="{7422215E-AA8B-4E55-8DBA-997C0A104652}"/>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897" name="AutoShape 34" descr="+">
          <a:extLst>
            <a:ext uri="{FF2B5EF4-FFF2-40B4-BE49-F238E27FC236}">
              <a16:creationId xmlns:a16="http://schemas.microsoft.com/office/drawing/2014/main" id="{9E6D20F3-3E4D-4BAF-B4D6-B12FB70ABC25}"/>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8" name="AutoShape 52" descr="+">
          <a:extLst>
            <a:ext uri="{FF2B5EF4-FFF2-40B4-BE49-F238E27FC236}">
              <a16:creationId xmlns:a16="http://schemas.microsoft.com/office/drawing/2014/main" id="{19F261A7-185E-48ED-A187-63FA583403E5}"/>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9" name="AutoShape 53" descr="+">
          <a:extLst>
            <a:ext uri="{FF2B5EF4-FFF2-40B4-BE49-F238E27FC236}">
              <a16:creationId xmlns:a16="http://schemas.microsoft.com/office/drawing/2014/main" id="{DA49EAE7-D41B-4BDB-9BDB-EC4E3A0793E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900" name="AutoShape 54" descr="+">
          <a:extLst>
            <a:ext uri="{FF2B5EF4-FFF2-40B4-BE49-F238E27FC236}">
              <a16:creationId xmlns:a16="http://schemas.microsoft.com/office/drawing/2014/main" id="{722CF8D9-7A0A-4006-82F3-1F3918671FE2}"/>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01" name="AutoShape 55" descr="+">
          <a:extLst>
            <a:ext uri="{FF2B5EF4-FFF2-40B4-BE49-F238E27FC236}">
              <a16:creationId xmlns:a16="http://schemas.microsoft.com/office/drawing/2014/main" id="{DDF8568F-4E27-4BB0-944D-8ED8C2355C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2" name="AutoShape 56" descr="+">
          <a:extLst>
            <a:ext uri="{FF2B5EF4-FFF2-40B4-BE49-F238E27FC236}">
              <a16:creationId xmlns:a16="http://schemas.microsoft.com/office/drawing/2014/main" id="{CC5A1E57-224A-480C-9DF1-ECCC6A99C39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03" name="AutoShape 57" descr="+">
          <a:extLst>
            <a:ext uri="{FF2B5EF4-FFF2-40B4-BE49-F238E27FC236}">
              <a16:creationId xmlns:a16="http://schemas.microsoft.com/office/drawing/2014/main" id="{812A90EA-C1B3-4679-B7FD-410A1C063CD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04" name="AutoShape 58" descr="+">
          <a:extLst>
            <a:ext uri="{FF2B5EF4-FFF2-40B4-BE49-F238E27FC236}">
              <a16:creationId xmlns:a16="http://schemas.microsoft.com/office/drawing/2014/main" id="{AE7F8AFA-D4A5-4406-9172-74598D35AE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905" name="AutoShape 59" descr="+">
          <a:extLst>
            <a:ext uri="{FF2B5EF4-FFF2-40B4-BE49-F238E27FC236}">
              <a16:creationId xmlns:a16="http://schemas.microsoft.com/office/drawing/2014/main" id="{14C1285B-4D8C-429F-BCFD-52F500D26A59}"/>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906" name="AutoShape 60" descr="+">
          <a:extLst>
            <a:ext uri="{FF2B5EF4-FFF2-40B4-BE49-F238E27FC236}">
              <a16:creationId xmlns:a16="http://schemas.microsoft.com/office/drawing/2014/main" id="{1C638A58-AC8C-431D-885C-88C71B6764CE}"/>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07" name="AutoShape 61" descr="+">
          <a:extLst>
            <a:ext uri="{FF2B5EF4-FFF2-40B4-BE49-F238E27FC236}">
              <a16:creationId xmlns:a16="http://schemas.microsoft.com/office/drawing/2014/main" id="{1F1A95B4-D971-47A5-BDC0-A97A2E0DFD4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8" name="AutoShape 62" descr="+">
          <a:extLst>
            <a:ext uri="{FF2B5EF4-FFF2-40B4-BE49-F238E27FC236}">
              <a16:creationId xmlns:a16="http://schemas.microsoft.com/office/drawing/2014/main" id="{8AF3EA12-901B-4E11-8FF2-B21D7635FD8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9" name="AutoShape 63" descr="+">
          <a:extLst>
            <a:ext uri="{FF2B5EF4-FFF2-40B4-BE49-F238E27FC236}">
              <a16:creationId xmlns:a16="http://schemas.microsoft.com/office/drawing/2014/main" id="{16442F6B-E79E-4D7B-B088-01DB744521D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0" name="AutoShape 64" descr="+">
          <a:extLst>
            <a:ext uri="{FF2B5EF4-FFF2-40B4-BE49-F238E27FC236}">
              <a16:creationId xmlns:a16="http://schemas.microsoft.com/office/drawing/2014/main" id="{173C24D7-C63F-4AE1-8D4B-548A94431E4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911" name="AutoShape 65" descr="+">
          <a:extLst>
            <a:ext uri="{FF2B5EF4-FFF2-40B4-BE49-F238E27FC236}">
              <a16:creationId xmlns:a16="http://schemas.microsoft.com/office/drawing/2014/main" id="{CCBAB324-8E84-4096-8DE6-631B4DA6C96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2" name="AutoShape 66" descr="+">
          <a:extLst>
            <a:ext uri="{FF2B5EF4-FFF2-40B4-BE49-F238E27FC236}">
              <a16:creationId xmlns:a16="http://schemas.microsoft.com/office/drawing/2014/main" id="{B2C3571C-489A-4405-83BF-52A62EA8CBEF}"/>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3" name="AutoShape 67" descr="+">
          <a:extLst>
            <a:ext uri="{FF2B5EF4-FFF2-40B4-BE49-F238E27FC236}">
              <a16:creationId xmlns:a16="http://schemas.microsoft.com/office/drawing/2014/main" id="{11B5801F-B474-43E5-BB30-7F34FB9590AD}"/>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4" name="AutoShape 68" descr="+">
          <a:extLst>
            <a:ext uri="{FF2B5EF4-FFF2-40B4-BE49-F238E27FC236}">
              <a16:creationId xmlns:a16="http://schemas.microsoft.com/office/drawing/2014/main" id="{C4A8FEC2-6013-41F6-AFC0-CAB53118E90F}"/>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15" name="AutoShape 69" descr="+">
          <a:extLst>
            <a:ext uri="{FF2B5EF4-FFF2-40B4-BE49-F238E27FC236}">
              <a16:creationId xmlns:a16="http://schemas.microsoft.com/office/drawing/2014/main" id="{73BE73B8-5B58-4E40-8A62-C255537D10DB}"/>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16" name="AutoShape 70" descr="+">
          <a:extLst>
            <a:ext uri="{FF2B5EF4-FFF2-40B4-BE49-F238E27FC236}">
              <a16:creationId xmlns:a16="http://schemas.microsoft.com/office/drawing/2014/main" id="{D6BCE4CF-9435-43EF-83E2-C2886C43DDBD}"/>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17" name="AutoShape 71" descr="+">
          <a:extLst>
            <a:ext uri="{FF2B5EF4-FFF2-40B4-BE49-F238E27FC236}">
              <a16:creationId xmlns:a16="http://schemas.microsoft.com/office/drawing/2014/main" id="{2FD28CD2-E26B-4515-9AE4-4DB1064C17F4}"/>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18" name="AutoShape 72" descr="+">
          <a:extLst>
            <a:ext uri="{FF2B5EF4-FFF2-40B4-BE49-F238E27FC236}">
              <a16:creationId xmlns:a16="http://schemas.microsoft.com/office/drawing/2014/main" id="{480A134E-FF29-4132-B4F9-46C08A4D8960}"/>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9" name="AutoShape 73" descr="+">
          <a:extLst>
            <a:ext uri="{FF2B5EF4-FFF2-40B4-BE49-F238E27FC236}">
              <a16:creationId xmlns:a16="http://schemas.microsoft.com/office/drawing/2014/main" id="{DC78BECB-334B-46A2-8DDF-ECD06DB718F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20" name="AutoShape 74" descr="+">
          <a:extLst>
            <a:ext uri="{FF2B5EF4-FFF2-40B4-BE49-F238E27FC236}">
              <a16:creationId xmlns:a16="http://schemas.microsoft.com/office/drawing/2014/main" id="{AC8621B8-B2B5-458E-A6CB-F1949DAFDDD5}"/>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21" name="AutoShape 75" descr="+">
          <a:extLst>
            <a:ext uri="{FF2B5EF4-FFF2-40B4-BE49-F238E27FC236}">
              <a16:creationId xmlns:a16="http://schemas.microsoft.com/office/drawing/2014/main" id="{20014200-32FB-4390-8803-1D6102EB189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2" name="AutoShape 76" descr="+">
          <a:extLst>
            <a:ext uri="{FF2B5EF4-FFF2-40B4-BE49-F238E27FC236}">
              <a16:creationId xmlns:a16="http://schemas.microsoft.com/office/drawing/2014/main" id="{08E1D9A4-6AF5-4B3B-9054-B379317746BA}"/>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23" name="AutoShape 77" descr="+">
          <a:extLst>
            <a:ext uri="{FF2B5EF4-FFF2-40B4-BE49-F238E27FC236}">
              <a16:creationId xmlns:a16="http://schemas.microsoft.com/office/drawing/2014/main" id="{307EDFFC-A43F-4455-A201-274A26FE933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4" name="AutoShape 78" descr="+">
          <a:extLst>
            <a:ext uri="{FF2B5EF4-FFF2-40B4-BE49-F238E27FC236}">
              <a16:creationId xmlns:a16="http://schemas.microsoft.com/office/drawing/2014/main" id="{831283E0-CED1-41D5-804B-25AED006A7E5}"/>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9"/>
    <xdr:sp macro="" textlink="">
      <xdr:nvSpPr>
        <xdr:cNvPr id="925" name="AutoShape 79" descr="+">
          <a:extLst>
            <a:ext uri="{FF2B5EF4-FFF2-40B4-BE49-F238E27FC236}">
              <a16:creationId xmlns:a16="http://schemas.microsoft.com/office/drawing/2014/main" id="{248FEBBE-A77E-4F47-8EF9-7F4613CCAF4B}"/>
            </a:ext>
          </a:extLst>
        </xdr:cNvPr>
        <xdr:cNvSpPr>
          <a:spLocks noChangeAspect="1" noChangeArrowheads="1"/>
        </xdr:cNvSpPr>
      </xdr:nvSpPr>
      <xdr:spPr bwMode="auto">
        <a:xfrm>
          <a:off x="2294283" y="4977848"/>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6" name="AutoShape 80" descr="+">
          <a:extLst>
            <a:ext uri="{FF2B5EF4-FFF2-40B4-BE49-F238E27FC236}">
              <a16:creationId xmlns:a16="http://schemas.microsoft.com/office/drawing/2014/main" id="{CDC27D41-5550-4960-9E59-E070A66C7616}"/>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655"/>
    <xdr:sp macro="" textlink="">
      <xdr:nvSpPr>
        <xdr:cNvPr id="927" name="AutoShape 81" descr="+">
          <a:extLst>
            <a:ext uri="{FF2B5EF4-FFF2-40B4-BE49-F238E27FC236}">
              <a16:creationId xmlns:a16="http://schemas.microsoft.com/office/drawing/2014/main" id="{A4477C80-5E58-42FC-BAE2-3BDB3C081353}"/>
            </a:ext>
          </a:extLst>
        </xdr:cNvPr>
        <xdr:cNvSpPr>
          <a:spLocks noChangeAspect="1" noChangeArrowheads="1"/>
        </xdr:cNvSpPr>
      </xdr:nvSpPr>
      <xdr:spPr bwMode="auto">
        <a:xfrm>
          <a:off x="2294283" y="4977848"/>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8" name="AutoShape 82" descr="+">
          <a:extLst>
            <a:ext uri="{FF2B5EF4-FFF2-40B4-BE49-F238E27FC236}">
              <a16:creationId xmlns:a16="http://schemas.microsoft.com/office/drawing/2014/main" id="{3EBA9341-7A54-40FF-A97F-6E3903A78C11}"/>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1"/>
    <xdr:sp macro="" textlink="">
      <xdr:nvSpPr>
        <xdr:cNvPr id="929" name="AutoShape 83" descr="+">
          <a:extLst>
            <a:ext uri="{FF2B5EF4-FFF2-40B4-BE49-F238E27FC236}">
              <a16:creationId xmlns:a16="http://schemas.microsoft.com/office/drawing/2014/main" id="{C521AD28-FF87-4AD6-A7AD-F46B821C8550}"/>
            </a:ext>
          </a:extLst>
        </xdr:cNvPr>
        <xdr:cNvSpPr>
          <a:spLocks noChangeAspect="1" noChangeArrowheads="1"/>
        </xdr:cNvSpPr>
      </xdr:nvSpPr>
      <xdr:spPr bwMode="auto">
        <a:xfrm>
          <a:off x="2294283" y="4977848"/>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0" name="AutoShape 84" descr="+">
          <a:extLst>
            <a:ext uri="{FF2B5EF4-FFF2-40B4-BE49-F238E27FC236}">
              <a16:creationId xmlns:a16="http://schemas.microsoft.com/office/drawing/2014/main" id="{CED47707-EBFF-4B4C-A1A9-12E8A1FD94C9}"/>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8"/>
    <xdr:sp macro="" textlink="">
      <xdr:nvSpPr>
        <xdr:cNvPr id="931" name="AutoShape 85" descr="+">
          <a:extLst>
            <a:ext uri="{FF2B5EF4-FFF2-40B4-BE49-F238E27FC236}">
              <a16:creationId xmlns:a16="http://schemas.microsoft.com/office/drawing/2014/main" id="{C4121FF9-F96D-4897-A8C7-6258C139DFA6}"/>
            </a:ext>
          </a:extLst>
        </xdr:cNvPr>
        <xdr:cNvSpPr>
          <a:spLocks noChangeAspect="1" noChangeArrowheads="1"/>
        </xdr:cNvSpPr>
      </xdr:nvSpPr>
      <xdr:spPr bwMode="auto">
        <a:xfrm>
          <a:off x="2294283" y="4977848"/>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32" name="AutoShape 86" descr="+">
          <a:extLst>
            <a:ext uri="{FF2B5EF4-FFF2-40B4-BE49-F238E27FC236}">
              <a16:creationId xmlns:a16="http://schemas.microsoft.com/office/drawing/2014/main" id="{CAAB2B8E-4516-4C4A-91DC-6866136F587F}"/>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3" name="AutoShape 87" descr="+">
          <a:extLst>
            <a:ext uri="{FF2B5EF4-FFF2-40B4-BE49-F238E27FC236}">
              <a16:creationId xmlns:a16="http://schemas.microsoft.com/office/drawing/2014/main" id="{3858CF9D-1891-4688-8F69-55308E45F8FB}"/>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4" name="AutoShape 88" descr="+">
          <a:extLst>
            <a:ext uri="{FF2B5EF4-FFF2-40B4-BE49-F238E27FC236}">
              <a16:creationId xmlns:a16="http://schemas.microsoft.com/office/drawing/2014/main" id="{6D79B90D-D536-4B1E-B672-B31BFFAD5572}"/>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5" name="AutoShape 89" descr="+">
          <a:extLst>
            <a:ext uri="{FF2B5EF4-FFF2-40B4-BE49-F238E27FC236}">
              <a16:creationId xmlns:a16="http://schemas.microsoft.com/office/drawing/2014/main" id="{8677FBF9-FAA2-449B-AAE4-60CF182E2DD4}"/>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7"/>
    <xdr:sp macro="" textlink="">
      <xdr:nvSpPr>
        <xdr:cNvPr id="936" name="AutoShape 90" descr="+">
          <a:extLst>
            <a:ext uri="{FF2B5EF4-FFF2-40B4-BE49-F238E27FC236}">
              <a16:creationId xmlns:a16="http://schemas.microsoft.com/office/drawing/2014/main" id="{AB6EF8B2-64F2-4872-9664-C446E018836F}"/>
            </a:ext>
          </a:extLst>
        </xdr:cNvPr>
        <xdr:cNvSpPr>
          <a:spLocks noChangeAspect="1" noChangeArrowheads="1"/>
        </xdr:cNvSpPr>
      </xdr:nvSpPr>
      <xdr:spPr bwMode="auto">
        <a:xfrm>
          <a:off x="2294283" y="4977848"/>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629"/>
    <xdr:sp macro="" textlink="">
      <xdr:nvSpPr>
        <xdr:cNvPr id="937" name="AutoShape 91" descr="+">
          <a:extLst>
            <a:ext uri="{FF2B5EF4-FFF2-40B4-BE49-F238E27FC236}">
              <a16:creationId xmlns:a16="http://schemas.microsoft.com/office/drawing/2014/main" id="{B907F5B7-7A51-4D19-9A12-AF636F727790}"/>
            </a:ext>
          </a:extLst>
        </xdr:cNvPr>
        <xdr:cNvSpPr>
          <a:spLocks noChangeAspect="1" noChangeArrowheads="1"/>
        </xdr:cNvSpPr>
      </xdr:nvSpPr>
      <xdr:spPr bwMode="auto">
        <a:xfrm>
          <a:off x="2294283" y="4977848"/>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450"/>
    <xdr:sp macro="" textlink="">
      <xdr:nvSpPr>
        <xdr:cNvPr id="938" name="AutoShape 92" descr="+">
          <a:extLst>
            <a:ext uri="{FF2B5EF4-FFF2-40B4-BE49-F238E27FC236}">
              <a16:creationId xmlns:a16="http://schemas.microsoft.com/office/drawing/2014/main" id="{600E9DBC-7639-4465-AD6E-960AF8DF9D0A}"/>
            </a:ext>
          </a:extLst>
        </xdr:cNvPr>
        <xdr:cNvSpPr>
          <a:spLocks noChangeAspect="1" noChangeArrowheads="1"/>
        </xdr:cNvSpPr>
      </xdr:nvSpPr>
      <xdr:spPr bwMode="auto">
        <a:xfrm>
          <a:off x="2294283" y="4977848"/>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9" name="AutoShape 93" descr="+">
          <a:extLst>
            <a:ext uri="{FF2B5EF4-FFF2-40B4-BE49-F238E27FC236}">
              <a16:creationId xmlns:a16="http://schemas.microsoft.com/office/drawing/2014/main" id="{7E2B3C8F-DAA7-4B06-8D75-24C4B25A4D11}"/>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40" name="AutoShape 94" descr="+">
          <a:extLst>
            <a:ext uri="{FF2B5EF4-FFF2-40B4-BE49-F238E27FC236}">
              <a16:creationId xmlns:a16="http://schemas.microsoft.com/office/drawing/2014/main" id="{655D7DCA-AAF5-4B30-BE15-82B7B30B40C7}"/>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8"/>
    <xdr:sp macro="" textlink="">
      <xdr:nvSpPr>
        <xdr:cNvPr id="941" name="AutoShape 95" descr="+">
          <a:extLst>
            <a:ext uri="{FF2B5EF4-FFF2-40B4-BE49-F238E27FC236}">
              <a16:creationId xmlns:a16="http://schemas.microsoft.com/office/drawing/2014/main" id="{A61B3811-9F43-4D42-AF4B-05736FA3D5A0}"/>
            </a:ext>
          </a:extLst>
        </xdr:cNvPr>
        <xdr:cNvSpPr>
          <a:spLocks noChangeAspect="1" noChangeArrowheads="1"/>
        </xdr:cNvSpPr>
      </xdr:nvSpPr>
      <xdr:spPr bwMode="auto">
        <a:xfrm>
          <a:off x="2294283" y="4977848"/>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42" name="AutoShape 96" descr="+">
          <a:extLst>
            <a:ext uri="{FF2B5EF4-FFF2-40B4-BE49-F238E27FC236}">
              <a16:creationId xmlns:a16="http://schemas.microsoft.com/office/drawing/2014/main" id="{9AF2296B-1B46-46AF-B70D-4118BD8D228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43" name="AutoShape 97" descr="+">
          <a:extLst>
            <a:ext uri="{FF2B5EF4-FFF2-40B4-BE49-F238E27FC236}">
              <a16:creationId xmlns:a16="http://schemas.microsoft.com/office/drawing/2014/main" id="{A899D418-80D9-43E6-B599-CD005E283E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44" name="AutoShape 98" descr="+">
          <a:extLst>
            <a:ext uri="{FF2B5EF4-FFF2-40B4-BE49-F238E27FC236}">
              <a16:creationId xmlns:a16="http://schemas.microsoft.com/office/drawing/2014/main" id="{1A167419-B4D1-40B6-9847-6A61F6D4AC10}"/>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5" name="AutoShape 99" descr="+">
          <a:extLst>
            <a:ext uri="{FF2B5EF4-FFF2-40B4-BE49-F238E27FC236}">
              <a16:creationId xmlns:a16="http://schemas.microsoft.com/office/drawing/2014/main" id="{FF90775E-A34D-4789-A596-051DF6EEA933}"/>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46" name="AutoShape 100" descr="+">
          <a:extLst>
            <a:ext uri="{FF2B5EF4-FFF2-40B4-BE49-F238E27FC236}">
              <a16:creationId xmlns:a16="http://schemas.microsoft.com/office/drawing/2014/main" id="{45AF6F6B-BC2D-4E47-85BC-8F0E2641969A}"/>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47" name="AutoShape 101" descr="+">
          <a:extLst>
            <a:ext uri="{FF2B5EF4-FFF2-40B4-BE49-F238E27FC236}">
              <a16:creationId xmlns:a16="http://schemas.microsoft.com/office/drawing/2014/main" id="{186BAED8-0843-4957-A2DB-D2D3FCED858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48" name="AutoShape 102" descr="+">
          <a:extLst>
            <a:ext uri="{FF2B5EF4-FFF2-40B4-BE49-F238E27FC236}">
              <a16:creationId xmlns:a16="http://schemas.microsoft.com/office/drawing/2014/main" id="{FF21BA14-D2AD-44AD-B524-8ECDE955425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9" name="AutoShape 103" descr="+">
          <a:extLst>
            <a:ext uri="{FF2B5EF4-FFF2-40B4-BE49-F238E27FC236}">
              <a16:creationId xmlns:a16="http://schemas.microsoft.com/office/drawing/2014/main" id="{25A734F4-17FE-4EB2-88AB-6924AB1B4037}"/>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50" name="AutoShape 104" descr="+">
          <a:extLst>
            <a:ext uri="{FF2B5EF4-FFF2-40B4-BE49-F238E27FC236}">
              <a16:creationId xmlns:a16="http://schemas.microsoft.com/office/drawing/2014/main" id="{77546A60-7F35-4EA1-AD19-50E8457C1B0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133"/>
    <xdr:sp macro="" textlink="">
      <xdr:nvSpPr>
        <xdr:cNvPr id="951" name="AutoShape 105" descr="+">
          <a:extLst>
            <a:ext uri="{FF2B5EF4-FFF2-40B4-BE49-F238E27FC236}">
              <a16:creationId xmlns:a16="http://schemas.microsoft.com/office/drawing/2014/main" id="{D72C275D-9461-4878-8113-1A8A4EB41E96}"/>
            </a:ext>
          </a:extLst>
        </xdr:cNvPr>
        <xdr:cNvSpPr>
          <a:spLocks noChangeAspect="1" noChangeArrowheads="1"/>
        </xdr:cNvSpPr>
      </xdr:nvSpPr>
      <xdr:spPr bwMode="auto">
        <a:xfrm>
          <a:off x="2294283" y="4977848"/>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5"/>
    <xdr:sp macro="" textlink="">
      <xdr:nvSpPr>
        <xdr:cNvPr id="952" name="AutoShape 106" descr="+">
          <a:extLst>
            <a:ext uri="{FF2B5EF4-FFF2-40B4-BE49-F238E27FC236}">
              <a16:creationId xmlns:a16="http://schemas.microsoft.com/office/drawing/2014/main" id="{78CC5B1B-AB4C-481E-BC11-3FBCBE5A2334}"/>
            </a:ext>
          </a:extLst>
        </xdr:cNvPr>
        <xdr:cNvSpPr>
          <a:spLocks noChangeAspect="1" noChangeArrowheads="1"/>
        </xdr:cNvSpPr>
      </xdr:nvSpPr>
      <xdr:spPr bwMode="auto">
        <a:xfrm>
          <a:off x="2294283" y="4977848"/>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953" name="AutoShape 107" descr="+">
          <a:extLst>
            <a:ext uri="{FF2B5EF4-FFF2-40B4-BE49-F238E27FC236}">
              <a16:creationId xmlns:a16="http://schemas.microsoft.com/office/drawing/2014/main" id="{ADE34452-D5E8-4FF6-9F3D-E27FF57367D3}"/>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4" name="AutoShape 108" descr="+">
          <a:extLst>
            <a:ext uri="{FF2B5EF4-FFF2-40B4-BE49-F238E27FC236}">
              <a16:creationId xmlns:a16="http://schemas.microsoft.com/office/drawing/2014/main" id="{7D996BC1-CF72-48FF-80A8-41BB1A6BB8B1}"/>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55" name="AutoShape 109" descr="+">
          <a:extLst>
            <a:ext uri="{FF2B5EF4-FFF2-40B4-BE49-F238E27FC236}">
              <a16:creationId xmlns:a16="http://schemas.microsoft.com/office/drawing/2014/main" id="{2AF719E0-4B5B-4FE4-9CBA-6AF6E148A8C1}"/>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6" name="AutoShape 110" descr="+">
          <a:extLst>
            <a:ext uri="{FF2B5EF4-FFF2-40B4-BE49-F238E27FC236}">
              <a16:creationId xmlns:a16="http://schemas.microsoft.com/office/drawing/2014/main" id="{A11C7241-9FBD-4B9D-9F12-7092675EE10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57" name="AutoShape 111" descr="+">
          <a:extLst>
            <a:ext uri="{FF2B5EF4-FFF2-40B4-BE49-F238E27FC236}">
              <a16:creationId xmlns:a16="http://schemas.microsoft.com/office/drawing/2014/main" id="{5792BFE0-AB47-4AC2-97A9-E0C396B2A66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58" name="AutoShape 112" descr="+">
          <a:extLst>
            <a:ext uri="{FF2B5EF4-FFF2-40B4-BE49-F238E27FC236}">
              <a16:creationId xmlns:a16="http://schemas.microsoft.com/office/drawing/2014/main" id="{84B495A3-86EE-4DBE-8B8A-E2764F128F5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58"/>
    <xdr:sp macro="" textlink="">
      <xdr:nvSpPr>
        <xdr:cNvPr id="959" name="AutoShape 113" descr="+">
          <a:extLst>
            <a:ext uri="{FF2B5EF4-FFF2-40B4-BE49-F238E27FC236}">
              <a16:creationId xmlns:a16="http://schemas.microsoft.com/office/drawing/2014/main" id="{A5F32EE4-6339-4FAD-B1F6-348BB9116C35}"/>
            </a:ext>
          </a:extLst>
        </xdr:cNvPr>
        <xdr:cNvSpPr>
          <a:spLocks noChangeAspect="1" noChangeArrowheads="1"/>
        </xdr:cNvSpPr>
      </xdr:nvSpPr>
      <xdr:spPr bwMode="auto">
        <a:xfrm>
          <a:off x="2294283" y="4977848"/>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0" name="AutoShape 114" descr="+">
          <a:extLst>
            <a:ext uri="{FF2B5EF4-FFF2-40B4-BE49-F238E27FC236}">
              <a16:creationId xmlns:a16="http://schemas.microsoft.com/office/drawing/2014/main" id="{5CE45EEE-8DD6-4DDD-8050-0A0A7B2F0A6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1" name="AutoShape 115" descr="+">
          <a:extLst>
            <a:ext uri="{FF2B5EF4-FFF2-40B4-BE49-F238E27FC236}">
              <a16:creationId xmlns:a16="http://schemas.microsoft.com/office/drawing/2014/main" id="{165B0480-CA96-471E-BE97-5FAA056BDE4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2" name="AutoShape 116" descr="+">
          <a:extLst>
            <a:ext uri="{FF2B5EF4-FFF2-40B4-BE49-F238E27FC236}">
              <a16:creationId xmlns:a16="http://schemas.microsoft.com/office/drawing/2014/main" id="{8714C941-93EA-42F5-8BB4-A7FDD941ACE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3" name="AutoShape 117" descr="+">
          <a:extLst>
            <a:ext uri="{FF2B5EF4-FFF2-40B4-BE49-F238E27FC236}">
              <a16:creationId xmlns:a16="http://schemas.microsoft.com/office/drawing/2014/main" id="{55181EC4-A21E-4455-AAE3-DDD32550489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4" name="AutoShape 118" descr="+">
          <a:extLst>
            <a:ext uri="{FF2B5EF4-FFF2-40B4-BE49-F238E27FC236}">
              <a16:creationId xmlns:a16="http://schemas.microsoft.com/office/drawing/2014/main" id="{1F62478C-0835-4EB4-ACD4-378BCF3301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65" name="AutoShape 119" descr="+">
          <a:extLst>
            <a:ext uri="{FF2B5EF4-FFF2-40B4-BE49-F238E27FC236}">
              <a16:creationId xmlns:a16="http://schemas.microsoft.com/office/drawing/2014/main" id="{47C080E4-1EA3-45D0-BA75-60419A32475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66" name="AutoShape 120" descr="+">
          <a:extLst>
            <a:ext uri="{FF2B5EF4-FFF2-40B4-BE49-F238E27FC236}">
              <a16:creationId xmlns:a16="http://schemas.microsoft.com/office/drawing/2014/main" id="{8D559D7C-5664-45F3-803A-4B947CFBAF8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67" name="AutoShape 121" descr="+">
          <a:extLst>
            <a:ext uri="{FF2B5EF4-FFF2-40B4-BE49-F238E27FC236}">
              <a16:creationId xmlns:a16="http://schemas.microsoft.com/office/drawing/2014/main" id="{6F485EAD-6150-4656-8ED6-BEB61B2E0ED4}"/>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68" name="AutoShape 122" descr="+">
          <a:extLst>
            <a:ext uri="{FF2B5EF4-FFF2-40B4-BE49-F238E27FC236}">
              <a16:creationId xmlns:a16="http://schemas.microsoft.com/office/drawing/2014/main" id="{61191A00-CA81-4D47-80AA-A82D42E5695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69" name="AutoShape 123" descr="+">
          <a:extLst>
            <a:ext uri="{FF2B5EF4-FFF2-40B4-BE49-F238E27FC236}">
              <a16:creationId xmlns:a16="http://schemas.microsoft.com/office/drawing/2014/main" id="{81091A15-B741-4DBB-B5FE-C4BCF3D43D52}"/>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0" name="AutoShape 124" descr="+">
          <a:extLst>
            <a:ext uri="{FF2B5EF4-FFF2-40B4-BE49-F238E27FC236}">
              <a16:creationId xmlns:a16="http://schemas.microsoft.com/office/drawing/2014/main" id="{D66C6281-8D0C-418C-AEC0-A7FDCF53CD9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71" name="AutoShape 125" descr="+">
          <a:extLst>
            <a:ext uri="{FF2B5EF4-FFF2-40B4-BE49-F238E27FC236}">
              <a16:creationId xmlns:a16="http://schemas.microsoft.com/office/drawing/2014/main" id="{45B7D41A-524E-4E4A-8F88-C389419638A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2" name="AutoShape 126" descr="+">
          <a:extLst>
            <a:ext uri="{FF2B5EF4-FFF2-40B4-BE49-F238E27FC236}">
              <a16:creationId xmlns:a16="http://schemas.microsoft.com/office/drawing/2014/main" id="{B04AFBFA-A842-4839-877A-1EAC1847971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973" name="AutoShape 127" descr="+">
          <a:extLst>
            <a:ext uri="{FF2B5EF4-FFF2-40B4-BE49-F238E27FC236}">
              <a16:creationId xmlns:a16="http://schemas.microsoft.com/office/drawing/2014/main" id="{EF755071-51FA-4787-8E2C-EB2164FF8F0D}"/>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9"/>
    <xdr:sp macro="" textlink="">
      <xdr:nvSpPr>
        <xdr:cNvPr id="974" name="AutoShape 128" descr="+">
          <a:extLst>
            <a:ext uri="{FF2B5EF4-FFF2-40B4-BE49-F238E27FC236}">
              <a16:creationId xmlns:a16="http://schemas.microsoft.com/office/drawing/2014/main" id="{149DF14B-8F5E-4794-BCCB-3F53C29F4B2B}"/>
            </a:ext>
          </a:extLst>
        </xdr:cNvPr>
        <xdr:cNvSpPr>
          <a:spLocks noChangeAspect="1" noChangeArrowheads="1"/>
        </xdr:cNvSpPr>
      </xdr:nvSpPr>
      <xdr:spPr bwMode="auto">
        <a:xfrm>
          <a:off x="2294283" y="4977848"/>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75" name="AutoShape 129" descr="+">
          <a:extLst>
            <a:ext uri="{FF2B5EF4-FFF2-40B4-BE49-F238E27FC236}">
              <a16:creationId xmlns:a16="http://schemas.microsoft.com/office/drawing/2014/main" id="{019EE247-A1D7-484E-9866-9F9A15FCB249}"/>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76" name="AutoShape 130" descr="+">
          <a:extLst>
            <a:ext uri="{FF2B5EF4-FFF2-40B4-BE49-F238E27FC236}">
              <a16:creationId xmlns:a16="http://schemas.microsoft.com/office/drawing/2014/main" id="{48E0C4BB-ACD7-4E0D-9006-06B91919ADF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77" name="AutoShape 131" descr="+">
          <a:extLst>
            <a:ext uri="{FF2B5EF4-FFF2-40B4-BE49-F238E27FC236}">
              <a16:creationId xmlns:a16="http://schemas.microsoft.com/office/drawing/2014/main" id="{52265116-BF40-4128-B4B3-9752F9094208}"/>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8" name="AutoShape 132" descr="+">
          <a:extLst>
            <a:ext uri="{FF2B5EF4-FFF2-40B4-BE49-F238E27FC236}">
              <a16:creationId xmlns:a16="http://schemas.microsoft.com/office/drawing/2014/main" id="{A6A8A110-FD0C-4EE5-A5DB-95EB3564BCC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9" name="AutoShape 133" descr="+">
          <a:extLst>
            <a:ext uri="{FF2B5EF4-FFF2-40B4-BE49-F238E27FC236}">
              <a16:creationId xmlns:a16="http://schemas.microsoft.com/office/drawing/2014/main" id="{8F5A53C1-537B-4535-9E84-FD10F5C544FF}"/>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80" name="AutoShape 134" descr="+">
          <a:extLst>
            <a:ext uri="{FF2B5EF4-FFF2-40B4-BE49-F238E27FC236}">
              <a16:creationId xmlns:a16="http://schemas.microsoft.com/office/drawing/2014/main" id="{21204C68-DB95-496D-879F-4A8AA5D712D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1" name="AutoShape 135" descr="+">
          <a:extLst>
            <a:ext uri="{FF2B5EF4-FFF2-40B4-BE49-F238E27FC236}">
              <a16:creationId xmlns:a16="http://schemas.microsoft.com/office/drawing/2014/main" id="{C9D68832-C024-41AD-987A-CAA239EA0F5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2" name="AutoShape 136" descr="+">
          <a:extLst>
            <a:ext uri="{FF2B5EF4-FFF2-40B4-BE49-F238E27FC236}">
              <a16:creationId xmlns:a16="http://schemas.microsoft.com/office/drawing/2014/main" id="{D5F941DD-FB8E-423E-8630-FB79353F798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83" name="AutoShape 137" descr="+">
          <a:extLst>
            <a:ext uri="{FF2B5EF4-FFF2-40B4-BE49-F238E27FC236}">
              <a16:creationId xmlns:a16="http://schemas.microsoft.com/office/drawing/2014/main" id="{A482C36C-55A6-4A16-8BC3-473A091D261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4" name="AutoShape 138" descr="+">
          <a:extLst>
            <a:ext uri="{FF2B5EF4-FFF2-40B4-BE49-F238E27FC236}">
              <a16:creationId xmlns:a16="http://schemas.microsoft.com/office/drawing/2014/main" id="{0EF6A414-863A-4FAD-BE52-362A00F1041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85" name="AutoShape 139" descr="+">
          <a:extLst>
            <a:ext uri="{FF2B5EF4-FFF2-40B4-BE49-F238E27FC236}">
              <a16:creationId xmlns:a16="http://schemas.microsoft.com/office/drawing/2014/main" id="{5A20A855-D8E0-49AD-B53F-F0592D0A934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86" name="AutoShape 140" descr="+">
          <a:extLst>
            <a:ext uri="{FF2B5EF4-FFF2-40B4-BE49-F238E27FC236}">
              <a16:creationId xmlns:a16="http://schemas.microsoft.com/office/drawing/2014/main" id="{9B89D7B0-32CD-40F2-B6CC-6A7113035B4B}"/>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87" name="AutoShape 141" descr="+">
          <a:extLst>
            <a:ext uri="{FF2B5EF4-FFF2-40B4-BE49-F238E27FC236}">
              <a16:creationId xmlns:a16="http://schemas.microsoft.com/office/drawing/2014/main" id="{C5B3F74B-7395-4BEB-A75D-42C9D84BB82E}"/>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88" name="AutoShape 142" descr="+">
          <a:extLst>
            <a:ext uri="{FF2B5EF4-FFF2-40B4-BE49-F238E27FC236}">
              <a16:creationId xmlns:a16="http://schemas.microsoft.com/office/drawing/2014/main" id="{251F7E49-C0CA-4180-BE58-ABE43439A3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26915"/>
    <xdr:sp macro="" textlink="">
      <xdr:nvSpPr>
        <xdr:cNvPr id="989" name="AutoShape 143" descr="+">
          <a:extLst>
            <a:ext uri="{FF2B5EF4-FFF2-40B4-BE49-F238E27FC236}">
              <a16:creationId xmlns:a16="http://schemas.microsoft.com/office/drawing/2014/main" id="{79977108-9665-4E0E-A418-635A093C2548}"/>
            </a:ext>
          </a:extLst>
        </xdr:cNvPr>
        <xdr:cNvSpPr>
          <a:spLocks noChangeAspect="1" noChangeArrowheads="1"/>
        </xdr:cNvSpPr>
      </xdr:nvSpPr>
      <xdr:spPr bwMode="auto">
        <a:xfrm>
          <a:off x="2294283" y="4977848"/>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0" name="AutoShape 144" descr="+">
          <a:extLst>
            <a:ext uri="{FF2B5EF4-FFF2-40B4-BE49-F238E27FC236}">
              <a16:creationId xmlns:a16="http://schemas.microsoft.com/office/drawing/2014/main" id="{4B6FE6CE-7D8F-4F16-A34C-105CC4686A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1" name="AutoShape 145" descr="+">
          <a:extLst>
            <a:ext uri="{FF2B5EF4-FFF2-40B4-BE49-F238E27FC236}">
              <a16:creationId xmlns:a16="http://schemas.microsoft.com/office/drawing/2014/main" id="{7FDEE827-C4B5-4CAC-B7D6-D7A1C92EF61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2" name="AutoShape 146" descr="+">
          <a:extLst>
            <a:ext uri="{FF2B5EF4-FFF2-40B4-BE49-F238E27FC236}">
              <a16:creationId xmlns:a16="http://schemas.microsoft.com/office/drawing/2014/main" id="{5D9FDA2B-5757-47BA-A00D-F9E3AD89C4E4}"/>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93" name="AutoShape 147" descr="+">
          <a:extLst>
            <a:ext uri="{FF2B5EF4-FFF2-40B4-BE49-F238E27FC236}">
              <a16:creationId xmlns:a16="http://schemas.microsoft.com/office/drawing/2014/main" id="{BB122B23-FCDF-4E8E-99D6-C82986A10A1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94" name="AutoShape 148" descr="+">
          <a:extLst>
            <a:ext uri="{FF2B5EF4-FFF2-40B4-BE49-F238E27FC236}">
              <a16:creationId xmlns:a16="http://schemas.microsoft.com/office/drawing/2014/main" id="{9CAE0A29-86F1-43FC-B597-493356632706}"/>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995" name="AutoShape 149" descr="+">
          <a:extLst>
            <a:ext uri="{FF2B5EF4-FFF2-40B4-BE49-F238E27FC236}">
              <a16:creationId xmlns:a16="http://schemas.microsoft.com/office/drawing/2014/main" id="{F3386796-D78A-43F9-B8F7-DB86D1407620}"/>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6" name="AutoShape 150" descr="+">
          <a:extLst>
            <a:ext uri="{FF2B5EF4-FFF2-40B4-BE49-F238E27FC236}">
              <a16:creationId xmlns:a16="http://schemas.microsoft.com/office/drawing/2014/main" id="{08E786E0-CCBB-45C5-A3D6-9B8C9F269A67}"/>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7" name="AutoShape 151" descr="+">
          <a:extLst>
            <a:ext uri="{FF2B5EF4-FFF2-40B4-BE49-F238E27FC236}">
              <a16:creationId xmlns:a16="http://schemas.microsoft.com/office/drawing/2014/main" id="{4BC3CB6E-729F-47BC-A9ED-9C0D184C3FD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8" name="AutoShape 152" descr="+">
          <a:extLst>
            <a:ext uri="{FF2B5EF4-FFF2-40B4-BE49-F238E27FC236}">
              <a16:creationId xmlns:a16="http://schemas.microsoft.com/office/drawing/2014/main" id="{9B6432F4-F254-42FF-A936-50F12CC74B5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1"/>
    <xdr:sp macro="" textlink="">
      <xdr:nvSpPr>
        <xdr:cNvPr id="999" name="AutoShape 153" descr="+">
          <a:extLst>
            <a:ext uri="{FF2B5EF4-FFF2-40B4-BE49-F238E27FC236}">
              <a16:creationId xmlns:a16="http://schemas.microsoft.com/office/drawing/2014/main" id="{0EB51911-F67F-4542-A1E0-FBC21A15A232}"/>
            </a:ext>
          </a:extLst>
        </xdr:cNvPr>
        <xdr:cNvSpPr>
          <a:spLocks noChangeAspect="1" noChangeArrowheads="1"/>
        </xdr:cNvSpPr>
      </xdr:nvSpPr>
      <xdr:spPr bwMode="auto">
        <a:xfrm>
          <a:off x="2294283" y="4977848"/>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10"/>
    <xdr:sp macro="" textlink="">
      <xdr:nvSpPr>
        <xdr:cNvPr id="1000" name="AutoShape 154" descr="+">
          <a:extLst>
            <a:ext uri="{FF2B5EF4-FFF2-40B4-BE49-F238E27FC236}">
              <a16:creationId xmlns:a16="http://schemas.microsoft.com/office/drawing/2014/main" id="{701F3714-1F63-4CDB-82A5-601949CD4F8E}"/>
            </a:ext>
          </a:extLst>
        </xdr:cNvPr>
        <xdr:cNvSpPr>
          <a:spLocks noChangeAspect="1" noChangeArrowheads="1"/>
        </xdr:cNvSpPr>
      </xdr:nvSpPr>
      <xdr:spPr bwMode="auto">
        <a:xfrm>
          <a:off x="2294283" y="4977848"/>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1" name="AutoShape 155" descr="+">
          <a:extLst>
            <a:ext uri="{FF2B5EF4-FFF2-40B4-BE49-F238E27FC236}">
              <a16:creationId xmlns:a16="http://schemas.microsoft.com/office/drawing/2014/main" id="{CD199F15-50B7-4101-84CB-AA4AE443C15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1002" name="AutoShape 156" descr="+">
          <a:extLst>
            <a:ext uri="{FF2B5EF4-FFF2-40B4-BE49-F238E27FC236}">
              <a16:creationId xmlns:a16="http://schemas.microsoft.com/office/drawing/2014/main" id="{11D8A473-208B-4FBC-A922-263DC553646D}"/>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2"/>
    <xdr:sp macro="" textlink="">
      <xdr:nvSpPr>
        <xdr:cNvPr id="1003" name="AutoShape 157" descr="+">
          <a:extLst>
            <a:ext uri="{FF2B5EF4-FFF2-40B4-BE49-F238E27FC236}">
              <a16:creationId xmlns:a16="http://schemas.microsoft.com/office/drawing/2014/main" id="{8E53C84C-2727-44D4-9245-5BEA3675E599}"/>
            </a:ext>
          </a:extLst>
        </xdr:cNvPr>
        <xdr:cNvSpPr>
          <a:spLocks noChangeAspect="1" noChangeArrowheads="1"/>
        </xdr:cNvSpPr>
      </xdr:nvSpPr>
      <xdr:spPr bwMode="auto">
        <a:xfrm>
          <a:off x="2294283" y="4977848"/>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04" name="AutoShape 158" descr="+">
          <a:extLst>
            <a:ext uri="{FF2B5EF4-FFF2-40B4-BE49-F238E27FC236}">
              <a16:creationId xmlns:a16="http://schemas.microsoft.com/office/drawing/2014/main" id="{68C32D8B-969B-4132-BC09-3B4E51A023D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05" name="AutoShape 159" descr="+">
          <a:extLst>
            <a:ext uri="{FF2B5EF4-FFF2-40B4-BE49-F238E27FC236}">
              <a16:creationId xmlns:a16="http://schemas.microsoft.com/office/drawing/2014/main" id="{E1AE6A19-C8B2-4022-A4B2-F4794D68C2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1006" name="AutoShape 160" descr="+">
          <a:extLst>
            <a:ext uri="{FF2B5EF4-FFF2-40B4-BE49-F238E27FC236}">
              <a16:creationId xmlns:a16="http://schemas.microsoft.com/office/drawing/2014/main" id="{EC7A7AD2-5805-4BAB-A296-5B3E24D8CD9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07" name="AutoShape 161" descr="+">
          <a:extLst>
            <a:ext uri="{FF2B5EF4-FFF2-40B4-BE49-F238E27FC236}">
              <a16:creationId xmlns:a16="http://schemas.microsoft.com/office/drawing/2014/main" id="{AFFDA764-1133-4411-92B0-C20E272E4C47}"/>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8" name="AutoShape 162" descr="+">
          <a:extLst>
            <a:ext uri="{FF2B5EF4-FFF2-40B4-BE49-F238E27FC236}">
              <a16:creationId xmlns:a16="http://schemas.microsoft.com/office/drawing/2014/main" id="{495CD5D2-4BAC-4313-8762-F5B40B4A63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09" name="AutoShape 163" descr="+">
          <a:extLst>
            <a:ext uri="{FF2B5EF4-FFF2-40B4-BE49-F238E27FC236}">
              <a16:creationId xmlns:a16="http://schemas.microsoft.com/office/drawing/2014/main" id="{D9CB4FD5-63CB-40B9-92F4-EB3CC6FA837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10" name="AutoShape 164" descr="+">
          <a:extLst>
            <a:ext uri="{FF2B5EF4-FFF2-40B4-BE49-F238E27FC236}">
              <a16:creationId xmlns:a16="http://schemas.microsoft.com/office/drawing/2014/main" id="{4D1CBA88-F395-4B78-8D65-02E1624B010C}"/>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1" name="AutoShape 165" descr="+">
          <a:extLst>
            <a:ext uri="{FF2B5EF4-FFF2-40B4-BE49-F238E27FC236}">
              <a16:creationId xmlns:a16="http://schemas.microsoft.com/office/drawing/2014/main" id="{7DCCC542-6071-422C-93BE-CEEAB14FE03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2" name="AutoShape 166" descr="+">
          <a:extLst>
            <a:ext uri="{FF2B5EF4-FFF2-40B4-BE49-F238E27FC236}">
              <a16:creationId xmlns:a16="http://schemas.microsoft.com/office/drawing/2014/main" id="{B06E691D-540C-4119-A8AB-6FE6325223B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13" name="AutoShape 167" descr="+">
          <a:extLst>
            <a:ext uri="{FF2B5EF4-FFF2-40B4-BE49-F238E27FC236}">
              <a16:creationId xmlns:a16="http://schemas.microsoft.com/office/drawing/2014/main" id="{AB2F0FB8-BC04-48AD-8349-FA144B06BFC2}"/>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70"/>
    <xdr:sp macro="" textlink="">
      <xdr:nvSpPr>
        <xdr:cNvPr id="1014" name="AutoShape 168" descr="+">
          <a:extLst>
            <a:ext uri="{FF2B5EF4-FFF2-40B4-BE49-F238E27FC236}">
              <a16:creationId xmlns:a16="http://schemas.microsoft.com/office/drawing/2014/main" id="{B0757917-EEB0-48C3-89FC-2B8A4C734851}"/>
            </a:ext>
          </a:extLst>
        </xdr:cNvPr>
        <xdr:cNvSpPr>
          <a:spLocks noChangeAspect="1" noChangeArrowheads="1"/>
        </xdr:cNvSpPr>
      </xdr:nvSpPr>
      <xdr:spPr bwMode="auto">
        <a:xfrm>
          <a:off x="2294283" y="4977848"/>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5533"/>
    <xdr:sp macro="" textlink="">
      <xdr:nvSpPr>
        <xdr:cNvPr id="1015" name="AutoShape 169" descr="+">
          <a:extLst>
            <a:ext uri="{FF2B5EF4-FFF2-40B4-BE49-F238E27FC236}">
              <a16:creationId xmlns:a16="http://schemas.microsoft.com/office/drawing/2014/main" id="{B4B2B4E6-8479-4FBA-A214-A2D497C432F9}"/>
            </a:ext>
          </a:extLst>
        </xdr:cNvPr>
        <xdr:cNvSpPr>
          <a:spLocks noChangeAspect="1" noChangeArrowheads="1"/>
        </xdr:cNvSpPr>
      </xdr:nvSpPr>
      <xdr:spPr bwMode="auto">
        <a:xfrm>
          <a:off x="2294283" y="4977848"/>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016" name="AutoShape 170" descr="+">
          <a:extLst>
            <a:ext uri="{FF2B5EF4-FFF2-40B4-BE49-F238E27FC236}">
              <a16:creationId xmlns:a16="http://schemas.microsoft.com/office/drawing/2014/main" id="{479CB117-905A-46F8-8807-2FC1BF0808D1}"/>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017" name="AutoShape 171" descr="+">
          <a:extLst>
            <a:ext uri="{FF2B5EF4-FFF2-40B4-BE49-F238E27FC236}">
              <a16:creationId xmlns:a16="http://schemas.microsoft.com/office/drawing/2014/main" id="{8B32F27E-B699-4303-966F-4274BCC6EA37}"/>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018" name="AutoShape 172" descr="+">
          <a:extLst>
            <a:ext uri="{FF2B5EF4-FFF2-40B4-BE49-F238E27FC236}">
              <a16:creationId xmlns:a16="http://schemas.microsoft.com/office/drawing/2014/main" id="{E258D7F6-448D-4C37-BC52-CA425A9A96AA}"/>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19" name="AutoShape 173" descr="+">
          <a:extLst>
            <a:ext uri="{FF2B5EF4-FFF2-40B4-BE49-F238E27FC236}">
              <a16:creationId xmlns:a16="http://schemas.microsoft.com/office/drawing/2014/main" id="{32A034BB-156C-4738-870E-2E1977DC5AB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20" name="AutoShape 174" descr="+">
          <a:extLst>
            <a:ext uri="{FF2B5EF4-FFF2-40B4-BE49-F238E27FC236}">
              <a16:creationId xmlns:a16="http://schemas.microsoft.com/office/drawing/2014/main" id="{17C4AF83-8CFD-46D1-9B9D-5C26426E09BD}"/>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1" name="AutoShape 175" descr="+">
          <a:extLst>
            <a:ext uri="{FF2B5EF4-FFF2-40B4-BE49-F238E27FC236}">
              <a16:creationId xmlns:a16="http://schemas.microsoft.com/office/drawing/2014/main" id="{0AD3F06D-FD51-4F49-8D37-E762B68F933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22" name="AutoShape 176" descr="+">
          <a:extLst>
            <a:ext uri="{FF2B5EF4-FFF2-40B4-BE49-F238E27FC236}">
              <a16:creationId xmlns:a16="http://schemas.microsoft.com/office/drawing/2014/main" id="{B6C48A67-DBC1-4AAB-804F-F62C8D415696}"/>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3" name="AutoShape 177" descr="+">
          <a:extLst>
            <a:ext uri="{FF2B5EF4-FFF2-40B4-BE49-F238E27FC236}">
              <a16:creationId xmlns:a16="http://schemas.microsoft.com/office/drawing/2014/main" id="{A7693366-4525-4DCA-A90B-8ECF93E3ACB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4" name="AutoShape 178" descr="+">
          <a:extLst>
            <a:ext uri="{FF2B5EF4-FFF2-40B4-BE49-F238E27FC236}">
              <a16:creationId xmlns:a16="http://schemas.microsoft.com/office/drawing/2014/main" id="{158F773B-25DA-435C-9EB1-5205DF1DE75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5" name="AutoShape 179" descr="+">
          <a:extLst>
            <a:ext uri="{FF2B5EF4-FFF2-40B4-BE49-F238E27FC236}">
              <a16:creationId xmlns:a16="http://schemas.microsoft.com/office/drawing/2014/main" id="{C5F90762-280A-4488-BC6D-179BA81D49A0}"/>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2"/>
    <xdr:sp macro="" textlink="">
      <xdr:nvSpPr>
        <xdr:cNvPr id="1026" name="AutoShape 180" descr="+">
          <a:extLst>
            <a:ext uri="{FF2B5EF4-FFF2-40B4-BE49-F238E27FC236}">
              <a16:creationId xmlns:a16="http://schemas.microsoft.com/office/drawing/2014/main" id="{AB7BF6CA-DB0E-4C2F-A31F-4F99E54D75F5}"/>
            </a:ext>
          </a:extLst>
        </xdr:cNvPr>
        <xdr:cNvSpPr>
          <a:spLocks noChangeAspect="1" noChangeArrowheads="1"/>
        </xdr:cNvSpPr>
      </xdr:nvSpPr>
      <xdr:spPr bwMode="auto">
        <a:xfrm>
          <a:off x="2294283" y="4977848"/>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027" name="AutoShape 181" descr="+">
          <a:extLst>
            <a:ext uri="{FF2B5EF4-FFF2-40B4-BE49-F238E27FC236}">
              <a16:creationId xmlns:a16="http://schemas.microsoft.com/office/drawing/2014/main" id="{0FF8160A-96B5-4C7E-8718-92E23DACFA11}"/>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9501"/>
    <xdr:sp macro="" textlink="">
      <xdr:nvSpPr>
        <xdr:cNvPr id="1028" name="AutoShape 182" descr="+">
          <a:extLst>
            <a:ext uri="{FF2B5EF4-FFF2-40B4-BE49-F238E27FC236}">
              <a16:creationId xmlns:a16="http://schemas.microsoft.com/office/drawing/2014/main" id="{62518B8C-E558-48B4-9703-D90A6B329A68}"/>
            </a:ext>
          </a:extLst>
        </xdr:cNvPr>
        <xdr:cNvSpPr>
          <a:spLocks noChangeAspect="1" noChangeArrowheads="1"/>
        </xdr:cNvSpPr>
      </xdr:nvSpPr>
      <xdr:spPr bwMode="auto">
        <a:xfrm>
          <a:off x="2294283" y="4977848"/>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9" name="AutoShape 183" descr="+">
          <a:extLst>
            <a:ext uri="{FF2B5EF4-FFF2-40B4-BE49-F238E27FC236}">
              <a16:creationId xmlns:a16="http://schemas.microsoft.com/office/drawing/2014/main" id="{6D8297C0-D053-49A3-ACEF-0188E43E3BE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0" name="AutoShape 184" descr="+">
          <a:extLst>
            <a:ext uri="{FF2B5EF4-FFF2-40B4-BE49-F238E27FC236}">
              <a16:creationId xmlns:a16="http://schemas.microsoft.com/office/drawing/2014/main" id="{80B3F3AB-2D1F-499F-9916-666C7A98EC8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031" name="AutoShape 185" descr="+">
          <a:extLst>
            <a:ext uri="{FF2B5EF4-FFF2-40B4-BE49-F238E27FC236}">
              <a16:creationId xmlns:a16="http://schemas.microsoft.com/office/drawing/2014/main" id="{7922FB13-CB5C-4265-80AD-26CF7B99244E}"/>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2" name="AutoShape 186" descr="+">
          <a:extLst>
            <a:ext uri="{FF2B5EF4-FFF2-40B4-BE49-F238E27FC236}">
              <a16:creationId xmlns:a16="http://schemas.microsoft.com/office/drawing/2014/main" id="{0173B09B-4AF6-4FCF-81D4-219C3BE9FE0B}"/>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33" name="AutoShape 187" descr="+">
          <a:extLst>
            <a:ext uri="{FF2B5EF4-FFF2-40B4-BE49-F238E27FC236}">
              <a16:creationId xmlns:a16="http://schemas.microsoft.com/office/drawing/2014/main" id="{9D64CA7B-8B31-4DE1-870A-A7604CFC88D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34" name="AutoShape 188" descr="+">
          <a:extLst>
            <a:ext uri="{FF2B5EF4-FFF2-40B4-BE49-F238E27FC236}">
              <a16:creationId xmlns:a16="http://schemas.microsoft.com/office/drawing/2014/main" id="{E1C947FB-E3CE-46D5-B388-988302A52D99}"/>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5" name="AutoShape 189" descr="+">
          <a:extLst>
            <a:ext uri="{FF2B5EF4-FFF2-40B4-BE49-F238E27FC236}">
              <a16:creationId xmlns:a16="http://schemas.microsoft.com/office/drawing/2014/main" id="{D00F3E82-F77D-40D6-B174-F32B23BDA9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09"/>
    <xdr:sp macro="" textlink="">
      <xdr:nvSpPr>
        <xdr:cNvPr id="1036" name="AutoShape 190" descr="+">
          <a:extLst>
            <a:ext uri="{FF2B5EF4-FFF2-40B4-BE49-F238E27FC236}">
              <a16:creationId xmlns:a16="http://schemas.microsoft.com/office/drawing/2014/main" id="{E7E59C2B-12C4-47A3-9199-2B16BA08B24F}"/>
            </a:ext>
          </a:extLst>
        </xdr:cNvPr>
        <xdr:cNvSpPr>
          <a:spLocks noChangeAspect="1" noChangeArrowheads="1"/>
        </xdr:cNvSpPr>
      </xdr:nvSpPr>
      <xdr:spPr bwMode="auto">
        <a:xfrm>
          <a:off x="2294283" y="4977848"/>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7" name="AutoShape 191" descr="+">
          <a:extLst>
            <a:ext uri="{FF2B5EF4-FFF2-40B4-BE49-F238E27FC236}">
              <a16:creationId xmlns:a16="http://schemas.microsoft.com/office/drawing/2014/main" id="{B7B54F70-ECF8-4F9F-A220-4F4706AB82C0}"/>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8" name="AutoShape 192" descr="+">
          <a:extLst>
            <a:ext uri="{FF2B5EF4-FFF2-40B4-BE49-F238E27FC236}">
              <a16:creationId xmlns:a16="http://schemas.microsoft.com/office/drawing/2014/main" id="{72C4A671-7CC3-48FA-8F15-78D4B2930469}"/>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9" name="AutoShape 193" descr="+">
          <a:extLst>
            <a:ext uri="{FF2B5EF4-FFF2-40B4-BE49-F238E27FC236}">
              <a16:creationId xmlns:a16="http://schemas.microsoft.com/office/drawing/2014/main" id="{A007407D-7BB8-4907-906D-4D43B411D3A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0" name="AutoShape 194" descr="+">
          <a:extLst>
            <a:ext uri="{FF2B5EF4-FFF2-40B4-BE49-F238E27FC236}">
              <a16:creationId xmlns:a16="http://schemas.microsoft.com/office/drawing/2014/main" id="{784F1344-02CE-49E4-A8AC-39E4F6F66D5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041" name="AutoShape 195" descr="+">
          <a:extLst>
            <a:ext uri="{FF2B5EF4-FFF2-40B4-BE49-F238E27FC236}">
              <a16:creationId xmlns:a16="http://schemas.microsoft.com/office/drawing/2014/main" id="{559E5F33-049D-459A-B32D-E24285CB7550}"/>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042" name="AutoShape 196" descr="+">
          <a:extLst>
            <a:ext uri="{FF2B5EF4-FFF2-40B4-BE49-F238E27FC236}">
              <a16:creationId xmlns:a16="http://schemas.microsoft.com/office/drawing/2014/main" id="{9B103E9F-ADF9-42BC-BB4B-AB60C441C8F5}"/>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43" name="AutoShape 197" descr="+">
          <a:extLst>
            <a:ext uri="{FF2B5EF4-FFF2-40B4-BE49-F238E27FC236}">
              <a16:creationId xmlns:a16="http://schemas.microsoft.com/office/drawing/2014/main" id="{8245443E-A497-40AD-9055-6A3D749B421D}"/>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44" name="AutoShape 198" descr="+">
          <a:extLst>
            <a:ext uri="{FF2B5EF4-FFF2-40B4-BE49-F238E27FC236}">
              <a16:creationId xmlns:a16="http://schemas.microsoft.com/office/drawing/2014/main" id="{C21FF928-7A83-4DE5-A1B1-23BAD7277D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45" name="AutoShape 199" descr="+">
          <a:extLst>
            <a:ext uri="{FF2B5EF4-FFF2-40B4-BE49-F238E27FC236}">
              <a16:creationId xmlns:a16="http://schemas.microsoft.com/office/drawing/2014/main" id="{5AB6C2F6-3A8E-408C-A6F2-2B6B163B6396}"/>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3470"/>
    <xdr:sp macro="" textlink="">
      <xdr:nvSpPr>
        <xdr:cNvPr id="1046" name="AutoShape 200" descr="+">
          <a:extLst>
            <a:ext uri="{FF2B5EF4-FFF2-40B4-BE49-F238E27FC236}">
              <a16:creationId xmlns:a16="http://schemas.microsoft.com/office/drawing/2014/main" id="{26C5D199-D121-47A1-9756-CE8D8D0291CE}"/>
            </a:ext>
          </a:extLst>
        </xdr:cNvPr>
        <xdr:cNvSpPr>
          <a:spLocks noChangeAspect="1" noChangeArrowheads="1"/>
        </xdr:cNvSpPr>
      </xdr:nvSpPr>
      <xdr:spPr bwMode="auto">
        <a:xfrm>
          <a:off x="2294283" y="4977848"/>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47" name="AutoShape 201" descr="+">
          <a:extLst>
            <a:ext uri="{FF2B5EF4-FFF2-40B4-BE49-F238E27FC236}">
              <a16:creationId xmlns:a16="http://schemas.microsoft.com/office/drawing/2014/main" id="{22BDFC26-1E2D-467C-8939-BFF34EA9F12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8" name="AutoShape 202" descr="+">
          <a:extLst>
            <a:ext uri="{FF2B5EF4-FFF2-40B4-BE49-F238E27FC236}">
              <a16:creationId xmlns:a16="http://schemas.microsoft.com/office/drawing/2014/main" id="{031B27D6-DDE6-45BD-B6B0-82FA4740EC4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49" name="AutoShape 203" descr="+">
          <a:extLst>
            <a:ext uri="{FF2B5EF4-FFF2-40B4-BE49-F238E27FC236}">
              <a16:creationId xmlns:a16="http://schemas.microsoft.com/office/drawing/2014/main" id="{1DA9B4BD-1B3C-40EF-93BD-FA7677CF55F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50" name="AutoShape 204" descr="+">
          <a:extLst>
            <a:ext uri="{FF2B5EF4-FFF2-40B4-BE49-F238E27FC236}">
              <a16:creationId xmlns:a16="http://schemas.microsoft.com/office/drawing/2014/main" id="{F21C5248-8A54-4342-8E4E-E0BCDC107189}"/>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51" name="AutoShape 205" descr="+">
          <a:extLst>
            <a:ext uri="{FF2B5EF4-FFF2-40B4-BE49-F238E27FC236}">
              <a16:creationId xmlns:a16="http://schemas.microsoft.com/office/drawing/2014/main" id="{6A6C9F52-91EF-4370-9A46-7A13801231E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52" name="AutoShape 206" descr="+">
          <a:extLst>
            <a:ext uri="{FF2B5EF4-FFF2-40B4-BE49-F238E27FC236}">
              <a16:creationId xmlns:a16="http://schemas.microsoft.com/office/drawing/2014/main" id="{A0CE2028-8E0A-4BEA-A8D5-A3C5B60F365B}"/>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53" name="AutoShape 207" descr="+">
          <a:extLst>
            <a:ext uri="{FF2B5EF4-FFF2-40B4-BE49-F238E27FC236}">
              <a16:creationId xmlns:a16="http://schemas.microsoft.com/office/drawing/2014/main" id="{CFB5326A-F8CC-4F34-BE6A-12CAFBC9D6A5}"/>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54" name="AutoShape 208" descr="+">
          <a:extLst>
            <a:ext uri="{FF2B5EF4-FFF2-40B4-BE49-F238E27FC236}">
              <a16:creationId xmlns:a16="http://schemas.microsoft.com/office/drawing/2014/main" id="{9A71786A-C5A1-4B84-B05B-831473D1090C}"/>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55" name="AutoShape 209" descr="+">
          <a:extLst>
            <a:ext uri="{FF2B5EF4-FFF2-40B4-BE49-F238E27FC236}">
              <a16:creationId xmlns:a16="http://schemas.microsoft.com/office/drawing/2014/main" id="{35F56B1A-AC43-4A97-A399-9C484BD9B11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056" name="AutoShape 210" descr="+">
          <a:extLst>
            <a:ext uri="{FF2B5EF4-FFF2-40B4-BE49-F238E27FC236}">
              <a16:creationId xmlns:a16="http://schemas.microsoft.com/office/drawing/2014/main" id="{BBB5C5A3-323C-450B-AADF-78240FB05A3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57" name="AutoShape 211" descr="+">
          <a:extLst>
            <a:ext uri="{FF2B5EF4-FFF2-40B4-BE49-F238E27FC236}">
              <a16:creationId xmlns:a16="http://schemas.microsoft.com/office/drawing/2014/main" id="{120540A4-3E34-4803-96AE-9B113C4148CA}"/>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6415"/>
    <xdr:sp macro="" textlink="">
      <xdr:nvSpPr>
        <xdr:cNvPr id="1058" name="AutoShape 212" descr="+">
          <a:extLst>
            <a:ext uri="{FF2B5EF4-FFF2-40B4-BE49-F238E27FC236}">
              <a16:creationId xmlns:a16="http://schemas.microsoft.com/office/drawing/2014/main" id="{94E1CECE-9F56-48DC-A2DA-4A13348703A6}"/>
            </a:ext>
          </a:extLst>
        </xdr:cNvPr>
        <xdr:cNvSpPr>
          <a:spLocks noChangeAspect="1" noChangeArrowheads="1"/>
        </xdr:cNvSpPr>
      </xdr:nvSpPr>
      <xdr:spPr bwMode="auto">
        <a:xfrm>
          <a:off x="2294283" y="4977848"/>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59" name="AutoShape 213" descr="+">
          <a:extLst>
            <a:ext uri="{FF2B5EF4-FFF2-40B4-BE49-F238E27FC236}">
              <a16:creationId xmlns:a16="http://schemas.microsoft.com/office/drawing/2014/main" id="{9AB85BDB-72E0-4EB7-A3C3-5A16AE2BD845}"/>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0" name="AutoShape 214" descr="+">
          <a:extLst>
            <a:ext uri="{FF2B5EF4-FFF2-40B4-BE49-F238E27FC236}">
              <a16:creationId xmlns:a16="http://schemas.microsoft.com/office/drawing/2014/main" id="{EFDEF273-1EB4-41CA-9B71-0C71A5E8010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1" name="AutoShape 215" descr="+">
          <a:extLst>
            <a:ext uri="{FF2B5EF4-FFF2-40B4-BE49-F238E27FC236}">
              <a16:creationId xmlns:a16="http://schemas.microsoft.com/office/drawing/2014/main" id="{BAD1CFB5-0A0B-4BD6-A585-7A82FE99953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90"/>
    <xdr:sp macro="" textlink="">
      <xdr:nvSpPr>
        <xdr:cNvPr id="1062" name="AutoShape 216" descr="+">
          <a:extLst>
            <a:ext uri="{FF2B5EF4-FFF2-40B4-BE49-F238E27FC236}">
              <a16:creationId xmlns:a16="http://schemas.microsoft.com/office/drawing/2014/main" id="{27701067-52D0-4C26-8C13-58E806C9DB93}"/>
            </a:ext>
          </a:extLst>
        </xdr:cNvPr>
        <xdr:cNvSpPr>
          <a:spLocks noChangeAspect="1" noChangeArrowheads="1"/>
        </xdr:cNvSpPr>
      </xdr:nvSpPr>
      <xdr:spPr bwMode="auto">
        <a:xfrm>
          <a:off x="2294283" y="4977848"/>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63" name="AutoShape 217" descr="+">
          <a:extLst>
            <a:ext uri="{FF2B5EF4-FFF2-40B4-BE49-F238E27FC236}">
              <a16:creationId xmlns:a16="http://schemas.microsoft.com/office/drawing/2014/main" id="{E5027E7A-6852-42C9-9CF5-49EE0CAD972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4" name="AutoShape 218" descr="+">
          <a:extLst>
            <a:ext uri="{FF2B5EF4-FFF2-40B4-BE49-F238E27FC236}">
              <a16:creationId xmlns:a16="http://schemas.microsoft.com/office/drawing/2014/main" id="{E258D6B4-B429-4DF0-8E34-31E16D4C5CC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7"/>
    <xdr:sp macro="" textlink="">
      <xdr:nvSpPr>
        <xdr:cNvPr id="1065" name="AutoShape 219" descr="+">
          <a:extLst>
            <a:ext uri="{FF2B5EF4-FFF2-40B4-BE49-F238E27FC236}">
              <a16:creationId xmlns:a16="http://schemas.microsoft.com/office/drawing/2014/main" id="{C0F4B225-98A9-4374-989D-5D099E8FE60D}"/>
            </a:ext>
          </a:extLst>
        </xdr:cNvPr>
        <xdr:cNvSpPr>
          <a:spLocks noChangeAspect="1" noChangeArrowheads="1"/>
        </xdr:cNvSpPr>
      </xdr:nvSpPr>
      <xdr:spPr bwMode="auto">
        <a:xfrm>
          <a:off x="2294283" y="4977848"/>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6" name="AutoShape 220" descr="+">
          <a:extLst>
            <a:ext uri="{FF2B5EF4-FFF2-40B4-BE49-F238E27FC236}">
              <a16:creationId xmlns:a16="http://schemas.microsoft.com/office/drawing/2014/main" id="{35418CFB-4489-4E58-8D73-D7F061F177F9}"/>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7" name="AutoShape 221" descr="+">
          <a:extLst>
            <a:ext uri="{FF2B5EF4-FFF2-40B4-BE49-F238E27FC236}">
              <a16:creationId xmlns:a16="http://schemas.microsoft.com/office/drawing/2014/main" id="{EE57ACFF-A1A9-43CB-9B7C-57F16D53EBB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8" name="AutoShape 222" descr="+">
          <a:extLst>
            <a:ext uri="{FF2B5EF4-FFF2-40B4-BE49-F238E27FC236}">
              <a16:creationId xmlns:a16="http://schemas.microsoft.com/office/drawing/2014/main" id="{882CAAFF-F203-4C77-A576-C5986E6BBDA5}"/>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9" name="AutoShape 223" descr="+">
          <a:extLst>
            <a:ext uri="{FF2B5EF4-FFF2-40B4-BE49-F238E27FC236}">
              <a16:creationId xmlns:a16="http://schemas.microsoft.com/office/drawing/2014/main" id="{87A8F716-63F0-42D9-A3C3-38238B6D1CC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0" name="AutoShape 224" descr="+">
          <a:extLst>
            <a:ext uri="{FF2B5EF4-FFF2-40B4-BE49-F238E27FC236}">
              <a16:creationId xmlns:a16="http://schemas.microsoft.com/office/drawing/2014/main" id="{A11A28E5-059E-4F6A-BD0A-41E111A346F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71" name="AutoShape 225" descr="+">
          <a:extLst>
            <a:ext uri="{FF2B5EF4-FFF2-40B4-BE49-F238E27FC236}">
              <a16:creationId xmlns:a16="http://schemas.microsoft.com/office/drawing/2014/main" id="{AFF7502A-2594-4061-9036-2D6A994F5665}"/>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7"/>
    <xdr:sp macro="" textlink="">
      <xdr:nvSpPr>
        <xdr:cNvPr id="1072" name="AutoShape 226" descr="+">
          <a:extLst>
            <a:ext uri="{FF2B5EF4-FFF2-40B4-BE49-F238E27FC236}">
              <a16:creationId xmlns:a16="http://schemas.microsoft.com/office/drawing/2014/main" id="{E52A1F76-ECF9-45C6-9CD2-B662E12A23A2}"/>
            </a:ext>
          </a:extLst>
        </xdr:cNvPr>
        <xdr:cNvSpPr>
          <a:spLocks noChangeAspect="1" noChangeArrowheads="1"/>
        </xdr:cNvSpPr>
      </xdr:nvSpPr>
      <xdr:spPr bwMode="auto">
        <a:xfrm>
          <a:off x="2294283" y="4977848"/>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3" name="AutoShape 227" descr="+">
          <a:extLst>
            <a:ext uri="{FF2B5EF4-FFF2-40B4-BE49-F238E27FC236}">
              <a16:creationId xmlns:a16="http://schemas.microsoft.com/office/drawing/2014/main" id="{34D16156-785B-4A17-BC97-57FF6DEB607E}"/>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74" name="AutoShape 228" descr="+">
          <a:extLst>
            <a:ext uri="{FF2B5EF4-FFF2-40B4-BE49-F238E27FC236}">
              <a16:creationId xmlns:a16="http://schemas.microsoft.com/office/drawing/2014/main" id="{C3AEEA12-060B-4633-9BB8-E1EC2B9B6E5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4"/>
    <xdr:sp macro="" textlink="">
      <xdr:nvSpPr>
        <xdr:cNvPr id="1075" name="AutoShape 229" descr="+">
          <a:extLst>
            <a:ext uri="{FF2B5EF4-FFF2-40B4-BE49-F238E27FC236}">
              <a16:creationId xmlns:a16="http://schemas.microsoft.com/office/drawing/2014/main" id="{E9B81769-AD39-4CC1-B523-C5C981401B57}"/>
            </a:ext>
          </a:extLst>
        </xdr:cNvPr>
        <xdr:cNvSpPr>
          <a:spLocks noChangeAspect="1" noChangeArrowheads="1"/>
        </xdr:cNvSpPr>
      </xdr:nvSpPr>
      <xdr:spPr bwMode="auto">
        <a:xfrm>
          <a:off x="2294283" y="4977848"/>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076" name="AutoShape 230" descr="+">
          <a:extLst>
            <a:ext uri="{FF2B5EF4-FFF2-40B4-BE49-F238E27FC236}">
              <a16:creationId xmlns:a16="http://schemas.microsoft.com/office/drawing/2014/main" id="{6F816F3B-3DE1-450A-9406-C6B2C4BA6C33}"/>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7" name="AutoShape 231" descr="+">
          <a:extLst>
            <a:ext uri="{FF2B5EF4-FFF2-40B4-BE49-F238E27FC236}">
              <a16:creationId xmlns:a16="http://schemas.microsoft.com/office/drawing/2014/main" id="{262C1F24-1D6F-46FE-B963-39B10AF3C9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78" name="AutoShape 232" descr="+">
          <a:extLst>
            <a:ext uri="{FF2B5EF4-FFF2-40B4-BE49-F238E27FC236}">
              <a16:creationId xmlns:a16="http://schemas.microsoft.com/office/drawing/2014/main" id="{1E011C05-9BAE-4121-9A3B-A0B45F62A7EA}"/>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9" name="AutoShape 233" descr="+">
          <a:extLst>
            <a:ext uri="{FF2B5EF4-FFF2-40B4-BE49-F238E27FC236}">
              <a16:creationId xmlns:a16="http://schemas.microsoft.com/office/drawing/2014/main" id="{CB45512B-29BB-4375-B66D-E9E65A4EF92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0" name="AutoShape 234" descr="+">
          <a:extLst>
            <a:ext uri="{FF2B5EF4-FFF2-40B4-BE49-F238E27FC236}">
              <a16:creationId xmlns:a16="http://schemas.microsoft.com/office/drawing/2014/main" id="{92580C68-5025-4E3F-94C8-6A5C0478F66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1" name="AutoShape 235" descr="+">
          <a:extLst>
            <a:ext uri="{FF2B5EF4-FFF2-40B4-BE49-F238E27FC236}">
              <a16:creationId xmlns:a16="http://schemas.microsoft.com/office/drawing/2014/main" id="{231F96A6-A35B-46C8-B410-E777C3AD66E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2" name="AutoShape 236" descr="+">
          <a:extLst>
            <a:ext uri="{FF2B5EF4-FFF2-40B4-BE49-F238E27FC236}">
              <a16:creationId xmlns:a16="http://schemas.microsoft.com/office/drawing/2014/main" id="{E6EFFA1B-A63D-414C-89F0-BF88FF81FF0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83" name="AutoShape 237" descr="+">
          <a:extLst>
            <a:ext uri="{FF2B5EF4-FFF2-40B4-BE49-F238E27FC236}">
              <a16:creationId xmlns:a16="http://schemas.microsoft.com/office/drawing/2014/main" id="{73E1EFC9-7CAD-49D0-8902-36E8CAC4E31C}"/>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4"/>
    <xdr:sp macro="" textlink="">
      <xdr:nvSpPr>
        <xdr:cNvPr id="1084" name="AutoShape 238" descr="+">
          <a:extLst>
            <a:ext uri="{FF2B5EF4-FFF2-40B4-BE49-F238E27FC236}">
              <a16:creationId xmlns:a16="http://schemas.microsoft.com/office/drawing/2014/main" id="{8D131ED2-022F-4A53-9A00-992F7D81578A}"/>
            </a:ext>
          </a:extLst>
        </xdr:cNvPr>
        <xdr:cNvSpPr>
          <a:spLocks noChangeAspect="1" noChangeArrowheads="1"/>
        </xdr:cNvSpPr>
      </xdr:nvSpPr>
      <xdr:spPr bwMode="auto">
        <a:xfrm>
          <a:off x="2294283" y="4977848"/>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5" name="AutoShape 239" descr="+">
          <a:extLst>
            <a:ext uri="{FF2B5EF4-FFF2-40B4-BE49-F238E27FC236}">
              <a16:creationId xmlns:a16="http://schemas.microsoft.com/office/drawing/2014/main" id="{C76F1CFE-C526-45C7-8B54-657194531BDD}"/>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6" name="AutoShape 240" descr="+">
          <a:extLst>
            <a:ext uri="{FF2B5EF4-FFF2-40B4-BE49-F238E27FC236}">
              <a16:creationId xmlns:a16="http://schemas.microsoft.com/office/drawing/2014/main" id="{43D91ACD-EF7B-42BB-898A-0CB7324FE6BD}"/>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87" name="AutoShape 241" descr="+">
          <a:extLst>
            <a:ext uri="{FF2B5EF4-FFF2-40B4-BE49-F238E27FC236}">
              <a16:creationId xmlns:a16="http://schemas.microsoft.com/office/drawing/2014/main" id="{5DCA3A60-2B95-415F-AB00-F3890EAC73DB}"/>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1088" name="AutoShape 242" descr="+">
          <a:extLst>
            <a:ext uri="{FF2B5EF4-FFF2-40B4-BE49-F238E27FC236}">
              <a16:creationId xmlns:a16="http://schemas.microsoft.com/office/drawing/2014/main" id="{303831A4-54FA-46AF-9159-7122A7732E38}"/>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9" name="AutoShape 243" descr="+">
          <a:extLst>
            <a:ext uri="{FF2B5EF4-FFF2-40B4-BE49-F238E27FC236}">
              <a16:creationId xmlns:a16="http://schemas.microsoft.com/office/drawing/2014/main" id="{5E93D01A-A33F-4CC2-81C3-4FFC244BE1A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0" name="AutoShape 244" descr="+">
          <a:extLst>
            <a:ext uri="{FF2B5EF4-FFF2-40B4-BE49-F238E27FC236}">
              <a16:creationId xmlns:a16="http://schemas.microsoft.com/office/drawing/2014/main" id="{7ADC0D66-92B5-45F8-8561-8874BA62982A}"/>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1" name="AutoShape 245" descr="+">
          <a:extLst>
            <a:ext uri="{FF2B5EF4-FFF2-40B4-BE49-F238E27FC236}">
              <a16:creationId xmlns:a16="http://schemas.microsoft.com/office/drawing/2014/main" id="{6ADC7BB9-4F15-4C18-B5FE-4DF967ED6B7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92" name="AutoShape 246" descr="+">
          <a:extLst>
            <a:ext uri="{FF2B5EF4-FFF2-40B4-BE49-F238E27FC236}">
              <a16:creationId xmlns:a16="http://schemas.microsoft.com/office/drawing/2014/main" id="{1CD40158-CAF3-494E-AA45-3B2CA884E548}"/>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3" name="AutoShape 247" descr="+">
          <a:extLst>
            <a:ext uri="{FF2B5EF4-FFF2-40B4-BE49-F238E27FC236}">
              <a16:creationId xmlns:a16="http://schemas.microsoft.com/office/drawing/2014/main" id="{0F046709-05BA-4F5D-9428-0AA24F4E3F03}"/>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94" name="AutoShape 248" descr="+">
          <a:extLst>
            <a:ext uri="{FF2B5EF4-FFF2-40B4-BE49-F238E27FC236}">
              <a16:creationId xmlns:a16="http://schemas.microsoft.com/office/drawing/2014/main" id="{961D8D24-9523-4076-8751-32F3D7B1E33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5" name="AutoShape 249" descr="+">
          <a:extLst>
            <a:ext uri="{FF2B5EF4-FFF2-40B4-BE49-F238E27FC236}">
              <a16:creationId xmlns:a16="http://schemas.microsoft.com/office/drawing/2014/main" id="{2D0246CF-B1F4-43FC-A5C0-70E44792E80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6" name="AutoShape 250" descr="+">
          <a:extLst>
            <a:ext uri="{FF2B5EF4-FFF2-40B4-BE49-F238E27FC236}">
              <a16:creationId xmlns:a16="http://schemas.microsoft.com/office/drawing/2014/main" id="{3A91FD4B-C94F-4E24-8A7A-C548155CECF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7" name="AutoShape 251" descr="+">
          <a:extLst>
            <a:ext uri="{FF2B5EF4-FFF2-40B4-BE49-F238E27FC236}">
              <a16:creationId xmlns:a16="http://schemas.microsoft.com/office/drawing/2014/main" id="{2FA45F56-97A9-4FC4-823E-D15273F1060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98" name="AutoShape 252" descr="+">
          <a:extLst>
            <a:ext uri="{FF2B5EF4-FFF2-40B4-BE49-F238E27FC236}">
              <a16:creationId xmlns:a16="http://schemas.microsoft.com/office/drawing/2014/main" id="{9DF77D51-D196-4124-951E-6FA3A5BF007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99" name="AutoShape 253" descr="+">
          <a:extLst>
            <a:ext uri="{FF2B5EF4-FFF2-40B4-BE49-F238E27FC236}">
              <a16:creationId xmlns:a16="http://schemas.microsoft.com/office/drawing/2014/main" id="{977E9E4E-F410-4FF6-82B3-9A6F7A8B0396}"/>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0" name="AutoShape 254" descr="+">
          <a:extLst>
            <a:ext uri="{FF2B5EF4-FFF2-40B4-BE49-F238E27FC236}">
              <a16:creationId xmlns:a16="http://schemas.microsoft.com/office/drawing/2014/main" id="{7C2BF188-FE70-42FE-AC63-AF87B524745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1" name="AutoShape 255" descr="+">
          <a:extLst>
            <a:ext uri="{FF2B5EF4-FFF2-40B4-BE49-F238E27FC236}">
              <a16:creationId xmlns:a16="http://schemas.microsoft.com/office/drawing/2014/main" id="{96CC531E-68FC-4735-96FA-A3733B8585D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2" name="AutoShape 256" descr="+">
          <a:extLst>
            <a:ext uri="{FF2B5EF4-FFF2-40B4-BE49-F238E27FC236}">
              <a16:creationId xmlns:a16="http://schemas.microsoft.com/office/drawing/2014/main" id="{526540F6-E4A3-4FE9-B490-AC74007B8F0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3" name="AutoShape 257" descr="+">
          <a:extLst>
            <a:ext uri="{FF2B5EF4-FFF2-40B4-BE49-F238E27FC236}">
              <a16:creationId xmlns:a16="http://schemas.microsoft.com/office/drawing/2014/main" id="{4314537C-BA6D-4A90-B93C-3A31AB0F101A}"/>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1328"/>
    <xdr:sp macro="" textlink="">
      <xdr:nvSpPr>
        <xdr:cNvPr id="1104" name="AutoShape 258" descr="+">
          <a:extLst>
            <a:ext uri="{FF2B5EF4-FFF2-40B4-BE49-F238E27FC236}">
              <a16:creationId xmlns:a16="http://schemas.microsoft.com/office/drawing/2014/main" id="{330BF3D6-8B41-4F82-8543-F6E4A299D577}"/>
            </a:ext>
          </a:extLst>
        </xdr:cNvPr>
        <xdr:cNvSpPr>
          <a:spLocks noChangeAspect="1" noChangeArrowheads="1"/>
        </xdr:cNvSpPr>
      </xdr:nvSpPr>
      <xdr:spPr bwMode="auto">
        <a:xfrm>
          <a:off x="2294283" y="4977848"/>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105" name="AutoShape 259" descr="+">
          <a:extLst>
            <a:ext uri="{FF2B5EF4-FFF2-40B4-BE49-F238E27FC236}">
              <a16:creationId xmlns:a16="http://schemas.microsoft.com/office/drawing/2014/main" id="{15A3A428-43F0-4835-8432-FEDC6EB49640}"/>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106" name="AutoShape 260" descr="+">
          <a:extLst>
            <a:ext uri="{FF2B5EF4-FFF2-40B4-BE49-F238E27FC236}">
              <a16:creationId xmlns:a16="http://schemas.microsoft.com/office/drawing/2014/main" id="{D85F758F-5ADD-40CF-96F5-21D27DFFD762}"/>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7" name="AutoShape 261" descr="+">
          <a:extLst>
            <a:ext uri="{FF2B5EF4-FFF2-40B4-BE49-F238E27FC236}">
              <a16:creationId xmlns:a16="http://schemas.microsoft.com/office/drawing/2014/main" id="{E08EAC1B-8768-4AF1-AEA1-5DF9EB4FE8EF}"/>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8" name="AutoShape 262" descr="+">
          <a:extLst>
            <a:ext uri="{FF2B5EF4-FFF2-40B4-BE49-F238E27FC236}">
              <a16:creationId xmlns:a16="http://schemas.microsoft.com/office/drawing/2014/main" id="{EB14728E-9B86-492B-AB10-0F74E5022CD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9"/>
    <xdr:sp macro="" textlink="">
      <xdr:nvSpPr>
        <xdr:cNvPr id="1109" name="AutoShape 263" descr="+">
          <a:extLst>
            <a:ext uri="{FF2B5EF4-FFF2-40B4-BE49-F238E27FC236}">
              <a16:creationId xmlns:a16="http://schemas.microsoft.com/office/drawing/2014/main" id="{4F57AA5B-08BC-4440-B504-D3AF326CC5AA}"/>
            </a:ext>
          </a:extLst>
        </xdr:cNvPr>
        <xdr:cNvSpPr>
          <a:spLocks noChangeAspect="1" noChangeArrowheads="1"/>
        </xdr:cNvSpPr>
      </xdr:nvSpPr>
      <xdr:spPr bwMode="auto">
        <a:xfrm>
          <a:off x="2294283" y="4977848"/>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8"/>
    <xdr:sp macro="" textlink="">
      <xdr:nvSpPr>
        <xdr:cNvPr id="1110" name="AutoShape 264" descr="+">
          <a:extLst>
            <a:ext uri="{FF2B5EF4-FFF2-40B4-BE49-F238E27FC236}">
              <a16:creationId xmlns:a16="http://schemas.microsoft.com/office/drawing/2014/main" id="{0E3B5362-D2AF-43FA-9684-2B2992DA45F6}"/>
            </a:ext>
          </a:extLst>
        </xdr:cNvPr>
        <xdr:cNvSpPr>
          <a:spLocks noChangeAspect="1" noChangeArrowheads="1"/>
        </xdr:cNvSpPr>
      </xdr:nvSpPr>
      <xdr:spPr bwMode="auto">
        <a:xfrm>
          <a:off x="2294283" y="4977848"/>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1" name="AutoShape 265" descr="+">
          <a:extLst>
            <a:ext uri="{FF2B5EF4-FFF2-40B4-BE49-F238E27FC236}">
              <a16:creationId xmlns:a16="http://schemas.microsoft.com/office/drawing/2014/main" id="{69EFCD9C-D872-4135-B71F-DF917CE9CF9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112" name="AutoShape 266" descr="+">
          <a:extLst>
            <a:ext uri="{FF2B5EF4-FFF2-40B4-BE49-F238E27FC236}">
              <a16:creationId xmlns:a16="http://schemas.microsoft.com/office/drawing/2014/main" id="{DAB5D02C-61C8-49C4-8970-1544AE09D269}"/>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113" name="AutoShape 267" descr="+">
          <a:extLst>
            <a:ext uri="{FF2B5EF4-FFF2-40B4-BE49-F238E27FC236}">
              <a16:creationId xmlns:a16="http://schemas.microsoft.com/office/drawing/2014/main" id="{FD77BBC1-EF4E-4977-B768-B3A4810770CE}"/>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4" name="AutoShape 268" descr="+">
          <a:extLst>
            <a:ext uri="{FF2B5EF4-FFF2-40B4-BE49-F238E27FC236}">
              <a16:creationId xmlns:a16="http://schemas.microsoft.com/office/drawing/2014/main" id="{43362773-0D66-45C5-BA55-0A1B3104FE8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5" name="AutoShape 269" descr="+">
          <a:extLst>
            <a:ext uri="{FF2B5EF4-FFF2-40B4-BE49-F238E27FC236}">
              <a16:creationId xmlns:a16="http://schemas.microsoft.com/office/drawing/2014/main" id="{015EDF76-2C39-4B5C-977F-830DC75C929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6" name="AutoShape 270" descr="+">
          <a:extLst>
            <a:ext uri="{FF2B5EF4-FFF2-40B4-BE49-F238E27FC236}">
              <a16:creationId xmlns:a16="http://schemas.microsoft.com/office/drawing/2014/main" id="{CB4D5CC5-75B6-4160-AB64-B76921538AF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117" name="AutoShape 271" descr="+">
          <a:extLst>
            <a:ext uri="{FF2B5EF4-FFF2-40B4-BE49-F238E27FC236}">
              <a16:creationId xmlns:a16="http://schemas.microsoft.com/office/drawing/2014/main" id="{E82A5522-F1F4-46FD-951A-962B4D58DE76}"/>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8" name="AutoShape 272" descr="+">
          <a:extLst>
            <a:ext uri="{FF2B5EF4-FFF2-40B4-BE49-F238E27FC236}">
              <a16:creationId xmlns:a16="http://schemas.microsoft.com/office/drawing/2014/main" id="{C3193ECE-8D98-43FB-8915-96CDA6B87CA4}"/>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19" name="AutoShape 273" descr="+">
          <a:extLst>
            <a:ext uri="{FF2B5EF4-FFF2-40B4-BE49-F238E27FC236}">
              <a16:creationId xmlns:a16="http://schemas.microsoft.com/office/drawing/2014/main" id="{BD745F04-DDD4-4F17-9088-E2B14D048D4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0" name="AutoShape 274" descr="+">
          <a:extLst>
            <a:ext uri="{FF2B5EF4-FFF2-40B4-BE49-F238E27FC236}">
              <a16:creationId xmlns:a16="http://schemas.microsoft.com/office/drawing/2014/main" id="{3A7CE658-F3BC-401C-B0B2-3D990DE5B3EE}"/>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5297"/>
    <xdr:sp macro="" textlink="">
      <xdr:nvSpPr>
        <xdr:cNvPr id="1121" name="AutoShape 275" descr="+">
          <a:extLst>
            <a:ext uri="{FF2B5EF4-FFF2-40B4-BE49-F238E27FC236}">
              <a16:creationId xmlns:a16="http://schemas.microsoft.com/office/drawing/2014/main" id="{93419132-4C9C-4103-A26F-0FBDFB2F2FEE}"/>
            </a:ext>
          </a:extLst>
        </xdr:cNvPr>
        <xdr:cNvSpPr>
          <a:spLocks noChangeAspect="1" noChangeArrowheads="1"/>
        </xdr:cNvSpPr>
      </xdr:nvSpPr>
      <xdr:spPr bwMode="auto">
        <a:xfrm>
          <a:off x="2294283" y="4977848"/>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2" name="AutoShape 276" descr="+">
          <a:extLst>
            <a:ext uri="{FF2B5EF4-FFF2-40B4-BE49-F238E27FC236}">
              <a16:creationId xmlns:a16="http://schemas.microsoft.com/office/drawing/2014/main" id="{D54EF42A-6967-4761-A3DA-7E69FBDCBD2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23" name="AutoShape 277" descr="+">
          <a:extLst>
            <a:ext uri="{FF2B5EF4-FFF2-40B4-BE49-F238E27FC236}">
              <a16:creationId xmlns:a16="http://schemas.microsoft.com/office/drawing/2014/main" id="{0B0B486E-BE63-4CAA-B295-223FF4F073B4}"/>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24" name="AutoShape 278" descr="+">
          <a:extLst>
            <a:ext uri="{FF2B5EF4-FFF2-40B4-BE49-F238E27FC236}">
              <a16:creationId xmlns:a16="http://schemas.microsoft.com/office/drawing/2014/main" id="{8A816CC8-C76F-421B-9BC7-556015E957F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125" name="AutoShape 279" descr="+">
          <a:extLst>
            <a:ext uri="{FF2B5EF4-FFF2-40B4-BE49-F238E27FC236}">
              <a16:creationId xmlns:a16="http://schemas.microsoft.com/office/drawing/2014/main" id="{656B9DA8-E373-45DE-90C6-FCDCB05E63A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126" name="AutoShape 280" descr="+">
          <a:extLst>
            <a:ext uri="{FF2B5EF4-FFF2-40B4-BE49-F238E27FC236}">
              <a16:creationId xmlns:a16="http://schemas.microsoft.com/office/drawing/2014/main" id="{61AF58E2-D9B7-4714-979F-55D1B930C4B6}"/>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27" name="AutoShape 281" descr="+">
          <a:extLst>
            <a:ext uri="{FF2B5EF4-FFF2-40B4-BE49-F238E27FC236}">
              <a16:creationId xmlns:a16="http://schemas.microsoft.com/office/drawing/2014/main" id="{84B5C6B8-67D8-4D49-8C3B-9752946B3A4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128" name="AutoShape 282" descr="+">
          <a:extLst>
            <a:ext uri="{FF2B5EF4-FFF2-40B4-BE49-F238E27FC236}">
              <a16:creationId xmlns:a16="http://schemas.microsoft.com/office/drawing/2014/main" id="{474DB1CA-8ED1-4A38-AA15-6438F04DA3B3}"/>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29" name="AutoShape 283" descr="+">
          <a:extLst>
            <a:ext uri="{FF2B5EF4-FFF2-40B4-BE49-F238E27FC236}">
              <a16:creationId xmlns:a16="http://schemas.microsoft.com/office/drawing/2014/main" id="{831E349B-1302-46AA-B647-06CB0F0B3E6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0" name="AutoShape 284" descr="+">
          <a:extLst>
            <a:ext uri="{FF2B5EF4-FFF2-40B4-BE49-F238E27FC236}">
              <a16:creationId xmlns:a16="http://schemas.microsoft.com/office/drawing/2014/main" id="{E60F7715-D046-4F7C-9808-A7691645A9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131" name="AutoShape 285" descr="+">
          <a:extLst>
            <a:ext uri="{FF2B5EF4-FFF2-40B4-BE49-F238E27FC236}">
              <a16:creationId xmlns:a16="http://schemas.microsoft.com/office/drawing/2014/main" id="{22F735C9-4F80-4E0F-BC4D-A03646CEF032}"/>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132" name="AutoShape 286" descr="+">
          <a:extLst>
            <a:ext uri="{FF2B5EF4-FFF2-40B4-BE49-F238E27FC236}">
              <a16:creationId xmlns:a16="http://schemas.microsoft.com/office/drawing/2014/main" id="{4253B83D-9E0E-474A-947E-520F532BAED2}"/>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7"/>
    <xdr:sp macro="" textlink="">
      <xdr:nvSpPr>
        <xdr:cNvPr id="1133" name="AutoShape 287" descr="+">
          <a:extLst>
            <a:ext uri="{FF2B5EF4-FFF2-40B4-BE49-F238E27FC236}">
              <a16:creationId xmlns:a16="http://schemas.microsoft.com/office/drawing/2014/main" id="{1EC81070-2B48-453B-B7F3-2404522B3EC2}"/>
            </a:ext>
          </a:extLst>
        </xdr:cNvPr>
        <xdr:cNvSpPr>
          <a:spLocks noChangeAspect="1" noChangeArrowheads="1"/>
        </xdr:cNvSpPr>
      </xdr:nvSpPr>
      <xdr:spPr bwMode="auto">
        <a:xfrm>
          <a:off x="2294283" y="4977848"/>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7"/>
    <xdr:sp macro="" textlink="">
      <xdr:nvSpPr>
        <xdr:cNvPr id="1134" name="AutoShape 288" descr="+">
          <a:extLst>
            <a:ext uri="{FF2B5EF4-FFF2-40B4-BE49-F238E27FC236}">
              <a16:creationId xmlns:a16="http://schemas.microsoft.com/office/drawing/2014/main" id="{91532085-6DA1-4DFB-84D9-52185CC120E1}"/>
            </a:ext>
          </a:extLst>
        </xdr:cNvPr>
        <xdr:cNvSpPr>
          <a:spLocks noChangeAspect="1" noChangeArrowheads="1"/>
        </xdr:cNvSpPr>
      </xdr:nvSpPr>
      <xdr:spPr bwMode="auto">
        <a:xfrm>
          <a:off x="2294283" y="4977848"/>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135" name="AutoShape 289" descr="+">
          <a:extLst>
            <a:ext uri="{FF2B5EF4-FFF2-40B4-BE49-F238E27FC236}">
              <a16:creationId xmlns:a16="http://schemas.microsoft.com/office/drawing/2014/main" id="{540FEB0A-72FB-44FC-927E-5A69A48AD0E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6" name="AutoShape 290" descr="+">
          <a:extLst>
            <a:ext uri="{FF2B5EF4-FFF2-40B4-BE49-F238E27FC236}">
              <a16:creationId xmlns:a16="http://schemas.microsoft.com/office/drawing/2014/main" id="{8E3D4F64-B419-4380-8099-7FBE72803D43}"/>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37" name="AutoShape 291" descr="+">
          <a:extLst>
            <a:ext uri="{FF2B5EF4-FFF2-40B4-BE49-F238E27FC236}">
              <a16:creationId xmlns:a16="http://schemas.microsoft.com/office/drawing/2014/main" id="{25382A9C-F554-469F-9E90-13A0AB2CC4A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8" name="AutoShape 292" descr="+">
          <a:extLst>
            <a:ext uri="{FF2B5EF4-FFF2-40B4-BE49-F238E27FC236}">
              <a16:creationId xmlns:a16="http://schemas.microsoft.com/office/drawing/2014/main" id="{764B5A05-97C0-4C52-BFE8-881763BE5A3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39" name="AutoShape 293" descr="+">
          <a:extLst>
            <a:ext uri="{FF2B5EF4-FFF2-40B4-BE49-F238E27FC236}">
              <a16:creationId xmlns:a16="http://schemas.microsoft.com/office/drawing/2014/main" id="{C8A77D0E-7342-4D5B-8F74-60F302335A6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0" name="AutoShape 294" descr="+">
          <a:extLst>
            <a:ext uri="{FF2B5EF4-FFF2-40B4-BE49-F238E27FC236}">
              <a16:creationId xmlns:a16="http://schemas.microsoft.com/office/drawing/2014/main" id="{0B65240A-8BF9-40A3-8AE7-215606EDB88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664"/>
    <xdr:sp macro="" textlink="">
      <xdr:nvSpPr>
        <xdr:cNvPr id="1141" name="AutoShape 295" descr="+">
          <a:extLst>
            <a:ext uri="{FF2B5EF4-FFF2-40B4-BE49-F238E27FC236}">
              <a16:creationId xmlns:a16="http://schemas.microsoft.com/office/drawing/2014/main" id="{2A77D7BC-34C3-462B-A4FD-06EE4AB84D45}"/>
            </a:ext>
          </a:extLst>
        </xdr:cNvPr>
        <xdr:cNvSpPr>
          <a:spLocks noChangeAspect="1" noChangeArrowheads="1"/>
        </xdr:cNvSpPr>
      </xdr:nvSpPr>
      <xdr:spPr bwMode="auto">
        <a:xfrm>
          <a:off x="2294283" y="4977848"/>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142" name="AutoShape 296" descr="+">
          <a:extLst>
            <a:ext uri="{FF2B5EF4-FFF2-40B4-BE49-F238E27FC236}">
              <a16:creationId xmlns:a16="http://schemas.microsoft.com/office/drawing/2014/main" id="{E6294C67-3054-4C80-8CCA-86BDAC382092}"/>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3"/>
    <xdr:sp macro="" textlink="">
      <xdr:nvSpPr>
        <xdr:cNvPr id="1143" name="AutoShape 297" descr="+">
          <a:extLst>
            <a:ext uri="{FF2B5EF4-FFF2-40B4-BE49-F238E27FC236}">
              <a16:creationId xmlns:a16="http://schemas.microsoft.com/office/drawing/2014/main" id="{8B9A8FC5-127B-471B-A38E-69099C7A5BFA}"/>
            </a:ext>
          </a:extLst>
        </xdr:cNvPr>
        <xdr:cNvSpPr>
          <a:spLocks noChangeAspect="1" noChangeArrowheads="1"/>
        </xdr:cNvSpPr>
      </xdr:nvSpPr>
      <xdr:spPr bwMode="auto">
        <a:xfrm>
          <a:off x="2294283" y="4977848"/>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4" name="AutoShape 298" descr="+">
          <a:extLst>
            <a:ext uri="{FF2B5EF4-FFF2-40B4-BE49-F238E27FC236}">
              <a16:creationId xmlns:a16="http://schemas.microsoft.com/office/drawing/2014/main" id="{DAFF93B6-BD93-4B57-9677-839D6AF6D09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7"/>
    <xdr:sp macro="" textlink="">
      <xdr:nvSpPr>
        <xdr:cNvPr id="1145" name="AutoShape 80" descr="+">
          <a:extLst>
            <a:ext uri="{FF2B5EF4-FFF2-40B4-BE49-F238E27FC236}">
              <a16:creationId xmlns:a16="http://schemas.microsoft.com/office/drawing/2014/main" id="{99281F82-89CD-498B-A222-D25A9ABA7820}"/>
            </a:ext>
          </a:extLst>
        </xdr:cNvPr>
        <xdr:cNvSpPr>
          <a:spLocks noChangeAspect="1" noChangeArrowheads="1"/>
        </xdr:cNvSpPr>
      </xdr:nvSpPr>
      <xdr:spPr bwMode="auto">
        <a:xfrm>
          <a:off x="2294283"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1146" name="AutoShape 80" descr="+">
          <a:extLst>
            <a:ext uri="{FF2B5EF4-FFF2-40B4-BE49-F238E27FC236}">
              <a16:creationId xmlns:a16="http://schemas.microsoft.com/office/drawing/2014/main" id="{142B5A20-431B-4F8A-8823-6EE658BEAF47}"/>
            </a:ext>
          </a:extLst>
        </xdr:cNvPr>
        <xdr:cNvSpPr>
          <a:spLocks noChangeAspect="1" noChangeArrowheads="1"/>
        </xdr:cNvSpPr>
      </xdr:nvSpPr>
      <xdr:spPr bwMode="auto">
        <a:xfrm>
          <a:off x="3791069"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9525</xdr:colOff>
      <xdr:row>20</xdr:row>
      <xdr:rowOff>4308614</xdr:rowOff>
    </xdr:from>
    <xdr:to>
      <xdr:col>3</xdr:col>
      <xdr:colOff>1843780</xdr:colOff>
      <xdr:row>34</xdr:row>
      <xdr:rowOff>57151</xdr:rowOff>
    </xdr:to>
    <xdr:pic>
      <xdr:nvPicPr>
        <xdr:cNvPr id="282" name="Picture 281">
          <a:extLst>
            <a:ext uri="{FF2B5EF4-FFF2-40B4-BE49-F238E27FC236}">
              <a16:creationId xmlns:a16="http://schemas.microsoft.com/office/drawing/2014/main" id="{AD9163EF-3342-4297-A77C-1395530872B8}"/>
            </a:ext>
          </a:extLst>
        </xdr:cNvPr>
        <xdr:cNvPicPr>
          <a:picLocks noChangeAspect="1"/>
        </xdr:cNvPicPr>
      </xdr:nvPicPr>
      <xdr:blipFill>
        <a:blip xmlns:r="http://schemas.openxmlformats.org/officeDocument/2006/relationships" r:embed="rId3"/>
        <a:stretch>
          <a:fillRect/>
        </a:stretch>
      </xdr:blipFill>
      <xdr:spPr>
        <a:xfrm>
          <a:off x="9525" y="10233164"/>
          <a:ext cx="6072880" cy="2387462"/>
        </a:xfrm>
        <a:prstGeom prst="rect">
          <a:avLst/>
        </a:prstGeom>
        <a:ln>
          <a:solidFill>
            <a:schemeClr val="tx1"/>
          </a:solidFill>
        </a:ln>
      </xdr:spPr>
    </xdr:pic>
    <xdr:clientData/>
  </xdr:twoCellAnchor>
  <xdr:twoCellAnchor editAs="oneCell">
    <xdr:from>
      <xdr:col>4</xdr:col>
      <xdr:colOff>219075</xdr:colOff>
      <xdr:row>7</xdr:row>
      <xdr:rowOff>161925</xdr:rowOff>
    </xdr:from>
    <xdr:to>
      <xdr:col>6</xdr:col>
      <xdr:colOff>807427</xdr:colOff>
      <xdr:row>11</xdr:row>
      <xdr:rowOff>207860</xdr:rowOff>
    </xdr:to>
    <xdr:pic>
      <xdr:nvPicPr>
        <xdr:cNvPr id="1147" name="Picture 1146">
          <a:extLst>
            <a:ext uri="{FF2B5EF4-FFF2-40B4-BE49-F238E27FC236}">
              <a16:creationId xmlns:a16="http://schemas.microsoft.com/office/drawing/2014/main" id="{9D94E45C-2E3C-4A84-BF40-003AB8D2883F}"/>
            </a:ext>
          </a:extLst>
        </xdr:cNvPr>
        <xdr:cNvPicPr>
          <a:picLocks noChangeAspect="1"/>
        </xdr:cNvPicPr>
      </xdr:nvPicPr>
      <xdr:blipFill>
        <a:blip xmlns:r="http://schemas.openxmlformats.org/officeDocument/2006/relationships" r:embed="rId4"/>
        <a:stretch>
          <a:fillRect/>
        </a:stretch>
      </xdr:blipFill>
      <xdr:spPr>
        <a:xfrm>
          <a:off x="6400800" y="1943100"/>
          <a:ext cx="2702902" cy="10746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304800</xdr:colOff>
      <xdr:row>42</xdr:row>
      <xdr:rowOff>9805</xdr:rowOff>
    </xdr:to>
    <xdr:sp macro="" textlink="">
      <xdr:nvSpPr>
        <xdr:cNvPr id="2" name="AutoShape 4" descr="+">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3" name="AutoShape 5" descr="+">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39781</xdr:rowOff>
    </xdr:to>
    <xdr:sp macro="" textlink="">
      <xdr:nvSpPr>
        <xdr:cNvPr id="4" name="AutoShape 6" descr="+">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12739</xdr:rowOff>
    </xdr:to>
    <xdr:sp macro="" textlink="">
      <xdr:nvSpPr>
        <xdr:cNvPr id="5" name="AutoShape 7" descr="+">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6" name="AutoShape 8" descr="+">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7" name="AutoShape 9" descr="+">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8" name="AutoShape 10" descr="+">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30254</xdr:rowOff>
    </xdr:to>
    <xdr:sp macro="" textlink="">
      <xdr:nvSpPr>
        <xdr:cNvPr id="9" name="AutoShape 11" descr="+">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108622</xdr:rowOff>
    </xdr:to>
    <xdr:sp macro="" textlink="">
      <xdr:nvSpPr>
        <xdr:cNvPr id="10" name="AutoShape 12" descr="+">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1" name="AutoShape 13" descr="+">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12" name="AutoShape 14" descr="+">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13" name="AutoShape 15" descr="+">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29975</xdr:rowOff>
    </xdr:to>
    <xdr:sp macro="" textlink="">
      <xdr:nvSpPr>
        <xdr:cNvPr id="14" name="AutoShape 16" descr="+">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16207</xdr:rowOff>
    </xdr:to>
    <xdr:sp macro="" textlink="">
      <xdr:nvSpPr>
        <xdr:cNvPr id="15" name="AutoShape 17" descr="+">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16209</xdr:rowOff>
    </xdr:to>
    <xdr:sp macro="" textlink="">
      <xdr:nvSpPr>
        <xdr:cNvPr id="16" name="AutoShape 18" descr="+">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17609</xdr:rowOff>
    </xdr:to>
    <xdr:sp macro="" textlink="">
      <xdr:nvSpPr>
        <xdr:cNvPr id="17" name="AutoShape 19" descr="+">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16206</xdr:rowOff>
    </xdr:to>
    <xdr:sp macro="" textlink="">
      <xdr:nvSpPr>
        <xdr:cNvPr id="18" name="AutoShape 20" descr="+">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46186</xdr:rowOff>
    </xdr:to>
    <xdr:sp macro="" textlink="">
      <xdr:nvSpPr>
        <xdr:cNvPr id="19" name="AutoShape 21" descr="+">
          <a:extLst>
            <a:ext uri="{FF2B5EF4-FFF2-40B4-BE49-F238E27FC236}">
              <a16:creationId xmlns:a16="http://schemas.microsoft.com/office/drawing/2014/main" id="{00000000-0008-0000-0B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46181</xdr:rowOff>
    </xdr:to>
    <xdr:sp macro="" textlink="">
      <xdr:nvSpPr>
        <xdr:cNvPr id="20" name="AutoShape 22" descr="+">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46185</xdr:rowOff>
    </xdr:to>
    <xdr:sp macro="" textlink="">
      <xdr:nvSpPr>
        <xdr:cNvPr id="21" name="AutoShape 23" descr="+">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36658</xdr:rowOff>
    </xdr:to>
    <xdr:sp macro="" textlink="">
      <xdr:nvSpPr>
        <xdr:cNvPr id="22" name="AutoShape 24" descr="+">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46184</xdr:rowOff>
    </xdr:to>
    <xdr:sp macro="" textlink="">
      <xdr:nvSpPr>
        <xdr:cNvPr id="23" name="AutoShape 25" descr="+">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46184</xdr:rowOff>
    </xdr:to>
    <xdr:sp macro="" textlink="">
      <xdr:nvSpPr>
        <xdr:cNvPr id="24" name="AutoShape 26" descr="+">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17609</xdr:rowOff>
    </xdr:to>
    <xdr:sp macro="" textlink="">
      <xdr:nvSpPr>
        <xdr:cNvPr id="25" name="AutoShape 27" descr="+">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46181</xdr:rowOff>
    </xdr:to>
    <xdr:sp macro="" textlink="">
      <xdr:nvSpPr>
        <xdr:cNvPr id="26" name="AutoShape 28" descr="+">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39785</xdr:rowOff>
    </xdr:to>
    <xdr:sp macro="" textlink="">
      <xdr:nvSpPr>
        <xdr:cNvPr id="27" name="AutoShape 29" descr="+">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8" name="AutoShape 30" descr="+">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9" name="AutoShape 31" descr="+">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30" name="AutoShape 32" descr="+">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31" name="AutoShape 33" descr="+">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32" name="AutoShape 34" descr="+">
          <a:extLst>
            <a:ext uri="{FF2B5EF4-FFF2-40B4-BE49-F238E27FC236}">
              <a16:creationId xmlns:a16="http://schemas.microsoft.com/office/drawing/2014/main" id="{00000000-0008-0000-0B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33" name="AutoShape 52" descr="+">
          <a:extLst>
            <a:ext uri="{FF2B5EF4-FFF2-40B4-BE49-F238E27FC236}">
              <a16:creationId xmlns:a16="http://schemas.microsoft.com/office/drawing/2014/main" id="{00000000-0008-0000-0B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34" name="AutoShape 53" descr="+">
          <a:extLst>
            <a:ext uri="{FF2B5EF4-FFF2-40B4-BE49-F238E27FC236}">
              <a16:creationId xmlns:a16="http://schemas.microsoft.com/office/drawing/2014/main" id="{00000000-0008-0000-0B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24772</xdr:rowOff>
    </xdr:to>
    <xdr:sp macro="" textlink="">
      <xdr:nvSpPr>
        <xdr:cNvPr id="35" name="AutoShape 54" descr="+">
          <a:extLst>
            <a:ext uri="{FF2B5EF4-FFF2-40B4-BE49-F238E27FC236}">
              <a16:creationId xmlns:a16="http://schemas.microsoft.com/office/drawing/2014/main" id="{00000000-0008-0000-0B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36" name="AutoShape 55" descr="+">
          <a:extLst>
            <a:ext uri="{FF2B5EF4-FFF2-40B4-BE49-F238E27FC236}">
              <a16:creationId xmlns:a16="http://schemas.microsoft.com/office/drawing/2014/main" id="{00000000-0008-0000-0B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37" name="AutoShape 56" descr="+">
          <a:extLst>
            <a:ext uri="{FF2B5EF4-FFF2-40B4-BE49-F238E27FC236}">
              <a16:creationId xmlns:a16="http://schemas.microsoft.com/office/drawing/2014/main" id="{00000000-0008-0000-0B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38" name="AutoShape 57" descr="+">
          <a:extLst>
            <a:ext uri="{FF2B5EF4-FFF2-40B4-BE49-F238E27FC236}">
              <a16:creationId xmlns:a16="http://schemas.microsoft.com/office/drawing/2014/main" id="{00000000-0008-0000-0B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39" name="AutoShape 58" descr="+">
          <a:extLst>
            <a:ext uri="{FF2B5EF4-FFF2-40B4-BE49-F238E27FC236}">
              <a16:creationId xmlns:a16="http://schemas.microsoft.com/office/drawing/2014/main" id="{00000000-0008-0000-0B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40" name="AutoShape 59" descr="+">
          <a:extLst>
            <a:ext uri="{FF2B5EF4-FFF2-40B4-BE49-F238E27FC236}">
              <a16:creationId xmlns:a16="http://schemas.microsoft.com/office/drawing/2014/main" id="{00000000-0008-0000-0B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41" name="AutoShape 60" descr="+">
          <a:extLst>
            <a:ext uri="{FF2B5EF4-FFF2-40B4-BE49-F238E27FC236}">
              <a16:creationId xmlns:a16="http://schemas.microsoft.com/office/drawing/2014/main" id="{00000000-0008-0000-0B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42" name="AutoShape 61" descr="+">
          <a:extLst>
            <a:ext uri="{FF2B5EF4-FFF2-40B4-BE49-F238E27FC236}">
              <a16:creationId xmlns:a16="http://schemas.microsoft.com/office/drawing/2014/main" id="{00000000-0008-0000-0B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43" name="AutoShape 62" descr="+">
          <a:extLst>
            <a:ext uri="{FF2B5EF4-FFF2-40B4-BE49-F238E27FC236}">
              <a16:creationId xmlns:a16="http://schemas.microsoft.com/office/drawing/2014/main" id="{00000000-0008-0000-0B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44" name="AutoShape 63" descr="+">
          <a:extLst>
            <a:ext uri="{FF2B5EF4-FFF2-40B4-BE49-F238E27FC236}">
              <a16:creationId xmlns:a16="http://schemas.microsoft.com/office/drawing/2014/main" id="{00000000-0008-0000-0B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45" name="AutoShape 64" descr="+">
          <a:extLst>
            <a:ext uri="{FF2B5EF4-FFF2-40B4-BE49-F238E27FC236}">
              <a16:creationId xmlns:a16="http://schemas.microsoft.com/office/drawing/2014/main" id="{00000000-0008-0000-0B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24770</xdr:rowOff>
    </xdr:to>
    <xdr:sp macro="" textlink="">
      <xdr:nvSpPr>
        <xdr:cNvPr id="46" name="AutoShape 65" descr="+">
          <a:extLst>
            <a:ext uri="{FF2B5EF4-FFF2-40B4-BE49-F238E27FC236}">
              <a16:creationId xmlns:a16="http://schemas.microsoft.com/office/drawing/2014/main" id="{00000000-0008-0000-0B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47" name="AutoShape 66" descr="+">
          <a:extLst>
            <a:ext uri="{FF2B5EF4-FFF2-40B4-BE49-F238E27FC236}">
              <a16:creationId xmlns:a16="http://schemas.microsoft.com/office/drawing/2014/main" id="{00000000-0008-0000-0B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48" name="AutoShape 67" descr="+">
          <a:extLst>
            <a:ext uri="{FF2B5EF4-FFF2-40B4-BE49-F238E27FC236}">
              <a16:creationId xmlns:a16="http://schemas.microsoft.com/office/drawing/2014/main" id="{00000000-0008-0000-0B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49" name="AutoShape 68" descr="+">
          <a:extLst>
            <a:ext uri="{FF2B5EF4-FFF2-40B4-BE49-F238E27FC236}">
              <a16:creationId xmlns:a16="http://schemas.microsoft.com/office/drawing/2014/main" id="{00000000-0008-0000-0B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50" name="AutoShape 69" descr="+">
          <a:extLst>
            <a:ext uri="{FF2B5EF4-FFF2-40B4-BE49-F238E27FC236}">
              <a16:creationId xmlns:a16="http://schemas.microsoft.com/office/drawing/2014/main" id="{00000000-0008-0000-0B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51" name="AutoShape 70" descr="+">
          <a:extLst>
            <a:ext uri="{FF2B5EF4-FFF2-40B4-BE49-F238E27FC236}">
              <a16:creationId xmlns:a16="http://schemas.microsoft.com/office/drawing/2014/main" id="{00000000-0008-0000-0B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52" name="AutoShape 71" descr="+">
          <a:extLst>
            <a:ext uri="{FF2B5EF4-FFF2-40B4-BE49-F238E27FC236}">
              <a16:creationId xmlns:a16="http://schemas.microsoft.com/office/drawing/2014/main" id="{00000000-0008-0000-0B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3" name="AutoShape 72" descr="+">
          <a:extLst>
            <a:ext uri="{FF2B5EF4-FFF2-40B4-BE49-F238E27FC236}">
              <a16:creationId xmlns:a16="http://schemas.microsoft.com/office/drawing/2014/main" id="{00000000-0008-0000-0B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54" name="AutoShape 73" descr="+">
          <a:extLst>
            <a:ext uri="{FF2B5EF4-FFF2-40B4-BE49-F238E27FC236}">
              <a16:creationId xmlns:a16="http://schemas.microsoft.com/office/drawing/2014/main" id="{00000000-0008-0000-0B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55" name="AutoShape 74" descr="+">
          <a:extLst>
            <a:ext uri="{FF2B5EF4-FFF2-40B4-BE49-F238E27FC236}">
              <a16:creationId xmlns:a16="http://schemas.microsoft.com/office/drawing/2014/main" id="{00000000-0008-0000-0B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56" name="AutoShape 75" descr="+">
          <a:extLst>
            <a:ext uri="{FF2B5EF4-FFF2-40B4-BE49-F238E27FC236}">
              <a16:creationId xmlns:a16="http://schemas.microsoft.com/office/drawing/2014/main" id="{00000000-0008-0000-0B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7" name="AutoShape 76" descr="+">
          <a:extLst>
            <a:ext uri="{FF2B5EF4-FFF2-40B4-BE49-F238E27FC236}">
              <a16:creationId xmlns:a16="http://schemas.microsoft.com/office/drawing/2014/main" id="{00000000-0008-0000-0B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58" name="AutoShape 77" descr="+">
          <a:extLst>
            <a:ext uri="{FF2B5EF4-FFF2-40B4-BE49-F238E27FC236}">
              <a16:creationId xmlns:a16="http://schemas.microsoft.com/office/drawing/2014/main" id="{00000000-0008-0000-0B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9" name="AutoShape 78" descr="+">
          <a:extLst>
            <a:ext uri="{FF2B5EF4-FFF2-40B4-BE49-F238E27FC236}">
              <a16:creationId xmlns:a16="http://schemas.microsoft.com/office/drawing/2014/main" id="{00000000-0008-0000-0B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4763</xdr:rowOff>
    </xdr:to>
    <xdr:sp macro="" textlink="">
      <xdr:nvSpPr>
        <xdr:cNvPr id="60" name="AutoShape 79" descr="+">
          <a:extLst>
            <a:ext uri="{FF2B5EF4-FFF2-40B4-BE49-F238E27FC236}">
              <a16:creationId xmlns:a16="http://schemas.microsoft.com/office/drawing/2014/main" id="{00000000-0008-0000-0B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1" name="AutoShape 80" descr="+">
          <a:extLst>
            <a:ext uri="{FF2B5EF4-FFF2-40B4-BE49-F238E27FC236}">
              <a16:creationId xmlns:a16="http://schemas.microsoft.com/office/drawing/2014/main" id="{00000000-0008-0000-0B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19729</xdr:rowOff>
    </xdr:to>
    <xdr:sp macro="" textlink="">
      <xdr:nvSpPr>
        <xdr:cNvPr id="62" name="AutoShape 81" descr="+">
          <a:extLst>
            <a:ext uri="{FF2B5EF4-FFF2-40B4-BE49-F238E27FC236}">
              <a16:creationId xmlns:a16="http://schemas.microsoft.com/office/drawing/2014/main" id="{00000000-0008-0000-0B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3" name="AutoShape 82" descr="+">
          <a:extLst>
            <a:ext uri="{FF2B5EF4-FFF2-40B4-BE49-F238E27FC236}">
              <a16:creationId xmlns:a16="http://schemas.microsoft.com/office/drawing/2014/main" id="{00000000-0008-0000-0B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43545</xdr:rowOff>
    </xdr:to>
    <xdr:sp macro="" textlink="">
      <xdr:nvSpPr>
        <xdr:cNvPr id="64" name="AutoShape 83" descr="+">
          <a:extLst>
            <a:ext uri="{FF2B5EF4-FFF2-40B4-BE49-F238E27FC236}">
              <a16:creationId xmlns:a16="http://schemas.microsoft.com/office/drawing/2014/main" id="{00000000-0008-0000-0B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5" name="AutoShape 84" descr="+">
          <a:extLst>
            <a:ext uri="{FF2B5EF4-FFF2-40B4-BE49-F238E27FC236}">
              <a16:creationId xmlns:a16="http://schemas.microsoft.com/office/drawing/2014/main" id="{00000000-0008-0000-0B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43542</xdr:rowOff>
    </xdr:to>
    <xdr:sp macro="" textlink="">
      <xdr:nvSpPr>
        <xdr:cNvPr id="66" name="AutoShape 85" descr="+">
          <a:extLst>
            <a:ext uri="{FF2B5EF4-FFF2-40B4-BE49-F238E27FC236}">
              <a16:creationId xmlns:a16="http://schemas.microsoft.com/office/drawing/2014/main" id="{00000000-0008-0000-0B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7" name="AutoShape 86" descr="+">
          <a:extLst>
            <a:ext uri="{FF2B5EF4-FFF2-40B4-BE49-F238E27FC236}">
              <a16:creationId xmlns:a16="http://schemas.microsoft.com/office/drawing/2014/main" id="{00000000-0008-0000-0B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8" name="AutoShape 87" descr="+">
          <a:extLst>
            <a:ext uri="{FF2B5EF4-FFF2-40B4-BE49-F238E27FC236}">
              <a16:creationId xmlns:a16="http://schemas.microsoft.com/office/drawing/2014/main" id="{00000000-0008-0000-0B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9" name="AutoShape 88" descr="+">
          <a:extLst>
            <a:ext uri="{FF2B5EF4-FFF2-40B4-BE49-F238E27FC236}">
              <a16:creationId xmlns:a16="http://schemas.microsoft.com/office/drawing/2014/main" id="{00000000-0008-0000-0B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0" name="AutoShape 89" descr="+">
          <a:extLst>
            <a:ext uri="{FF2B5EF4-FFF2-40B4-BE49-F238E27FC236}">
              <a16:creationId xmlns:a16="http://schemas.microsoft.com/office/drawing/2014/main" id="{00000000-0008-0000-0B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43541</xdr:rowOff>
    </xdr:to>
    <xdr:sp macro="" textlink="">
      <xdr:nvSpPr>
        <xdr:cNvPr id="71" name="AutoShape 90" descr="+">
          <a:extLst>
            <a:ext uri="{FF2B5EF4-FFF2-40B4-BE49-F238E27FC236}">
              <a16:creationId xmlns:a16="http://schemas.microsoft.com/office/drawing/2014/main" id="{00000000-0008-0000-0B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145118</xdr:rowOff>
    </xdr:to>
    <xdr:sp macro="" textlink="">
      <xdr:nvSpPr>
        <xdr:cNvPr id="72" name="AutoShape 91" descr="+">
          <a:extLst>
            <a:ext uri="{FF2B5EF4-FFF2-40B4-BE49-F238E27FC236}">
              <a16:creationId xmlns:a16="http://schemas.microsoft.com/office/drawing/2014/main" id="{00000000-0008-0000-0B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9524</xdr:rowOff>
    </xdr:to>
    <xdr:sp macro="" textlink="">
      <xdr:nvSpPr>
        <xdr:cNvPr id="73" name="AutoShape 92" descr="+">
          <a:extLst>
            <a:ext uri="{FF2B5EF4-FFF2-40B4-BE49-F238E27FC236}">
              <a16:creationId xmlns:a16="http://schemas.microsoft.com/office/drawing/2014/main" id="{00000000-0008-0000-0B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4" name="AutoShape 93" descr="+">
          <a:extLst>
            <a:ext uri="{FF2B5EF4-FFF2-40B4-BE49-F238E27FC236}">
              <a16:creationId xmlns:a16="http://schemas.microsoft.com/office/drawing/2014/main" id="{00000000-0008-0000-0B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5" name="AutoShape 94" descr="+">
          <a:extLst>
            <a:ext uri="{FF2B5EF4-FFF2-40B4-BE49-F238E27FC236}">
              <a16:creationId xmlns:a16="http://schemas.microsoft.com/office/drawing/2014/main" id="{00000000-0008-0000-0B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38782</xdr:rowOff>
    </xdr:to>
    <xdr:sp macro="" textlink="">
      <xdr:nvSpPr>
        <xdr:cNvPr id="76" name="AutoShape 95" descr="+">
          <a:extLst>
            <a:ext uri="{FF2B5EF4-FFF2-40B4-BE49-F238E27FC236}">
              <a16:creationId xmlns:a16="http://schemas.microsoft.com/office/drawing/2014/main" id="{00000000-0008-0000-0B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77" name="AutoShape 96" descr="+">
          <a:extLst>
            <a:ext uri="{FF2B5EF4-FFF2-40B4-BE49-F238E27FC236}">
              <a16:creationId xmlns:a16="http://schemas.microsoft.com/office/drawing/2014/main" id="{00000000-0008-0000-0B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78" name="AutoShape 97" descr="+">
          <a:extLst>
            <a:ext uri="{FF2B5EF4-FFF2-40B4-BE49-F238E27FC236}">
              <a16:creationId xmlns:a16="http://schemas.microsoft.com/office/drawing/2014/main" id="{00000000-0008-0000-0B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79" name="AutoShape 98" descr="+">
          <a:extLst>
            <a:ext uri="{FF2B5EF4-FFF2-40B4-BE49-F238E27FC236}">
              <a16:creationId xmlns:a16="http://schemas.microsoft.com/office/drawing/2014/main" id="{00000000-0008-0000-0B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80" name="AutoShape 99" descr="+">
          <a:extLst>
            <a:ext uri="{FF2B5EF4-FFF2-40B4-BE49-F238E27FC236}">
              <a16:creationId xmlns:a16="http://schemas.microsoft.com/office/drawing/2014/main" id="{00000000-0008-0000-0B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81" name="AutoShape 100" descr="+">
          <a:extLst>
            <a:ext uri="{FF2B5EF4-FFF2-40B4-BE49-F238E27FC236}">
              <a16:creationId xmlns:a16="http://schemas.microsoft.com/office/drawing/2014/main" id="{00000000-0008-0000-0B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82" name="AutoShape 101" descr="+">
          <a:extLst>
            <a:ext uri="{FF2B5EF4-FFF2-40B4-BE49-F238E27FC236}">
              <a16:creationId xmlns:a16="http://schemas.microsoft.com/office/drawing/2014/main" id="{00000000-0008-0000-0B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83" name="AutoShape 102" descr="+">
          <a:extLst>
            <a:ext uri="{FF2B5EF4-FFF2-40B4-BE49-F238E27FC236}">
              <a16:creationId xmlns:a16="http://schemas.microsoft.com/office/drawing/2014/main" id="{00000000-0008-0000-0B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84" name="AutoShape 103" descr="+">
          <a:extLst>
            <a:ext uri="{FF2B5EF4-FFF2-40B4-BE49-F238E27FC236}">
              <a16:creationId xmlns:a16="http://schemas.microsoft.com/office/drawing/2014/main" id="{00000000-0008-0000-0B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85" name="AutoShape 104" descr="+">
          <a:extLst>
            <a:ext uri="{FF2B5EF4-FFF2-40B4-BE49-F238E27FC236}">
              <a16:creationId xmlns:a16="http://schemas.microsoft.com/office/drawing/2014/main" id="{00000000-0008-0000-0B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10207</xdr:rowOff>
    </xdr:to>
    <xdr:sp macro="" textlink="">
      <xdr:nvSpPr>
        <xdr:cNvPr id="86" name="AutoShape 105" descr="+">
          <a:extLst>
            <a:ext uri="{FF2B5EF4-FFF2-40B4-BE49-F238E27FC236}">
              <a16:creationId xmlns:a16="http://schemas.microsoft.com/office/drawing/2014/main" id="{00000000-0008-0000-0B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38779</xdr:rowOff>
    </xdr:to>
    <xdr:sp macro="" textlink="">
      <xdr:nvSpPr>
        <xdr:cNvPr id="87" name="AutoShape 106" descr="+">
          <a:extLst>
            <a:ext uri="{FF2B5EF4-FFF2-40B4-BE49-F238E27FC236}">
              <a16:creationId xmlns:a16="http://schemas.microsoft.com/office/drawing/2014/main" id="{00000000-0008-0000-0B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42184</xdr:rowOff>
    </xdr:to>
    <xdr:sp macro="" textlink="">
      <xdr:nvSpPr>
        <xdr:cNvPr id="88" name="AutoShape 107" descr="+">
          <a:extLst>
            <a:ext uri="{FF2B5EF4-FFF2-40B4-BE49-F238E27FC236}">
              <a16:creationId xmlns:a16="http://schemas.microsoft.com/office/drawing/2014/main" id="{00000000-0008-0000-0B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89" name="AutoShape 108" descr="+">
          <a:extLst>
            <a:ext uri="{FF2B5EF4-FFF2-40B4-BE49-F238E27FC236}">
              <a16:creationId xmlns:a16="http://schemas.microsoft.com/office/drawing/2014/main" id="{00000000-0008-0000-0B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90" name="AutoShape 109" descr="+">
          <a:extLst>
            <a:ext uri="{FF2B5EF4-FFF2-40B4-BE49-F238E27FC236}">
              <a16:creationId xmlns:a16="http://schemas.microsoft.com/office/drawing/2014/main" id="{00000000-0008-0000-0B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91" name="AutoShape 110" descr="+">
          <a:extLst>
            <a:ext uri="{FF2B5EF4-FFF2-40B4-BE49-F238E27FC236}">
              <a16:creationId xmlns:a16="http://schemas.microsoft.com/office/drawing/2014/main" id="{00000000-0008-0000-0B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2" name="AutoShape 111" descr="+">
          <a:extLst>
            <a:ext uri="{FF2B5EF4-FFF2-40B4-BE49-F238E27FC236}">
              <a16:creationId xmlns:a16="http://schemas.microsoft.com/office/drawing/2014/main" id="{00000000-0008-0000-0B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3" name="AutoShape 112" descr="+">
          <a:extLst>
            <a:ext uri="{FF2B5EF4-FFF2-40B4-BE49-F238E27FC236}">
              <a16:creationId xmlns:a16="http://schemas.microsoft.com/office/drawing/2014/main" id="{00000000-0008-0000-0B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29532</xdr:rowOff>
    </xdr:to>
    <xdr:sp macro="" textlink="">
      <xdr:nvSpPr>
        <xdr:cNvPr id="94" name="AutoShape 113" descr="+">
          <a:extLst>
            <a:ext uri="{FF2B5EF4-FFF2-40B4-BE49-F238E27FC236}">
              <a16:creationId xmlns:a16="http://schemas.microsoft.com/office/drawing/2014/main" id="{00000000-0008-0000-0B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5" name="AutoShape 114" descr="+">
          <a:extLst>
            <a:ext uri="{FF2B5EF4-FFF2-40B4-BE49-F238E27FC236}">
              <a16:creationId xmlns:a16="http://schemas.microsoft.com/office/drawing/2014/main" id="{00000000-0008-0000-0B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6" name="AutoShape 115" descr="+">
          <a:extLst>
            <a:ext uri="{FF2B5EF4-FFF2-40B4-BE49-F238E27FC236}">
              <a16:creationId xmlns:a16="http://schemas.microsoft.com/office/drawing/2014/main" id="{00000000-0008-0000-0B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7" name="AutoShape 116" descr="+">
          <a:extLst>
            <a:ext uri="{FF2B5EF4-FFF2-40B4-BE49-F238E27FC236}">
              <a16:creationId xmlns:a16="http://schemas.microsoft.com/office/drawing/2014/main" id="{00000000-0008-0000-0B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8" name="AutoShape 117" descr="+">
          <a:extLst>
            <a:ext uri="{FF2B5EF4-FFF2-40B4-BE49-F238E27FC236}">
              <a16:creationId xmlns:a16="http://schemas.microsoft.com/office/drawing/2014/main" id="{00000000-0008-0000-0B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9" name="AutoShape 118" descr="+">
          <a:extLst>
            <a:ext uri="{FF2B5EF4-FFF2-40B4-BE49-F238E27FC236}">
              <a16:creationId xmlns:a16="http://schemas.microsoft.com/office/drawing/2014/main" id="{00000000-0008-0000-0B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00" name="AutoShape 119" descr="+">
          <a:extLst>
            <a:ext uri="{FF2B5EF4-FFF2-40B4-BE49-F238E27FC236}">
              <a16:creationId xmlns:a16="http://schemas.microsoft.com/office/drawing/2014/main" id="{00000000-0008-0000-0B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01" name="AutoShape 120" descr="+">
          <a:extLst>
            <a:ext uri="{FF2B5EF4-FFF2-40B4-BE49-F238E27FC236}">
              <a16:creationId xmlns:a16="http://schemas.microsoft.com/office/drawing/2014/main" id="{00000000-0008-0000-0B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02" name="AutoShape 121" descr="+">
          <a:extLst>
            <a:ext uri="{FF2B5EF4-FFF2-40B4-BE49-F238E27FC236}">
              <a16:creationId xmlns:a16="http://schemas.microsoft.com/office/drawing/2014/main" id="{00000000-0008-0000-0B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103" name="AutoShape 122" descr="+">
          <a:extLst>
            <a:ext uri="{FF2B5EF4-FFF2-40B4-BE49-F238E27FC236}">
              <a16:creationId xmlns:a16="http://schemas.microsoft.com/office/drawing/2014/main" id="{00000000-0008-0000-0B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04" name="AutoShape 123" descr="+">
          <a:extLst>
            <a:ext uri="{FF2B5EF4-FFF2-40B4-BE49-F238E27FC236}">
              <a16:creationId xmlns:a16="http://schemas.microsoft.com/office/drawing/2014/main" id="{00000000-0008-0000-0B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05" name="AutoShape 124" descr="+">
          <a:extLst>
            <a:ext uri="{FF2B5EF4-FFF2-40B4-BE49-F238E27FC236}">
              <a16:creationId xmlns:a16="http://schemas.microsoft.com/office/drawing/2014/main" id="{00000000-0008-0000-0B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06" name="AutoShape 125" descr="+">
          <a:extLst>
            <a:ext uri="{FF2B5EF4-FFF2-40B4-BE49-F238E27FC236}">
              <a16:creationId xmlns:a16="http://schemas.microsoft.com/office/drawing/2014/main" id="{00000000-0008-0000-0B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07" name="AutoShape 126" descr="+">
          <a:extLst>
            <a:ext uri="{FF2B5EF4-FFF2-40B4-BE49-F238E27FC236}">
              <a16:creationId xmlns:a16="http://schemas.microsoft.com/office/drawing/2014/main" id="{00000000-0008-0000-0B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108" name="AutoShape 127" descr="+">
          <a:extLst>
            <a:ext uri="{FF2B5EF4-FFF2-40B4-BE49-F238E27FC236}">
              <a16:creationId xmlns:a16="http://schemas.microsoft.com/office/drawing/2014/main" id="{00000000-0008-0000-0B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41163</xdr:rowOff>
    </xdr:to>
    <xdr:sp macro="" textlink="">
      <xdr:nvSpPr>
        <xdr:cNvPr id="109" name="AutoShape 128" descr="+">
          <a:extLst>
            <a:ext uri="{FF2B5EF4-FFF2-40B4-BE49-F238E27FC236}">
              <a16:creationId xmlns:a16="http://schemas.microsoft.com/office/drawing/2014/main" id="{00000000-0008-0000-0B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10" name="AutoShape 129" descr="+">
          <a:extLst>
            <a:ext uri="{FF2B5EF4-FFF2-40B4-BE49-F238E27FC236}">
              <a16:creationId xmlns:a16="http://schemas.microsoft.com/office/drawing/2014/main" id="{00000000-0008-0000-0B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11" name="AutoShape 130" descr="+">
          <a:extLst>
            <a:ext uri="{FF2B5EF4-FFF2-40B4-BE49-F238E27FC236}">
              <a16:creationId xmlns:a16="http://schemas.microsoft.com/office/drawing/2014/main" id="{00000000-0008-0000-0B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12" name="AutoShape 131" descr="+">
          <a:extLst>
            <a:ext uri="{FF2B5EF4-FFF2-40B4-BE49-F238E27FC236}">
              <a16:creationId xmlns:a16="http://schemas.microsoft.com/office/drawing/2014/main" id="{00000000-0008-0000-0B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3" name="AutoShape 132" descr="+">
          <a:extLst>
            <a:ext uri="{FF2B5EF4-FFF2-40B4-BE49-F238E27FC236}">
              <a16:creationId xmlns:a16="http://schemas.microsoft.com/office/drawing/2014/main" id="{00000000-0008-0000-0B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4" name="AutoShape 133" descr="+">
          <a:extLst>
            <a:ext uri="{FF2B5EF4-FFF2-40B4-BE49-F238E27FC236}">
              <a16:creationId xmlns:a16="http://schemas.microsoft.com/office/drawing/2014/main" id="{00000000-0008-0000-0B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15" name="AutoShape 134" descr="+">
          <a:extLst>
            <a:ext uri="{FF2B5EF4-FFF2-40B4-BE49-F238E27FC236}">
              <a16:creationId xmlns:a16="http://schemas.microsoft.com/office/drawing/2014/main" id="{00000000-0008-0000-0B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6" name="AutoShape 135" descr="+">
          <a:extLst>
            <a:ext uri="{FF2B5EF4-FFF2-40B4-BE49-F238E27FC236}">
              <a16:creationId xmlns:a16="http://schemas.microsoft.com/office/drawing/2014/main" id="{00000000-0008-0000-0B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7" name="AutoShape 136" descr="+">
          <a:extLst>
            <a:ext uri="{FF2B5EF4-FFF2-40B4-BE49-F238E27FC236}">
              <a16:creationId xmlns:a16="http://schemas.microsoft.com/office/drawing/2014/main" id="{00000000-0008-0000-0B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18" name="AutoShape 137" descr="+">
          <a:extLst>
            <a:ext uri="{FF2B5EF4-FFF2-40B4-BE49-F238E27FC236}">
              <a16:creationId xmlns:a16="http://schemas.microsoft.com/office/drawing/2014/main" id="{00000000-0008-0000-0B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9" name="AutoShape 138" descr="+">
          <a:extLst>
            <a:ext uri="{FF2B5EF4-FFF2-40B4-BE49-F238E27FC236}">
              <a16:creationId xmlns:a16="http://schemas.microsoft.com/office/drawing/2014/main" id="{00000000-0008-0000-0B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20" name="AutoShape 139" descr="+">
          <a:extLst>
            <a:ext uri="{FF2B5EF4-FFF2-40B4-BE49-F238E27FC236}">
              <a16:creationId xmlns:a16="http://schemas.microsoft.com/office/drawing/2014/main" id="{00000000-0008-0000-0B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21" name="AutoShape 140" descr="+">
          <a:extLst>
            <a:ext uri="{FF2B5EF4-FFF2-40B4-BE49-F238E27FC236}">
              <a16:creationId xmlns:a16="http://schemas.microsoft.com/office/drawing/2014/main" id="{00000000-0008-0000-0B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22" name="AutoShape 141" descr="+">
          <a:extLst>
            <a:ext uri="{FF2B5EF4-FFF2-40B4-BE49-F238E27FC236}">
              <a16:creationId xmlns:a16="http://schemas.microsoft.com/office/drawing/2014/main" id="{00000000-0008-0000-0B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23" name="AutoShape 142" descr="+">
          <a:extLst>
            <a:ext uri="{FF2B5EF4-FFF2-40B4-BE49-F238E27FC236}">
              <a16:creationId xmlns:a16="http://schemas.microsoft.com/office/drawing/2014/main" id="{00000000-0008-0000-0B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43</xdr:row>
      <xdr:rowOff>3478</xdr:rowOff>
    </xdr:to>
    <xdr:sp macro="" textlink="">
      <xdr:nvSpPr>
        <xdr:cNvPr id="124" name="AutoShape 143" descr="+">
          <a:extLst>
            <a:ext uri="{FF2B5EF4-FFF2-40B4-BE49-F238E27FC236}">
              <a16:creationId xmlns:a16="http://schemas.microsoft.com/office/drawing/2014/main" id="{00000000-0008-0000-0B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25" name="AutoShape 144" descr="+">
          <a:extLst>
            <a:ext uri="{FF2B5EF4-FFF2-40B4-BE49-F238E27FC236}">
              <a16:creationId xmlns:a16="http://schemas.microsoft.com/office/drawing/2014/main" id="{00000000-0008-0000-0B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26" name="AutoShape 145" descr="+">
          <a:extLst>
            <a:ext uri="{FF2B5EF4-FFF2-40B4-BE49-F238E27FC236}">
              <a16:creationId xmlns:a16="http://schemas.microsoft.com/office/drawing/2014/main" id="{00000000-0008-0000-0B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27" name="AutoShape 146" descr="+">
          <a:extLst>
            <a:ext uri="{FF2B5EF4-FFF2-40B4-BE49-F238E27FC236}">
              <a16:creationId xmlns:a16="http://schemas.microsoft.com/office/drawing/2014/main" id="{00000000-0008-0000-0B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28" name="AutoShape 147" descr="+">
          <a:extLst>
            <a:ext uri="{FF2B5EF4-FFF2-40B4-BE49-F238E27FC236}">
              <a16:creationId xmlns:a16="http://schemas.microsoft.com/office/drawing/2014/main" id="{00000000-0008-0000-0B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129" name="AutoShape 148" descr="+">
          <a:extLst>
            <a:ext uri="{FF2B5EF4-FFF2-40B4-BE49-F238E27FC236}">
              <a16:creationId xmlns:a16="http://schemas.microsoft.com/office/drawing/2014/main" id="{00000000-0008-0000-0B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130" name="AutoShape 149" descr="+">
          <a:extLst>
            <a:ext uri="{FF2B5EF4-FFF2-40B4-BE49-F238E27FC236}">
              <a16:creationId xmlns:a16="http://schemas.microsoft.com/office/drawing/2014/main" id="{00000000-0008-0000-0B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31" name="AutoShape 150" descr="+">
          <a:extLst>
            <a:ext uri="{FF2B5EF4-FFF2-40B4-BE49-F238E27FC236}">
              <a16:creationId xmlns:a16="http://schemas.microsoft.com/office/drawing/2014/main" id="{00000000-0008-0000-0B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32" name="AutoShape 151" descr="+">
          <a:extLst>
            <a:ext uri="{FF2B5EF4-FFF2-40B4-BE49-F238E27FC236}">
              <a16:creationId xmlns:a16="http://schemas.microsoft.com/office/drawing/2014/main" id="{00000000-0008-0000-0B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33" name="AutoShape 152" descr="+">
          <a:extLst>
            <a:ext uri="{FF2B5EF4-FFF2-40B4-BE49-F238E27FC236}">
              <a16:creationId xmlns:a16="http://schemas.microsoft.com/office/drawing/2014/main" id="{00000000-0008-0000-0B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142870</xdr:rowOff>
    </xdr:to>
    <xdr:sp macro="" textlink="">
      <xdr:nvSpPr>
        <xdr:cNvPr id="134" name="AutoShape 153" descr="+">
          <a:extLst>
            <a:ext uri="{FF2B5EF4-FFF2-40B4-BE49-F238E27FC236}">
              <a16:creationId xmlns:a16="http://schemas.microsoft.com/office/drawing/2014/main" id="{00000000-0008-0000-0B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10484</xdr:rowOff>
    </xdr:to>
    <xdr:sp macro="" textlink="">
      <xdr:nvSpPr>
        <xdr:cNvPr id="135" name="AutoShape 154" descr="+">
          <a:extLst>
            <a:ext uri="{FF2B5EF4-FFF2-40B4-BE49-F238E27FC236}">
              <a16:creationId xmlns:a16="http://schemas.microsoft.com/office/drawing/2014/main" id="{00000000-0008-0000-0B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36" name="AutoShape 155" descr="+">
          <a:extLst>
            <a:ext uri="{FF2B5EF4-FFF2-40B4-BE49-F238E27FC236}">
              <a16:creationId xmlns:a16="http://schemas.microsoft.com/office/drawing/2014/main" id="{00000000-0008-0000-0B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42184</xdr:rowOff>
    </xdr:to>
    <xdr:sp macro="" textlink="">
      <xdr:nvSpPr>
        <xdr:cNvPr id="137" name="AutoShape 156" descr="+">
          <a:extLst>
            <a:ext uri="{FF2B5EF4-FFF2-40B4-BE49-F238E27FC236}">
              <a16:creationId xmlns:a16="http://schemas.microsoft.com/office/drawing/2014/main" id="{00000000-0008-0000-0B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42186</xdr:rowOff>
    </xdr:to>
    <xdr:sp macro="" textlink="">
      <xdr:nvSpPr>
        <xdr:cNvPr id="138" name="AutoShape 157" descr="+">
          <a:extLst>
            <a:ext uri="{FF2B5EF4-FFF2-40B4-BE49-F238E27FC236}">
              <a16:creationId xmlns:a16="http://schemas.microsoft.com/office/drawing/2014/main" id="{00000000-0008-0000-0B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39" name="AutoShape 158" descr="+">
          <a:extLst>
            <a:ext uri="{FF2B5EF4-FFF2-40B4-BE49-F238E27FC236}">
              <a16:creationId xmlns:a16="http://schemas.microsoft.com/office/drawing/2014/main" id="{00000000-0008-0000-0B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40" name="AutoShape 159" descr="+">
          <a:extLst>
            <a:ext uri="{FF2B5EF4-FFF2-40B4-BE49-F238E27FC236}">
              <a16:creationId xmlns:a16="http://schemas.microsoft.com/office/drawing/2014/main" id="{00000000-0008-0000-0B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24770</xdr:rowOff>
    </xdr:to>
    <xdr:sp macro="" textlink="">
      <xdr:nvSpPr>
        <xdr:cNvPr id="141" name="AutoShape 160" descr="+">
          <a:extLst>
            <a:ext uri="{FF2B5EF4-FFF2-40B4-BE49-F238E27FC236}">
              <a16:creationId xmlns:a16="http://schemas.microsoft.com/office/drawing/2014/main" id="{00000000-0008-0000-0B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42" name="AutoShape 161" descr="+">
          <a:extLst>
            <a:ext uri="{FF2B5EF4-FFF2-40B4-BE49-F238E27FC236}">
              <a16:creationId xmlns:a16="http://schemas.microsoft.com/office/drawing/2014/main" id="{00000000-0008-0000-0B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3" name="AutoShape 162" descr="+">
          <a:extLst>
            <a:ext uri="{FF2B5EF4-FFF2-40B4-BE49-F238E27FC236}">
              <a16:creationId xmlns:a16="http://schemas.microsoft.com/office/drawing/2014/main" id="{00000000-0008-0000-0B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44" name="AutoShape 163" descr="+">
          <a:extLst>
            <a:ext uri="{FF2B5EF4-FFF2-40B4-BE49-F238E27FC236}">
              <a16:creationId xmlns:a16="http://schemas.microsoft.com/office/drawing/2014/main" id="{00000000-0008-0000-0B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145" name="AutoShape 164" descr="+">
          <a:extLst>
            <a:ext uri="{FF2B5EF4-FFF2-40B4-BE49-F238E27FC236}">
              <a16:creationId xmlns:a16="http://schemas.microsoft.com/office/drawing/2014/main" id="{00000000-0008-0000-0B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6" name="AutoShape 165" descr="+">
          <a:extLst>
            <a:ext uri="{FF2B5EF4-FFF2-40B4-BE49-F238E27FC236}">
              <a16:creationId xmlns:a16="http://schemas.microsoft.com/office/drawing/2014/main" id="{00000000-0008-0000-0B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7" name="AutoShape 166" descr="+">
          <a:extLst>
            <a:ext uri="{FF2B5EF4-FFF2-40B4-BE49-F238E27FC236}">
              <a16:creationId xmlns:a16="http://schemas.microsoft.com/office/drawing/2014/main" id="{00000000-0008-0000-0B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148" name="AutoShape 167" descr="+">
          <a:extLst>
            <a:ext uri="{FF2B5EF4-FFF2-40B4-BE49-F238E27FC236}">
              <a16:creationId xmlns:a16="http://schemas.microsoft.com/office/drawing/2014/main" id="{00000000-0008-0000-0B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146959</xdr:rowOff>
    </xdr:to>
    <xdr:sp macro="" textlink="">
      <xdr:nvSpPr>
        <xdr:cNvPr id="149" name="AutoShape 168" descr="+">
          <a:extLst>
            <a:ext uri="{FF2B5EF4-FFF2-40B4-BE49-F238E27FC236}">
              <a16:creationId xmlns:a16="http://schemas.microsoft.com/office/drawing/2014/main" id="{00000000-0008-0000-0B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13607</xdr:rowOff>
    </xdr:to>
    <xdr:sp macro="" textlink="">
      <xdr:nvSpPr>
        <xdr:cNvPr id="150" name="AutoShape 169" descr="+">
          <a:extLst>
            <a:ext uri="{FF2B5EF4-FFF2-40B4-BE49-F238E27FC236}">
              <a16:creationId xmlns:a16="http://schemas.microsoft.com/office/drawing/2014/main" id="{00000000-0008-0000-0B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42180</xdr:rowOff>
    </xdr:to>
    <xdr:sp macro="" textlink="">
      <xdr:nvSpPr>
        <xdr:cNvPr id="151" name="AutoShape 170" descr="+">
          <a:extLst>
            <a:ext uri="{FF2B5EF4-FFF2-40B4-BE49-F238E27FC236}">
              <a16:creationId xmlns:a16="http://schemas.microsoft.com/office/drawing/2014/main" id="{00000000-0008-0000-0B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146957</xdr:rowOff>
    </xdr:to>
    <xdr:sp macro="" textlink="">
      <xdr:nvSpPr>
        <xdr:cNvPr id="152" name="AutoShape 171" descr="+">
          <a:extLst>
            <a:ext uri="{FF2B5EF4-FFF2-40B4-BE49-F238E27FC236}">
              <a16:creationId xmlns:a16="http://schemas.microsoft.com/office/drawing/2014/main" id="{00000000-0008-0000-0B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153" name="AutoShape 172" descr="+">
          <a:extLst>
            <a:ext uri="{FF2B5EF4-FFF2-40B4-BE49-F238E27FC236}">
              <a16:creationId xmlns:a16="http://schemas.microsoft.com/office/drawing/2014/main" id="{00000000-0008-0000-0B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54" name="AutoShape 173" descr="+">
          <a:extLst>
            <a:ext uri="{FF2B5EF4-FFF2-40B4-BE49-F238E27FC236}">
              <a16:creationId xmlns:a16="http://schemas.microsoft.com/office/drawing/2014/main" id="{00000000-0008-0000-0B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55" name="AutoShape 174" descr="+">
          <a:extLst>
            <a:ext uri="{FF2B5EF4-FFF2-40B4-BE49-F238E27FC236}">
              <a16:creationId xmlns:a16="http://schemas.microsoft.com/office/drawing/2014/main" id="{00000000-0008-0000-0B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56" name="AutoShape 175" descr="+">
          <a:extLst>
            <a:ext uri="{FF2B5EF4-FFF2-40B4-BE49-F238E27FC236}">
              <a16:creationId xmlns:a16="http://schemas.microsoft.com/office/drawing/2014/main" id="{00000000-0008-0000-0B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57" name="AutoShape 176" descr="+">
          <a:extLst>
            <a:ext uri="{FF2B5EF4-FFF2-40B4-BE49-F238E27FC236}">
              <a16:creationId xmlns:a16="http://schemas.microsoft.com/office/drawing/2014/main" id="{00000000-0008-0000-0B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58" name="AutoShape 177" descr="+">
          <a:extLst>
            <a:ext uri="{FF2B5EF4-FFF2-40B4-BE49-F238E27FC236}">
              <a16:creationId xmlns:a16="http://schemas.microsoft.com/office/drawing/2014/main" id="{00000000-0008-0000-0B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59" name="AutoShape 178" descr="+">
          <a:extLst>
            <a:ext uri="{FF2B5EF4-FFF2-40B4-BE49-F238E27FC236}">
              <a16:creationId xmlns:a16="http://schemas.microsoft.com/office/drawing/2014/main" id="{00000000-0008-0000-0B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60" name="AutoShape 179" descr="+">
          <a:extLst>
            <a:ext uri="{FF2B5EF4-FFF2-40B4-BE49-F238E27FC236}">
              <a16:creationId xmlns:a16="http://schemas.microsoft.com/office/drawing/2014/main" id="{00000000-0008-0000-0B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29536</xdr:rowOff>
    </xdr:to>
    <xdr:sp macro="" textlink="">
      <xdr:nvSpPr>
        <xdr:cNvPr id="161" name="AutoShape 180" descr="+">
          <a:extLst>
            <a:ext uri="{FF2B5EF4-FFF2-40B4-BE49-F238E27FC236}">
              <a16:creationId xmlns:a16="http://schemas.microsoft.com/office/drawing/2014/main" id="{00000000-0008-0000-0B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48582</xdr:rowOff>
    </xdr:to>
    <xdr:sp macro="" textlink="">
      <xdr:nvSpPr>
        <xdr:cNvPr id="162" name="AutoShape 181" descr="+">
          <a:extLst>
            <a:ext uri="{FF2B5EF4-FFF2-40B4-BE49-F238E27FC236}">
              <a16:creationId xmlns:a16="http://schemas.microsoft.com/office/drawing/2014/main" id="{00000000-0008-0000-0B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147990</xdr:rowOff>
    </xdr:to>
    <xdr:sp macro="" textlink="">
      <xdr:nvSpPr>
        <xdr:cNvPr id="163" name="AutoShape 182" descr="+">
          <a:extLst>
            <a:ext uri="{FF2B5EF4-FFF2-40B4-BE49-F238E27FC236}">
              <a16:creationId xmlns:a16="http://schemas.microsoft.com/office/drawing/2014/main" id="{00000000-0008-0000-0B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64" name="AutoShape 183" descr="+">
          <a:extLst>
            <a:ext uri="{FF2B5EF4-FFF2-40B4-BE49-F238E27FC236}">
              <a16:creationId xmlns:a16="http://schemas.microsoft.com/office/drawing/2014/main" id="{00000000-0008-0000-0B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65" name="AutoShape 184" descr="+">
          <a:extLst>
            <a:ext uri="{FF2B5EF4-FFF2-40B4-BE49-F238E27FC236}">
              <a16:creationId xmlns:a16="http://schemas.microsoft.com/office/drawing/2014/main" id="{00000000-0008-0000-0B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166" name="AutoShape 185" descr="+">
          <a:extLst>
            <a:ext uri="{FF2B5EF4-FFF2-40B4-BE49-F238E27FC236}">
              <a16:creationId xmlns:a16="http://schemas.microsoft.com/office/drawing/2014/main" id="{00000000-0008-0000-0B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67" name="AutoShape 186" descr="+">
          <a:extLst>
            <a:ext uri="{FF2B5EF4-FFF2-40B4-BE49-F238E27FC236}">
              <a16:creationId xmlns:a16="http://schemas.microsoft.com/office/drawing/2014/main" id="{00000000-0008-0000-0B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68" name="AutoShape 187" descr="+">
          <a:extLst>
            <a:ext uri="{FF2B5EF4-FFF2-40B4-BE49-F238E27FC236}">
              <a16:creationId xmlns:a16="http://schemas.microsoft.com/office/drawing/2014/main" id="{00000000-0008-0000-0B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169" name="AutoShape 188" descr="+">
          <a:extLst>
            <a:ext uri="{FF2B5EF4-FFF2-40B4-BE49-F238E27FC236}">
              <a16:creationId xmlns:a16="http://schemas.microsoft.com/office/drawing/2014/main" id="{00000000-0008-0000-0B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70" name="AutoShape 189" descr="+">
          <a:extLst>
            <a:ext uri="{FF2B5EF4-FFF2-40B4-BE49-F238E27FC236}">
              <a16:creationId xmlns:a16="http://schemas.microsoft.com/office/drawing/2014/main" id="{00000000-0008-0000-0B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10483</xdr:rowOff>
    </xdr:to>
    <xdr:sp macro="" textlink="">
      <xdr:nvSpPr>
        <xdr:cNvPr id="171" name="AutoShape 190" descr="+">
          <a:extLst>
            <a:ext uri="{FF2B5EF4-FFF2-40B4-BE49-F238E27FC236}">
              <a16:creationId xmlns:a16="http://schemas.microsoft.com/office/drawing/2014/main" id="{00000000-0008-0000-0B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72" name="AutoShape 191" descr="+">
          <a:extLst>
            <a:ext uri="{FF2B5EF4-FFF2-40B4-BE49-F238E27FC236}">
              <a16:creationId xmlns:a16="http://schemas.microsoft.com/office/drawing/2014/main" id="{00000000-0008-0000-0B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73" name="AutoShape 192" descr="+">
          <a:extLst>
            <a:ext uri="{FF2B5EF4-FFF2-40B4-BE49-F238E27FC236}">
              <a16:creationId xmlns:a16="http://schemas.microsoft.com/office/drawing/2014/main" id="{00000000-0008-0000-0B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74" name="AutoShape 193" descr="+">
          <a:extLst>
            <a:ext uri="{FF2B5EF4-FFF2-40B4-BE49-F238E27FC236}">
              <a16:creationId xmlns:a16="http://schemas.microsoft.com/office/drawing/2014/main" id="{00000000-0008-0000-0B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75" name="AutoShape 194" descr="+">
          <a:extLst>
            <a:ext uri="{FF2B5EF4-FFF2-40B4-BE49-F238E27FC236}">
              <a16:creationId xmlns:a16="http://schemas.microsoft.com/office/drawing/2014/main" id="{00000000-0008-0000-0B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176" name="AutoShape 195" descr="+">
          <a:extLst>
            <a:ext uri="{FF2B5EF4-FFF2-40B4-BE49-F238E27FC236}">
              <a16:creationId xmlns:a16="http://schemas.microsoft.com/office/drawing/2014/main" id="{00000000-0008-0000-0B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177" name="AutoShape 196" descr="+">
          <a:extLst>
            <a:ext uri="{FF2B5EF4-FFF2-40B4-BE49-F238E27FC236}">
              <a16:creationId xmlns:a16="http://schemas.microsoft.com/office/drawing/2014/main" id="{00000000-0008-0000-0B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142874</xdr:rowOff>
    </xdr:to>
    <xdr:sp macro="" textlink="">
      <xdr:nvSpPr>
        <xdr:cNvPr id="178" name="AutoShape 197" descr="+">
          <a:extLst>
            <a:ext uri="{FF2B5EF4-FFF2-40B4-BE49-F238E27FC236}">
              <a16:creationId xmlns:a16="http://schemas.microsoft.com/office/drawing/2014/main" id="{00000000-0008-0000-0B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79" name="AutoShape 198" descr="+">
          <a:extLst>
            <a:ext uri="{FF2B5EF4-FFF2-40B4-BE49-F238E27FC236}">
              <a16:creationId xmlns:a16="http://schemas.microsoft.com/office/drawing/2014/main" id="{00000000-0008-0000-0B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80" name="AutoShape 199" descr="+">
          <a:extLst>
            <a:ext uri="{FF2B5EF4-FFF2-40B4-BE49-F238E27FC236}">
              <a16:creationId xmlns:a16="http://schemas.microsoft.com/office/drawing/2014/main" id="{00000000-0008-0000-0B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21544</xdr:rowOff>
    </xdr:to>
    <xdr:sp macro="" textlink="">
      <xdr:nvSpPr>
        <xdr:cNvPr id="181" name="AutoShape 200" descr="+">
          <a:extLst>
            <a:ext uri="{FF2B5EF4-FFF2-40B4-BE49-F238E27FC236}">
              <a16:creationId xmlns:a16="http://schemas.microsoft.com/office/drawing/2014/main" id="{00000000-0008-0000-0B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82" name="AutoShape 201" descr="+">
          <a:extLst>
            <a:ext uri="{FF2B5EF4-FFF2-40B4-BE49-F238E27FC236}">
              <a16:creationId xmlns:a16="http://schemas.microsoft.com/office/drawing/2014/main" id="{00000000-0008-0000-0B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83" name="AutoShape 202" descr="+">
          <a:extLst>
            <a:ext uri="{FF2B5EF4-FFF2-40B4-BE49-F238E27FC236}">
              <a16:creationId xmlns:a16="http://schemas.microsoft.com/office/drawing/2014/main" id="{00000000-0008-0000-0B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84" name="AutoShape 203" descr="+">
          <a:extLst>
            <a:ext uri="{FF2B5EF4-FFF2-40B4-BE49-F238E27FC236}">
              <a16:creationId xmlns:a16="http://schemas.microsoft.com/office/drawing/2014/main" id="{00000000-0008-0000-0B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85" name="AutoShape 204" descr="+">
          <a:extLst>
            <a:ext uri="{FF2B5EF4-FFF2-40B4-BE49-F238E27FC236}">
              <a16:creationId xmlns:a16="http://schemas.microsoft.com/office/drawing/2014/main" id="{00000000-0008-0000-0B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86" name="AutoShape 205" descr="+">
          <a:extLst>
            <a:ext uri="{FF2B5EF4-FFF2-40B4-BE49-F238E27FC236}">
              <a16:creationId xmlns:a16="http://schemas.microsoft.com/office/drawing/2014/main" id="{00000000-0008-0000-0B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87" name="AutoShape 206" descr="+">
          <a:extLst>
            <a:ext uri="{FF2B5EF4-FFF2-40B4-BE49-F238E27FC236}">
              <a16:creationId xmlns:a16="http://schemas.microsoft.com/office/drawing/2014/main" id="{00000000-0008-0000-0B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188" name="AutoShape 207" descr="+">
          <a:extLst>
            <a:ext uri="{FF2B5EF4-FFF2-40B4-BE49-F238E27FC236}">
              <a16:creationId xmlns:a16="http://schemas.microsoft.com/office/drawing/2014/main" id="{00000000-0008-0000-0B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89" name="AutoShape 208" descr="+">
          <a:extLst>
            <a:ext uri="{FF2B5EF4-FFF2-40B4-BE49-F238E27FC236}">
              <a16:creationId xmlns:a16="http://schemas.microsoft.com/office/drawing/2014/main" id="{00000000-0008-0000-0B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90" name="AutoShape 209" descr="+">
          <a:extLst>
            <a:ext uri="{FF2B5EF4-FFF2-40B4-BE49-F238E27FC236}">
              <a16:creationId xmlns:a16="http://schemas.microsoft.com/office/drawing/2014/main" id="{00000000-0008-0000-0B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29535</xdr:rowOff>
    </xdr:to>
    <xdr:sp macro="" textlink="">
      <xdr:nvSpPr>
        <xdr:cNvPr id="191" name="AutoShape 210" descr="+">
          <a:extLst>
            <a:ext uri="{FF2B5EF4-FFF2-40B4-BE49-F238E27FC236}">
              <a16:creationId xmlns:a16="http://schemas.microsoft.com/office/drawing/2014/main" id="{00000000-0008-0000-0B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142874</xdr:rowOff>
    </xdr:to>
    <xdr:sp macro="" textlink="">
      <xdr:nvSpPr>
        <xdr:cNvPr id="192" name="AutoShape 211" descr="+">
          <a:extLst>
            <a:ext uri="{FF2B5EF4-FFF2-40B4-BE49-F238E27FC236}">
              <a16:creationId xmlns:a16="http://schemas.microsoft.com/office/drawing/2014/main" id="{00000000-0008-0000-0B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114904</xdr:rowOff>
    </xdr:to>
    <xdr:sp macro="" textlink="">
      <xdr:nvSpPr>
        <xdr:cNvPr id="193" name="AutoShape 212" descr="+">
          <a:extLst>
            <a:ext uri="{FF2B5EF4-FFF2-40B4-BE49-F238E27FC236}">
              <a16:creationId xmlns:a16="http://schemas.microsoft.com/office/drawing/2014/main" id="{00000000-0008-0000-0B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94" name="AutoShape 213" descr="+">
          <a:extLst>
            <a:ext uri="{FF2B5EF4-FFF2-40B4-BE49-F238E27FC236}">
              <a16:creationId xmlns:a16="http://schemas.microsoft.com/office/drawing/2014/main" id="{00000000-0008-0000-0B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95" name="AutoShape 214" descr="+">
          <a:extLst>
            <a:ext uri="{FF2B5EF4-FFF2-40B4-BE49-F238E27FC236}">
              <a16:creationId xmlns:a16="http://schemas.microsoft.com/office/drawing/2014/main" id="{00000000-0008-0000-0B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96" name="AutoShape 215" descr="+">
          <a:extLst>
            <a:ext uri="{FF2B5EF4-FFF2-40B4-BE49-F238E27FC236}">
              <a16:creationId xmlns:a16="http://schemas.microsoft.com/office/drawing/2014/main" id="{00000000-0008-0000-0B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41164</xdr:rowOff>
    </xdr:to>
    <xdr:sp macro="" textlink="">
      <xdr:nvSpPr>
        <xdr:cNvPr id="197" name="AutoShape 216" descr="+">
          <a:extLst>
            <a:ext uri="{FF2B5EF4-FFF2-40B4-BE49-F238E27FC236}">
              <a16:creationId xmlns:a16="http://schemas.microsoft.com/office/drawing/2014/main" id="{00000000-0008-0000-0B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98" name="AutoShape 217" descr="+">
          <a:extLst>
            <a:ext uri="{FF2B5EF4-FFF2-40B4-BE49-F238E27FC236}">
              <a16:creationId xmlns:a16="http://schemas.microsoft.com/office/drawing/2014/main" id="{00000000-0008-0000-0B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99" name="AutoShape 218" descr="+">
          <a:extLst>
            <a:ext uri="{FF2B5EF4-FFF2-40B4-BE49-F238E27FC236}">
              <a16:creationId xmlns:a16="http://schemas.microsoft.com/office/drawing/2014/main" id="{00000000-0008-0000-0B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24771</xdr:rowOff>
    </xdr:to>
    <xdr:sp macro="" textlink="">
      <xdr:nvSpPr>
        <xdr:cNvPr id="200" name="AutoShape 219" descr="+">
          <a:extLst>
            <a:ext uri="{FF2B5EF4-FFF2-40B4-BE49-F238E27FC236}">
              <a16:creationId xmlns:a16="http://schemas.microsoft.com/office/drawing/2014/main" id="{00000000-0008-0000-0B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01" name="AutoShape 220" descr="+">
          <a:extLst>
            <a:ext uri="{FF2B5EF4-FFF2-40B4-BE49-F238E27FC236}">
              <a16:creationId xmlns:a16="http://schemas.microsoft.com/office/drawing/2014/main" id="{00000000-0008-0000-0B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02" name="AutoShape 221" descr="+">
          <a:extLst>
            <a:ext uri="{FF2B5EF4-FFF2-40B4-BE49-F238E27FC236}">
              <a16:creationId xmlns:a16="http://schemas.microsoft.com/office/drawing/2014/main" id="{00000000-0008-0000-0B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03" name="AutoShape 222" descr="+">
          <a:extLst>
            <a:ext uri="{FF2B5EF4-FFF2-40B4-BE49-F238E27FC236}">
              <a16:creationId xmlns:a16="http://schemas.microsoft.com/office/drawing/2014/main" id="{00000000-0008-0000-0B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4" name="AutoShape 223" descr="+">
          <a:extLst>
            <a:ext uri="{FF2B5EF4-FFF2-40B4-BE49-F238E27FC236}">
              <a16:creationId xmlns:a16="http://schemas.microsoft.com/office/drawing/2014/main" id="{00000000-0008-0000-0B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5" name="AutoShape 224" descr="+">
          <a:extLst>
            <a:ext uri="{FF2B5EF4-FFF2-40B4-BE49-F238E27FC236}">
              <a16:creationId xmlns:a16="http://schemas.microsoft.com/office/drawing/2014/main" id="{00000000-0008-0000-0B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206" name="AutoShape 225" descr="+">
          <a:extLst>
            <a:ext uri="{FF2B5EF4-FFF2-40B4-BE49-F238E27FC236}">
              <a16:creationId xmlns:a16="http://schemas.microsoft.com/office/drawing/2014/main" id="{00000000-0008-0000-0B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142876</xdr:rowOff>
    </xdr:to>
    <xdr:sp macro="" textlink="">
      <xdr:nvSpPr>
        <xdr:cNvPr id="207" name="AutoShape 226" descr="+">
          <a:extLst>
            <a:ext uri="{FF2B5EF4-FFF2-40B4-BE49-F238E27FC236}">
              <a16:creationId xmlns:a16="http://schemas.microsoft.com/office/drawing/2014/main" id="{00000000-0008-0000-0B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8" name="AutoShape 227" descr="+">
          <a:extLst>
            <a:ext uri="{FF2B5EF4-FFF2-40B4-BE49-F238E27FC236}">
              <a16:creationId xmlns:a16="http://schemas.microsoft.com/office/drawing/2014/main" id="{00000000-0008-0000-0B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09" name="AutoShape 228" descr="+">
          <a:extLst>
            <a:ext uri="{FF2B5EF4-FFF2-40B4-BE49-F238E27FC236}">
              <a16:creationId xmlns:a16="http://schemas.microsoft.com/office/drawing/2014/main" id="{00000000-0008-0000-0B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144553</xdr:rowOff>
    </xdr:to>
    <xdr:sp macro="" textlink="">
      <xdr:nvSpPr>
        <xdr:cNvPr id="210" name="AutoShape 229" descr="+">
          <a:extLst>
            <a:ext uri="{FF2B5EF4-FFF2-40B4-BE49-F238E27FC236}">
              <a16:creationId xmlns:a16="http://schemas.microsoft.com/office/drawing/2014/main" id="{00000000-0008-0000-0B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211" name="AutoShape 230" descr="+">
          <a:extLst>
            <a:ext uri="{FF2B5EF4-FFF2-40B4-BE49-F238E27FC236}">
              <a16:creationId xmlns:a16="http://schemas.microsoft.com/office/drawing/2014/main" id="{00000000-0008-0000-0B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2" name="AutoShape 231" descr="+">
          <a:extLst>
            <a:ext uri="{FF2B5EF4-FFF2-40B4-BE49-F238E27FC236}">
              <a16:creationId xmlns:a16="http://schemas.microsoft.com/office/drawing/2014/main" id="{00000000-0008-0000-0B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13" name="AutoShape 232" descr="+">
          <a:extLst>
            <a:ext uri="{FF2B5EF4-FFF2-40B4-BE49-F238E27FC236}">
              <a16:creationId xmlns:a16="http://schemas.microsoft.com/office/drawing/2014/main" id="{00000000-0008-0000-0B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4" name="AutoShape 233" descr="+">
          <a:extLst>
            <a:ext uri="{FF2B5EF4-FFF2-40B4-BE49-F238E27FC236}">
              <a16:creationId xmlns:a16="http://schemas.microsoft.com/office/drawing/2014/main" id="{00000000-0008-0000-0B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15" name="AutoShape 234" descr="+">
          <a:extLst>
            <a:ext uri="{FF2B5EF4-FFF2-40B4-BE49-F238E27FC236}">
              <a16:creationId xmlns:a16="http://schemas.microsoft.com/office/drawing/2014/main" id="{00000000-0008-0000-0B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16" name="AutoShape 235" descr="+">
          <a:extLst>
            <a:ext uri="{FF2B5EF4-FFF2-40B4-BE49-F238E27FC236}">
              <a16:creationId xmlns:a16="http://schemas.microsoft.com/office/drawing/2014/main" id="{00000000-0008-0000-0B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17" name="AutoShape 236" descr="+">
          <a:extLst>
            <a:ext uri="{FF2B5EF4-FFF2-40B4-BE49-F238E27FC236}">
              <a16:creationId xmlns:a16="http://schemas.microsoft.com/office/drawing/2014/main" id="{00000000-0008-0000-0B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8" name="AutoShape 237" descr="+">
          <a:extLst>
            <a:ext uri="{FF2B5EF4-FFF2-40B4-BE49-F238E27FC236}">
              <a16:creationId xmlns:a16="http://schemas.microsoft.com/office/drawing/2014/main" id="{00000000-0008-0000-0B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48588</xdr:rowOff>
    </xdr:to>
    <xdr:sp macro="" textlink="">
      <xdr:nvSpPr>
        <xdr:cNvPr id="219" name="AutoShape 238" descr="+">
          <a:extLst>
            <a:ext uri="{FF2B5EF4-FFF2-40B4-BE49-F238E27FC236}">
              <a16:creationId xmlns:a16="http://schemas.microsoft.com/office/drawing/2014/main" id="{00000000-0008-0000-0B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20" name="AutoShape 239" descr="+">
          <a:extLst>
            <a:ext uri="{FF2B5EF4-FFF2-40B4-BE49-F238E27FC236}">
              <a16:creationId xmlns:a16="http://schemas.microsoft.com/office/drawing/2014/main" id="{00000000-0008-0000-0B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21" name="AutoShape 240" descr="+">
          <a:extLst>
            <a:ext uri="{FF2B5EF4-FFF2-40B4-BE49-F238E27FC236}">
              <a16:creationId xmlns:a16="http://schemas.microsoft.com/office/drawing/2014/main" id="{00000000-0008-0000-0B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22" name="AutoShape 241" descr="+">
          <a:extLst>
            <a:ext uri="{FF2B5EF4-FFF2-40B4-BE49-F238E27FC236}">
              <a16:creationId xmlns:a16="http://schemas.microsoft.com/office/drawing/2014/main" id="{00000000-0008-0000-0B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24772</xdr:rowOff>
    </xdr:to>
    <xdr:sp macro="" textlink="">
      <xdr:nvSpPr>
        <xdr:cNvPr id="223" name="AutoShape 242" descr="+">
          <a:extLst>
            <a:ext uri="{FF2B5EF4-FFF2-40B4-BE49-F238E27FC236}">
              <a16:creationId xmlns:a16="http://schemas.microsoft.com/office/drawing/2014/main" id="{00000000-0008-0000-0B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24" name="AutoShape 243" descr="+">
          <a:extLst>
            <a:ext uri="{FF2B5EF4-FFF2-40B4-BE49-F238E27FC236}">
              <a16:creationId xmlns:a16="http://schemas.microsoft.com/office/drawing/2014/main" id="{00000000-0008-0000-0B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25" name="AutoShape 244" descr="+">
          <a:extLst>
            <a:ext uri="{FF2B5EF4-FFF2-40B4-BE49-F238E27FC236}">
              <a16:creationId xmlns:a16="http://schemas.microsoft.com/office/drawing/2014/main" id="{00000000-0008-0000-0B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26" name="AutoShape 245" descr="+">
          <a:extLst>
            <a:ext uri="{FF2B5EF4-FFF2-40B4-BE49-F238E27FC236}">
              <a16:creationId xmlns:a16="http://schemas.microsoft.com/office/drawing/2014/main" id="{00000000-0008-0000-0B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227" name="AutoShape 246" descr="+">
          <a:extLst>
            <a:ext uri="{FF2B5EF4-FFF2-40B4-BE49-F238E27FC236}">
              <a16:creationId xmlns:a16="http://schemas.microsoft.com/office/drawing/2014/main" id="{00000000-0008-0000-0B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28" name="AutoShape 247" descr="+">
          <a:extLst>
            <a:ext uri="{FF2B5EF4-FFF2-40B4-BE49-F238E27FC236}">
              <a16:creationId xmlns:a16="http://schemas.microsoft.com/office/drawing/2014/main" id="{00000000-0008-0000-0B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29" name="AutoShape 248" descr="+">
          <a:extLst>
            <a:ext uri="{FF2B5EF4-FFF2-40B4-BE49-F238E27FC236}">
              <a16:creationId xmlns:a16="http://schemas.microsoft.com/office/drawing/2014/main" id="{00000000-0008-0000-0B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30" name="AutoShape 249" descr="+">
          <a:extLst>
            <a:ext uri="{FF2B5EF4-FFF2-40B4-BE49-F238E27FC236}">
              <a16:creationId xmlns:a16="http://schemas.microsoft.com/office/drawing/2014/main" id="{00000000-0008-0000-0B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31" name="AutoShape 250" descr="+">
          <a:extLst>
            <a:ext uri="{FF2B5EF4-FFF2-40B4-BE49-F238E27FC236}">
              <a16:creationId xmlns:a16="http://schemas.microsoft.com/office/drawing/2014/main" id="{00000000-0008-0000-0B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2" name="AutoShape 251" descr="+">
          <a:extLst>
            <a:ext uri="{FF2B5EF4-FFF2-40B4-BE49-F238E27FC236}">
              <a16:creationId xmlns:a16="http://schemas.microsoft.com/office/drawing/2014/main" id="{00000000-0008-0000-0B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33" name="AutoShape 252" descr="+">
          <a:extLst>
            <a:ext uri="{FF2B5EF4-FFF2-40B4-BE49-F238E27FC236}">
              <a16:creationId xmlns:a16="http://schemas.microsoft.com/office/drawing/2014/main" id="{00000000-0008-0000-0B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234" name="AutoShape 253" descr="+">
          <a:extLst>
            <a:ext uri="{FF2B5EF4-FFF2-40B4-BE49-F238E27FC236}">
              <a16:creationId xmlns:a16="http://schemas.microsoft.com/office/drawing/2014/main" id="{00000000-0008-0000-0B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5" name="AutoShape 254" descr="+">
          <a:extLst>
            <a:ext uri="{FF2B5EF4-FFF2-40B4-BE49-F238E27FC236}">
              <a16:creationId xmlns:a16="http://schemas.microsoft.com/office/drawing/2014/main" id="{00000000-0008-0000-0B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6" name="AutoShape 255" descr="+">
          <a:extLst>
            <a:ext uri="{FF2B5EF4-FFF2-40B4-BE49-F238E27FC236}">
              <a16:creationId xmlns:a16="http://schemas.microsoft.com/office/drawing/2014/main" id="{00000000-0008-0000-0B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37" name="AutoShape 256" descr="+">
          <a:extLst>
            <a:ext uri="{FF2B5EF4-FFF2-40B4-BE49-F238E27FC236}">
              <a16:creationId xmlns:a16="http://schemas.microsoft.com/office/drawing/2014/main" id="{00000000-0008-0000-0B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38" name="AutoShape 257" descr="+">
          <a:extLst>
            <a:ext uri="{FF2B5EF4-FFF2-40B4-BE49-F238E27FC236}">
              <a16:creationId xmlns:a16="http://schemas.microsoft.com/office/drawing/2014/main" id="{00000000-0008-0000-0B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109817</xdr:rowOff>
    </xdr:to>
    <xdr:sp macro="" textlink="">
      <xdr:nvSpPr>
        <xdr:cNvPr id="239" name="AutoShape 258" descr="+">
          <a:extLst>
            <a:ext uri="{FF2B5EF4-FFF2-40B4-BE49-F238E27FC236}">
              <a16:creationId xmlns:a16="http://schemas.microsoft.com/office/drawing/2014/main" id="{00000000-0008-0000-0B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240" name="AutoShape 259" descr="+">
          <a:extLst>
            <a:ext uri="{FF2B5EF4-FFF2-40B4-BE49-F238E27FC236}">
              <a16:creationId xmlns:a16="http://schemas.microsoft.com/office/drawing/2014/main" id="{00000000-0008-0000-0B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241" name="AutoShape 260" descr="+">
          <a:extLst>
            <a:ext uri="{FF2B5EF4-FFF2-40B4-BE49-F238E27FC236}">
              <a16:creationId xmlns:a16="http://schemas.microsoft.com/office/drawing/2014/main" id="{00000000-0008-0000-0B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42" name="AutoShape 261" descr="+">
          <a:extLst>
            <a:ext uri="{FF2B5EF4-FFF2-40B4-BE49-F238E27FC236}">
              <a16:creationId xmlns:a16="http://schemas.microsoft.com/office/drawing/2014/main" id="{00000000-0008-0000-0B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43" name="AutoShape 262" descr="+">
          <a:extLst>
            <a:ext uri="{FF2B5EF4-FFF2-40B4-BE49-F238E27FC236}">
              <a16:creationId xmlns:a16="http://schemas.microsoft.com/office/drawing/2014/main" id="{00000000-0008-0000-0B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3403</xdr:rowOff>
    </xdr:to>
    <xdr:sp macro="" textlink="">
      <xdr:nvSpPr>
        <xdr:cNvPr id="244" name="AutoShape 263" descr="+">
          <a:extLst>
            <a:ext uri="{FF2B5EF4-FFF2-40B4-BE49-F238E27FC236}">
              <a16:creationId xmlns:a16="http://schemas.microsoft.com/office/drawing/2014/main" id="{00000000-0008-0000-0B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3402</xdr:rowOff>
    </xdr:to>
    <xdr:sp macro="" textlink="">
      <xdr:nvSpPr>
        <xdr:cNvPr id="245" name="AutoShape 264" descr="+">
          <a:extLst>
            <a:ext uri="{FF2B5EF4-FFF2-40B4-BE49-F238E27FC236}">
              <a16:creationId xmlns:a16="http://schemas.microsoft.com/office/drawing/2014/main" id="{00000000-0008-0000-0B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42185</xdr:rowOff>
    </xdr:to>
    <xdr:sp macro="" textlink="">
      <xdr:nvSpPr>
        <xdr:cNvPr id="246" name="AutoShape 265" descr="+">
          <a:extLst>
            <a:ext uri="{FF2B5EF4-FFF2-40B4-BE49-F238E27FC236}">
              <a16:creationId xmlns:a16="http://schemas.microsoft.com/office/drawing/2014/main" id="{00000000-0008-0000-0B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42180</xdr:rowOff>
    </xdr:to>
    <xdr:sp macro="" textlink="">
      <xdr:nvSpPr>
        <xdr:cNvPr id="247" name="AutoShape 266" descr="+">
          <a:extLst>
            <a:ext uri="{FF2B5EF4-FFF2-40B4-BE49-F238E27FC236}">
              <a16:creationId xmlns:a16="http://schemas.microsoft.com/office/drawing/2014/main" id="{00000000-0008-0000-0B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248" name="AutoShape 267" descr="+">
          <a:extLst>
            <a:ext uri="{FF2B5EF4-FFF2-40B4-BE49-F238E27FC236}">
              <a16:creationId xmlns:a16="http://schemas.microsoft.com/office/drawing/2014/main" id="{00000000-0008-0000-0B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42185</xdr:rowOff>
    </xdr:to>
    <xdr:sp macro="" textlink="">
      <xdr:nvSpPr>
        <xdr:cNvPr id="249" name="AutoShape 268" descr="+">
          <a:extLst>
            <a:ext uri="{FF2B5EF4-FFF2-40B4-BE49-F238E27FC236}">
              <a16:creationId xmlns:a16="http://schemas.microsoft.com/office/drawing/2014/main" id="{00000000-0008-0000-0B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0" name="AutoShape 269" descr="+">
          <a:extLst>
            <a:ext uri="{FF2B5EF4-FFF2-40B4-BE49-F238E27FC236}">
              <a16:creationId xmlns:a16="http://schemas.microsoft.com/office/drawing/2014/main" id="{00000000-0008-0000-0B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1" name="AutoShape 270" descr="+">
          <a:extLst>
            <a:ext uri="{FF2B5EF4-FFF2-40B4-BE49-F238E27FC236}">
              <a16:creationId xmlns:a16="http://schemas.microsoft.com/office/drawing/2014/main" id="{00000000-0008-0000-0B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146957</xdr:rowOff>
    </xdr:to>
    <xdr:sp macro="" textlink="">
      <xdr:nvSpPr>
        <xdr:cNvPr id="252" name="AutoShape 271" descr="+">
          <a:extLst>
            <a:ext uri="{FF2B5EF4-FFF2-40B4-BE49-F238E27FC236}">
              <a16:creationId xmlns:a16="http://schemas.microsoft.com/office/drawing/2014/main" id="{00000000-0008-0000-0B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3" name="AutoShape 272" descr="+">
          <a:extLst>
            <a:ext uri="{FF2B5EF4-FFF2-40B4-BE49-F238E27FC236}">
              <a16:creationId xmlns:a16="http://schemas.microsoft.com/office/drawing/2014/main" id="{00000000-0008-0000-0B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4" name="AutoShape 273" descr="+">
          <a:extLst>
            <a:ext uri="{FF2B5EF4-FFF2-40B4-BE49-F238E27FC236}">
              <a16:creationId xmlns:a16="http://schemas.microsoft.com/office/drawing/2014/main" id="{00000000-0008-0000-0B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5" name="AutoShape 274" descr="+">
          <a:extLst>
            <a:ext uri="{FF2B5EF4-FFF2-40B4-BE49-F238E27FC236}">
              <a16:creationId xmlns:a16="http://schemas.microsoft.com/office/drawing/2014/main" id="{00000000-0008-0000-0B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23371</xdr:rowOff>
    </xdr:to>
    <xdr:sp macro="" textlink="">
      <xdr:nvSpPr>
        <xdr:cNvPr id="256" name="AutoShape 275" descr="+">
          <a:extLst>
            <a:ext uri="{FF2B5EF4-FFF2-40B4-BE49-F238E27FC236}">
              <a16:creationId xmlns:a16="http://schemas.microsoft.com/office/drawing/2014/main" id="{00000000-0008-0000-0B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7" name="AutoShape 276" descr="+">
          <a:extLst>
            <a:ext uri="{FF2B5EF4-FFF2-40B4-BE49-F238E27FC236}">
              <a16:creationId xmlns:a16="http://schemas.microsoft.com/office/drawing/2014/main" id="{00000000-0008-0000-0B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58" name="AutoShape 277" descr="+">
          <a:extLst>
            <a:ext uri="{FF2B5EF4-FFF2-40B4-BE49-F238E27FC236}">
              <a16:creationId xmlns:a16="http://schemas.microsoft.com/office/drawing/2014/main" id="{00000000-0008-0000-0B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59" name="AutoShape 278" descr="+">
          <a:extLst>
            <a:ext uri="{FF2B5EF4-FFF2-40B4-BE49-F238E27FC236}">
              <a16:creationId xmlns:a16="http://schemas.microsoft.com/office/drawing/2014/main" id="{00000000-0008-0000-0B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29535</xdr:rowOff>
    </xdr:to>
    <xdr:sp macro="" textlink="">
      <xdr:nvSpPr>
        <xdr:cNvPr id="260" name="AutoShape 279" descr="+">
          <a:extLst>
            <a:ext uri="{FF2B5EF4-FFF2-40B4-BE49-F238E27FC236}">
              <a16:creationId xmlns:a16="http://schemas.microsoft.com/office/drawing/2014/main" id="{00000000-0008-0000-0B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261" name="AutoShape 280" descr="+">
          <a:extLst>
            <a:ext uri="{FF2B5EF4-FFF2-40B4-BE49-F238E27FC236}">
              <a16:creationId xmlns:a16="http://schemas.microsoft.com/office/drawing/2014/main" id="{00000000-0008-0000-0B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62" name="AutoShape 281" descr="+">
          <a:extLst>
            <a:ext uri="{FF2B5EF4-FFF2-40B4-BE49-F238E27FC236}">
              <a16:creationId xmlns:a16="http://schemas.microsoft.com/office/drawing/2014/main" id="{00000000-0008-0000-0B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48582</xdr:rowOff>
    </xdr:to>
    <xdr:sp macro="" textlink="">
      <xdr:nvSpPr>
        <xdr:cNvPr id="263" name="AutoShape 282" descr="+">
          <a:extLst>
            <a:ext uri="{FF2B5EF4-FFF2-40B4-BE49-F238E27FC236}">
              <a16:creationId xmlns:a16="http://schemas.microsoft.com/office/drawing/2014/main" id="{00000000-0008-0000-0B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64" name="AutoShape 283" descr="+">
          <a:extLst>
            <a:ext uri="{FF2B5EF4-FFF2-40B4-BE49-F238E27FC236}">
              <a16:creationId xmlns:a16="http://schemas.microsoft.com/office/drawing/2014/main" id="{00000000-0008-0000-0B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65" name="AutoShape 284" descr="+">
          <a:extLst>
            <a:ext uri="{FF2B5EF4-FFF2-40B4-BE49-F238E27FC236}">
              <a16:creationId xmlns:a16="http://schemas.microsoft.com/office/drawing/2014/main" id="{00000000-0008-0000-0B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266" name="AutoShape 285" descr="+">
          <a:extLst>
            <a:ext uri="{FF2B5EF4-FFF2-40B4-BE49-F238E27FC236}">
              <a16:creationId xmlns:a16="http://schemas.microsoft.com/office/drawing/2014/main" id="{00000000-0008-0000-0B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267" name="AutoShape 286" descr="+">
          <a:extLst>
            <a:ext uri="{FF2B5EF4-FFF2-40B4-BE49-F238E27FC236}">
              <a16:creationId xmlns:a16="http://schemas.microsoft.com/office/drawing/2014/main" id="{00000000-0008-0000-0B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38781</xdr:rowOff>
    </xdr:to>
    <xdr:sp macro="" textlink="">
      <xdr:nvSpPr>
        <xdr:cNvPr id="268" name="AutoShape 287" descr="+">
          <a:extLst>
            <a:ext uri="{FF2B5EF4-FFF2-40B4-BE49-F238E27FC236}">
              <a16:creationId xmlns:a16="http://schemas.microsoft.com/office/drawing/2014/main" id="{00000000-0008-0000-0B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42181</xdr:rowOff>
    </xdr:to>
    <xdr:sp macro="" textlink="">
      <xdr:nvSpPr>
        <xdr:cNvPr id="269" name="AutoShape 288" descr="+">
          <a:extLst>
            <a:ext uri="{FF2B5EF4-FFF2-40B4-BE49-F238E27FC236}">
              <a16:creationId xmlns:a16="http://schemas.microsoft.com/office/drawing/2014/main" id="{00000000-0008-0000-0B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70" name="AutoShape 289" descr="+">
          <a:extLst>
            <a:ext uri="{FF2B5EF4-FFF2-40B4-BE49-F238E27FC236}">
              <a16:creationId xmlns:a16="http://schemas.microsoft.com/office/drawing/2014/main" id="{00000000-0008-0000-0B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1" name="AutoShape 290" descr="+">
          <a:extLst>
            <a:ext uri="{FF2B5EF4-FFF2-40B4-BE49-F238E27FC236}">
              <a16:creationId xmlns:a16="http://schemas.microsoft.com/office/drawing/2014/main" id="{00000000-0008-0000-0B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72" name="AutoShape 291" descr="+">
          <a:extLst>
            <a:ext uri="{FF2B5EF4-FFF2-40B4-BE49-F238E27FC236}">
              <a16:creationId xmlns:a16="http://schemas.microsoft.com/office/drawing/2014/main" id="{00000000-0008-0000-0B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3" name="AutoShape 292" descr="+">
          <a:extLst>
            <a:ext uri="{FF2B5EF4-FFF2-40B4-BE49-F238E27FC236}">
              <a16:creationId xmlns:a16="http://schemas.microsoft.com/office/drawing/2014/main" id="{00000000-0008-0000-0B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74" name="AutoShape 293" descr="+">
          <a:extLst>
            <a:ext uri="{FF2B5EF4-FFF2-40B4-BE49-F238E27FC236}">
              <a16:creationId xmlns:a16="http://schemas.microsoft.com/office/drawing/2014/main" id="{00000000-0008-0000-0B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5" name="AutoShape 294" descr="+">
          <a:extLst>
            <a:ext uri="{FF2B5EF4-FFF2-40B4-BE49-F238E27FC236}">
              <a16:creationId xmlns:a16="http://schemas.microsoft.com/office/drawing/2014/main" id="{00000000-0008-0000-0B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143153</xdr:rowOff>
    </xdr:to>
    <xdr:sp macro="" textlink="">
      <xdr:nvSpPr>
        <xdr:cNvPr id="276" name="AutoShape 295" descr="+">
          <a:extLst>
            <a:ext uri="{FF2B5EF4-FFF2-40B4-BE49-F238E27FC236}">
              <a16:creationId xmlns:a16="http://schemas.microsoft.com/office/drawing/2014/main" id="{00000000-0008-0000-0B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77" name="AutoShape 296" descr="+">
          <a:extLst>
            <a:ext uri="{FF2B5EF4-FFF2-40B4-BE49-F238E27FC236}">
              <a16:creationId xmlns:a16="http://schemas.microsoft.com/office/drawing/2014/main" id="{00000000-0008-0000-0B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144552</xdr:rowOff>
    </xdr:to>
    <xdr:sp macro="" textlink="">
      <xdr:nvSpPr>
        <xdr:cNvPr id="278" name="AutoShape 297" descr="+">
          <a:extLst>
            <a:ext uri="{FF2B5EF4-FFF2-40B4-BE49-F238E27FC236}">
              <a16:creationId xmlns:a16="http://schemas.microsoft.com/office/drawing/2014/main" id="{00000000-0008-0000-0B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9" name="AutoShape 298" descr="+">
          <a:extLst>
            <a:ext uri="{FF2B5EF4-FFF2-40B4-BE49-F238E27FC236}">
              <a16:creationId xmlns:a16="http://schemas.microsoft.com/office/drawing/2014/main" id="{00000000-0008-0000-0B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41</xdr:row>
      <xdr:rowOff>0</xdr:rowOff>
    </xdr:from>
    <xdr:ext cx="304800" cy="166687"/>
    <xdr:sp macro="" textlink="">
      <xdr:nvSpPr>
        <xdr:cNvPr id="282" name="AutoShape 80" descr="+">
          <a:extLst>
            <a:ext uri="{FF2B5EF4-FFF2-40B4-BE49-F238E27FC236}">
              <a16:creationId xmlns:a16="http://schemas.microsoft.com/office/drawing/2014/main" id="{00000000-0008-0000-0B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41</xdr:row>
      <xdr:rowOff>0</xdr:rowOff>
    </xdr:from>
    <xdr:ext cx="304800" cy="166687"/>
    <xdr:sp macro="" textlink="">
      <xdr:nvSpPr>
        <xdr:cNvPr id="283" name="AutoShape 80" descr="+">
          <a:extLst>
            <a:ext uri="{FF2B5EF4-FFF2-40B4-BE49-F238E27FC236}">
              <a16:creationId xmlns:a16="http://schemas.microsoft.com/office/drawing/2014/main" id="{00000000-0008-0000-0B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4598</xdr:colOff>
      <xdr:row>62</xdr:row>
      <xdr:rowOff>29936</xdr:rowOff>
    </xdr:from>
    <xdr:to>
      <xdr:col>5</xdr:col>
      <xdr:colOff>305706</xdr:colOff>
      <xdr:row>62</xdr:row>
      <xdr:rowOff>2984393</xdr:rowOff>
    </xdr:to>
    <xdr:pic>
      <xdr:nvPicPr>
        <xdr:cNvPr id="288" name="Picture 28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1"/>
        <a:stretch>
          <a:fillRect/>
        </a:stretch>
      </xdr:blipFill>
      <xdr:spPr>
        <a:xfrm>
          <a:off x="183892" y="23629524"/>
          <a:ext cx="6934990" cy="2954457"/>
        </a:xfrm>
        <a:prstGeom prst="rect">
          <a:avLst/>
        </a:prstGeom>
        <a:ln>
          <a:solidFill>
            <a:schemeClr val="tx1"/>
          </a:solidFill>
        </a:ln>
      </xdr:spPr>
    </xdr:pic>
    <xdr:clientData/>
  </xdr:twoCellAnchor>
  <xdr:twoCellAnchor editAs="oneCell">
    <xdr:from>
      <xdr:col>1</xdr:col>
      <xdr:colOff>39190</xdr:colOff>
      <xdr:row>32</xdr:row>
      <xdr:rowOff>39766</xdr:rowOff>
    </xdr:from>
    <xdr:to>
      <xdr:col>4</xdr:col>
      <xdr:colOff>778452</xdr:colOff>
      <xdr:row>32</xdr:row>
      <xdr:rowOff>3718538</xdr:rowOff>
    </xdr:to>
    <xdr:pic>
      <xdr:nvPicPr>
        <xdr:cNvPr id="293" name="Picture 292">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2"/>
        <a:stretch>
          <a:fillRect/>
        </a:stretch>
      </xdr:blipFill>
      <xdr:spPr>
        <a:xfrm>
          <a:off x="218484" y="10237119"/>
          <a:ext cx="6319792" cy="3678772"/>
        </a:xfrm>
        <a:prstGeom prst="rect">
          <a:avLst/>
        </a:prstGeom>
        <a:ln>
          <a:solidFill>
            <a:schemeClr val="tx1"/>
          </a:solidFill>
        </a:ln>
      </xdr:spPr>
    </xdr:pic>
    <xdr:clientData/>
  </xdr:twoCellAnchor>
  <xdr:twoCellAnchor editAs="oneCell">
    <xdr:from>
      <xdr:col>1</xdr:col>
      <xdr:colOff>6724</xdr:colOff>
      <xdr:row>47</xdr:row>
      <xdr:rowOff>45943</xdr:rowOff>
    </xdr:from>
    <xdr:to>
      <xdr:col>4</xdr:col>
      <xdr:colOff>769739</xdr:colOff>
      <xdr:row>47</xdr:row>
      <xdr:rowOff>2839951</xdr:rowOff>
    </xdr:to>
    <xdr:pic>
      <xdr:nvPicPr>
        <xdr:cNvPr id="292" name="Picture 291">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3"/>
        <a:stretch>
          <a:fillRect/>
        </a:stretch>
      </xdr:blipFill>
      <xdr:spPr>
        <a:xfrm>
          <a:off x="186018" y="17426267"/>
          <a:ext cx="6343545" cy="2794008"/>
        </a:xfrm>
        <a:prstGeom prst="rect">
          <a:avLst/>
        </a:prstGeom>
        <a:ln>
          <a:solidFill>
            <a:schemeClr val="tx1"/>
          </a:solidFill>
        </a:ln>
      </xdr:spPr>
    </xdr:pic>
    <xdr:clientData/>
  </xdr:twoCellAnchor>
  <xdr:twoCellAnchor editAs="oneCell">
    <xdr:from>
      <xdr:col>4</xdr:col>
      <xdr:colOff>966107</xdr:colOff>
      <xdr:row>32</xdr:row>
      <xdr:rowOff>20707</xdr:rowOff>
    </xdr:from>
    <xdr:to>
      <xdr:col>9</xdr:col>
      <xdr:colOff>489858</xdr:colOff>
      <xdr:row>32</xdr:row>
      <xdr:rowOff>3735880</xdr:rowOff>
    </xdr:to>
    <xdr:pic>
      <xdr:nvPicPr>
        <xdr:cNvPr id="280" name="Picture 279">
          <a:extLst>
            <a:ext uri="{FF2B5EF4-FFF2-40B4-BE49-F238E27FC236}">
              <a16:creationId xmlns:a16="http://schemas.microsoft.com/office/drawing/2014/main" id="{04237B66-6525-454F-86AE-CA534486FC15}"/>
            </a:ext>
          </a:extLst>
        </xdr:cNvPr>
        <xdr:cNvPicPr>
          <a:picLocks noChangeAspect="1"/>
        </xdr:cNvPicPr>
      </xdr:nvPicPr>
      <xdr:blipFill>
        <a:blip xmlns:r="http://schemas.openxmlformats.org/officeDocument/2006/relationships" r:embed="rId4"/>
        <a:stretch>
          <a:fillRect/>
        </a:stretch>
      </xdr:blipFill>
      <xdr:spPr>
        <a:xfrm>
          <a:off x="6735536" y="10402957"/>
          <a:ext cx="5211536" cy="3715173"/>
        </a:xfrm>
        <a:prstGeom prst="rect">
          <a:avLst/>
        </a:prstGeom>
        <a:ln>
          <a:solidFill>
            <a:schemeClr val="tx1"/>
          </a:solidFill>
        </a:ln>
      </xdr:spPr>
    </xdr:pic>
    <xdr:clientData/>
  </xdr:twoCellAnchor>
  <xdr:twoCellAnchor editAs="oneCell">
    <xdr:from>
      <xdr:col>4</xdr:col>
      <xdr:colOff>1006928</xdr:colOff>
      <xdr:row>47</xdr:row>
      <xdr:rowOff>54430</xdr:rowOff>
    </xdr:from>
    <xdr:to>
      <xdr:col>10</xdr:col>
      <xdr:colOff>936330</xdr:colOff>
      <xdr:row>47</xdr:row>
      <xdr:rowOff>2830286</xdr:rowOff>
    </xdr:to>
    <xdr:pic>
      <xdr:nvPicPr>
        <xdr:cNvPr id="281" name="Picture 280">
          <a:extLst>
            <a:ext uri="{FF2B5EF4-FFF2-40B4-BE49-F238E27FC236}">
              <a16:creationId xmlns:a16="http://schemas.microsoft.com/office/drawing/2014/main" id="{0D65FA0B-0647-470D-B440-6C5506C1FD34}"/>
            </a:ext>
          </a:extLst>
        </xdr:cNvPr>
        <xdr:cNvPicPr>
          <a:picLocks noChangeAspect="1"/>
        </xdr:cNvPicPr>
      </xdr:nvPicPr>
      <xdr:blipFill>
        <a:blip xmlns:r="http://schemas.openxmlformats.org/officeDocument/2006/relationships" r:embed="rId5"/>
        <a:stretch>
          <a:fillRect/>
        </a:stretch>
      </xdr:blipFill>
      <xdr:spPr>
        <a:xfrm>
          <a:off x="6776357" y="17689287"/>
          <a:ext cx="6678544" cy="2775856"/>
        </a:xfrm>
        <a:prstGeom prst="rect">
          <a:avLst/>
        </a:prstGeom>
        <a:ln>
          <a:solidFill>
            <a:schemeClr val="tx1"/>
          </a:solidFill>
        </a:ln>
      </xdr:spPr>
    </xdr:pic>
    <xdr:clientData/>
  </xdr:twoCellAnchor>
  <xdr:twoCellAnchor editAs="oneCell">
    <xdr:from>
      <xdr:col>5</xdr:col>
      <xdr:colOff>490818</xdr:colOff>
      <xdr:row>62</xdr:row>
      <xdr:rowOff>33620</xdr:rowOff>
    </xdr:from>
    <xdr:to>
      <xdr:col>11</xdr:col>
      <xdr:colOff>11206</xdr:colOff>
      <xdr:row>62</xdr:row>
      <xdr:rowOff>2983256</xdr:rowOff>
    </xdr:to>
    <xdr:pic>
      <xdr:nvPicPr>
        <xdr:cNvPr id="284" name="Picture 283">
          <a:extLst>
            <a:ext uri="{FF2B5EF4-FFF2-40B4-BE49-F238E27FC236}">
              <a16:creationId xmlns:a16="http://schemas.microsoft.com/office/drawing/2014/main" id="{287CCBEE-2E4C-421F-96E6-293D1AE950CD}"/>
            </a:ext>
          </a:extLst>
        </xdr:cNvPr>
        <xdr:cNvPicPr>
          <a:picLocks noChangeAspect="1"/>
        </xdr:cNvPicPr>
      </xdr:nvPicPr>
      <xdr:blipFill>
        <a:blip xmlns:r="http://schemas.openxmlformats.org/officeDocument/2006/relationships" r:embed="rId6"/>
        <a:stretch>
          <a:fillRect/>
        </a:stretch>
      </xdr:blipFill>
      <xdr:spPr>
        <a:xfrm>
          <a:off x="7303994" y="23711649"/>
          <a:ext cx="6232712" cy="2949636"/>
        </a:xfrm>
        <a:prstGeom prst="rect">
          <a:avLst/>
        </a:prstGeom>
        <a:ln>
          <a:solidFill>
            <a:schemeClr val="tx1"/>
          </a:solidFill>
        </a:ln>
      </xdr:spPr>
    </xdr:pic>
    <xdr:clientData/>
  </xdr:twoCellAnchor>
  <xdr:twoCellAnchor editAs="oneCell">
    <xdr:from>
      <xdr:col>7</xdr:col>
      <xdr:colOff>28575</xdr:colOff>
      <xdr:row>0</xdr:row>
      <xdr:rowOff>76200</xdr:rowOff>
    </xdr:from>
    <xdr:to>
      <xdr:col>9</xdr:col>
      <xdr:colOff>388327</xdr:colOff>
      <xdr:row>6</xdr:row>
      <xdr:rowOff>7835</xdr:rowOff>
    </xdr:to>
    <xdr:pic>
      <xdr:nvPicPr>
        <xdr:cNvPr id="289" name="Picture 288">
          <a:extLst>
            <a:ext uri="{FF2B5EF4-FFF2-40B4-BE49-F238E27FC236}">
              <a16:creationId xmlns:a16="http://schemas.microsoft.com/office/drawing/2014/main" id="{E2EB117E-ED0A-4E91-ACEE-229BC7271A87}"/>
            </a:ext>
          </a:extLst>
        </xdr:cNvPr>
        <xdr:cNvPicPr>
          <a:picLocks noChangeAspect="1"/>
        </xdr:cNvPicPr>
      </xdr:nvPicPr>
      <xdr:blipFill>
        <a:blip xmlns:r="http://schemas.openxmlformats.org/officeDocument/2006/relationships" r:embed="rId7"/>
        <a:stretch>
          <a:fillRect/>
        </a:stretch>
      </xdr:blipFill>
      <xdr:spPr>
        <a:xfrm>
          <a:off x="9124950" y="76200"/>
          <a:ext cx="2702902" cy="10746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3767</xdr:colOff>
      <xdr:row>34</xdr:row>
      <xdr:rowOff>87085</xdr:rowOff>
    </xdr:from>
    <xdr:to>
      <xdr:col>1</xdr:col>
      <xdr:colOff>5385381</xdr:colOff>
      <xdr:row>56</xdr:row>
      <xdr:rowOff>13724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86940" y="9619412"/>
          <a:ext cx="5375149" cy="3634062"/>
        </a:xfrm>
        <a:prstGeom prst="rect">
          <a:avLst/>
        </a:prstGeom>
        <a:ln>
          <a:solidFill>
            <a:schemeClr val="tx1"/>
          </a:solidFill>
        </a:ln>
      </xdr:spPr>
    </xdr:pic>
    <xdr:clientData/>
  </xdr:twoCellAnchor>
  <xdr:twoCellAnchor editAs="oneCell">
    <xdr:from>
      <xdr:col>4</xdr:col>
      <xdr:colOff>0</xdr:colOff>
      <xdr:row>57</xdr:row>
      <xdr:rowOff>0</xdr:rowOff>
    </xdr:from>
    <xdr:to>
      <xdr:col>5</xdr:col>
      <xdr:colOff>9525</xdr:colOff>
      <xdr:row>58</xdr:row>
      <xdr:rowOff>260235</xdr:rowOff>
    </xdr:to>
    <xdr:pic>
      <xdr:nvPicPr>
        <xdr:cNvPr id="7" name="Picture 6">
          <a:extLst>
            <a:ext uri="{FF2B5EF4-FFF2-40B4-BE49-F238E27FC236}">
              <a16:creationId xmlns:a16="http://schemas.microsoft.com/office/drawing/2014/main" id="{151E6A86-6FDB-4DE7-8902-DF61D8CA5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13982700"/>
          <a:ext cx="1533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0</xdr:row>
      <xdr:rowOff>114300</xdr:rowOff>
    </xdr:from>
    <xdr:to>
      <xdr:col>6</xdr:col>
      <xdr:colOff>912202</xdr:colOff>
      <xdr:row>6</xdr:row>
      <xdr:rowOff>17360</xdr:rowOff>
    </xdr:to>
    <xdr:pic>
      <xdr:nvPicPr>
        <xdr:cNvPr id="5" name="Picture 4">
          <a:extLst>
            <a:ext uri="{FF2B5EF4-FFF2-40B4-BE49-F238E27FC236}">
              <a16:creationId xmlns:a16="http://schemas.microsoft.com/office/drawing/2014/main" id="{B2B6B959-BA27-4E16-82F0-B8FF3DCADE5F}"/>
            </a:ext>
          </a:extLst>
        </xdr:cNvPr>
        <xdr:cNvPicPr>
          <a:picLocks noChangeAspect="1"/>
        </xdr:cNvPicPr>
      </xdr:nvPicPr>
      <xdr:blipFill>
        <a:blip xmlns:r="http://schemas.openxmlformats.org/officeDocument/2006/relationships" r:embed="rId3"/>
        <a:stretch>
          <a:fillRect/>
        </a:stretch>
      </xdr:blipFill>
      <xdr:spPr>
        <a:xfrm>
          <a:off x="10287000" y="114300"/>
          <a:ext cx="2702902" cy="1074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90994</xdr:colOff>
      <xdr:row>4</xdr:row>
      <xdr:rowOff>109530</xdr:rowOff>
    </xdr:from>
    <xdr:to>
      <xdr:col>1</xdr:col>
      <xdr:colOff>2473901</xdr:colOff>
      <xdr:row>10</xdr:row>
      <xdr:rowOff>136471</xdr:rowOff>
    </xdr:to>
    <xdr:pic>
      <xdr:nvPicPr>
        <xdr:cNvPr id="2" name="Picture 1">
          <a:extLst>
            <a:ext uri="{FF2B5EF4-FFF2-40B4-BE49-F238E27FC236}">
              <a16:creationId xmlns:a16="http://schemas.microsoft.com/office/drawing/2014/main" id="{D8D209E9-B7DF-44FF-BDEF-97081A31E940}"/>
            </a:ext>
          </a:extLst>
        </xdr:cNvPr>
        <xdr:cNvPicPr>
          <a:picLocks noChangeAspect="1"/>
        </xdr:cNvPicPr>
      </xdr:nvPicPr>
      <xdr:blipFill>
        <a:blip xmlns:r="http://schemas.openxmlformats.org/officeDocument/2006/relationships" r:embed="rId1"/>
        <a:stretch>
          <a:fillRect/>
        </a:stretch>
      </xdr:blipFill>
      <xdr:spPr>
        <a:xfrm>
          <a:off x="90994" y="1489013"/>
          <a:ext cx="2507717" cy="1012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1</xdr:col>
      <xdr:colOff>2705100</xdr:colOff>
      <xdr:row>7</xdr:row>
      <xdr:rowOff>133350</xdr:rowOff>
    </xdr:to>
    <xdr:pic>
      <xdr:nvPicPr>
        <xdr:cNvPr id="2" name="Picture 1">
          <a:extLst>
            <a:ext uri="{FF2B5EF4-FFF2-40B4-BE49-F238E27FC236}">
              <a16:creationId xmlns:a16="http://schemas.microsoft.com/office/drawing/2014/main" id="{E9DDFAA5-718D-48E9-A9C6-04EDC36ECEE0}"/>
            </a:ext>
          </a:extLst>
        </xdr:cNvPr>
        <xdr:cNvPicPr>
          <a:picLocks noChangeAspect="1"/>
        </xdr:cNvPicPr>
      </xdr:nvPicPr>
      <xdr:blipFill>
        <a:blip xmlns:r="http://schemas.openxmlformats.org/officeDocument/2006/relationships" r:embed="rId1"/>
        <a:stretch>
          <a:fillRect/>
        </a:stretch>
      </xdr:blipFill>
      <xdr:spPr>
        <a:xfrm>
          <a:off x="628650" y="219075"/>
          <a:ext cx="2686050" cy="104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41423</xdr:colOff>
      <xdr:row>42</xdr:row>
      <xdr:rowOff>65827</xdr:rowOff>
    </xdr:from>
    <xdr:to>
      <xdr:col>10</xdr:col>
      <xdr:colOff>394866</xdr:colOff>
      <xdr:row>75</xdr:row>
      <xdr:rowOff>24260</xdr:rowOff>
    </xdr:to>
    <xdr:graphicFrame macro="">
      <xdr:nvGraphicFramePr>
        <xdr:cNvPr id="4" name="Chart 3">
          <a:extLst>
            <a:ext uri="{FF2B5EF4-FFF2-40B4-BE49-F238E27FC236}">
              <a16:creationId xmlns:a16="http://schemas.microsoft.com/office/drawing/2014/main" id="{7B137A18-1441-483E-97BD-A87D951B9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381000</xdr:colOff>
      <xdr:row>42</xdr:row>
      <xdr:rowOff>123825</xdr:rowOff>
    </xdr:from>
    <xdr:to>
      <xdr:col>21</xdr:col>
      <xdr:colOff>514350</xdr:colOff>
      <xdr:row>69</xdr:row>
      <xdr:rowOff>76200</xdr:rowOff>
    </xdr:to>
    <xdr:graphicFrame macro="">
      <xdr:nvGraphicFramePr>
        <xdr:cNvPr id="6" name="Chart 5">
          <a:extLst>
            <a:ext uri="{FF2B5EF4-FFF2-40B4-BE49-F238E27FC236}">
              <a16:creationId xmlns:a16="http://schemas.microsoft.com/office/drawing/2014/main" id="{483C3623-ADE9-4C30-9EBB-7E5FBE6080D0}"/>
            </a:ext>
            <a:ext uri="{147F2762-F138-4A5C-976F-8EAC2B608ADB}">
              <a16:predDERef xmlns:a16="http://schemas.microsoft.com/office/drawing/2014/main" pred="{7B137A18-1441-483E-97BD-A87D951B9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21</xdr:col>
      <xdr:colOff>0</xdr:colOff>
      <xdr:row>2</xdr:row>
      <xdr:rowOff>85724</xdr:rowOff>
    </xdr:to>
    <xdr:pic>
      <xdr:nvPicPr>
        <xdr:cNvPr id="8" name="Picture 7">
          <a:extLst>
            <a:ext uri="{FF2B5EF4-FFF2-40B4-BE49-F238E27FC236}">
              <a16:creationId xmlns:a16="http://schemas.microsoft.com/office/drawing/2014/main" id="{8BCB2C0D-BD53-4C73-B7FD-38245CE15AE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801600" cy="409574"/>
        </a:xfrm>
        <a:prstGeom prst="rect">
          <a:avLst/>
        </a:prstGeom>
        <a:noFill/>
        <a:ln>
          <a:noFill/>
        </a:ln>
      </xdr:spPr>
    </xdr:pic>
    <xdr:clientData/>
  </xdr:twoCellAnchor>
  <xdr:twoCellAnchor>
    <xdr:from>
      <xdr:col>12</xdr:col>
      <xdr:colOff>126666</xdr:colOff>
      <xdr:row>7</xdr:row>
      <xdr:rowOff>13725</xdr:rowOff>
    </xdr:from>
    <xdr:to>
      <xdr:col>21</xdr:col>
      <xdr:colOff>359938</xdr:colOff>
      <xdr:row>36</xdr:row>
      <xdr:rowOff>134828</xdr:rowOff>
    </xdr:to>
    <xdr:graphicFrame macro="">
      <xdr:nvGraphicFramePr>
        <xdr:cNvPr id="9" name="Chart 8">
          <a:extLst>
            <a:ext uri="{FF2B5EF4-FFF2-40B4-BE49-F238E27FC236}">
              <a16:creationId xmlns:a16="http://schemas.microsoft.com/office/drawing/2014/main" id="{C4542AA9-BB44-4AAF-BD7D-C9B0D60678A1}"/>
            </a:ext>
            <a:ext uri="{147F2762-F138-4A5C-976F-8EAC2B608ADB}">
              <a16:predDERef xmlns:a16="http://schemas.microsoft.com/office/drawing/2014/main" pred="{8BCB2C0D-BD53-4C73-B7FD-38245CE15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561975</xdr:colOff>
      <xdr:row>6</xdr:row>
      <xdr:rowOff>129445</xdr:rowOff>
    </xdr:from>
    <xdr:to>
      <xdr:col>11</xdr:col>
      <xdr:colOff>411816</xdr:colOff>
      <xdr:row>40</xdr:row>
      <xdr:rowOff>155932</xdr:rowOff>
    </xdr:to>
    <xdr:graphicFrame macro="">
      <xdr:nvGraphicFramePr>
        <xdr:cNvPr id="11" name="Chart 10">
          <a:extLst>
            <a:ext uri="{FF2B5EF4-FFF2-40B4-BE49-F238E27FC236}">
              <a16:creationId xmlns:a16="http://schemas.microsoft.com/office/drawing/2014/main" id="{4E6C0938-E2C5-4624-94F0-8A06097F2F5A}"/>
            </a:ext>
            <a:ext uri="{147F2762-F138-4A5C-976F-8EAC2B608ADB}">
              <a16:predDERef xmlns:a16="http://schemas.microsoft.com/office/drawing/2014/main" pred="{C4542AA9-BB44-4AAF-BD7D-C9B0D606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438150</xdr:colOff>
      <xdr:row>74</xdr:row>
      <xdr:rowOff>142875</xdr:rowOff>
    </xdr:from>
    <xdr:to>
      <xdr:col>16</xdr:col>
      <xdr:colOff>514350</xdr:colOff>
      <xdr:row>118</xdr:row>
      <xdr:rowOff>66675</xdr:rowOff>
    </xdr:to>
    <xdr:graphicFrame macro="">
      <xdr:nvGraphicFramePr>
        <xdr:cNvPr id="7" name="Chart 6">
          <a:extLst>
            <a:ext uri="{FF2B5EF4-FFF2-40B4-BE49-F238E27FC236}">
              <a16:creationId xmlns:a16="http://schemas.microsoft.com/office/drawing/2014/main" id="{080EB51A-827C-43D4-AAD0-111658F9F18B}"/>
            </a:ext>
            <a:ext uri="{147F2762-F138-4A5C-976F-8EAC2B608ADB}">
              <a16:predDERef xmlns:a16="http://schemas.microsoft.com/office/drawing/2014/main" pred="{4E6C0938-E2C5-4624-94F0-8A06097F2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149087</xdr:colOff>
      <xdr:row>13</xdr:row>
      <xdr:rowOff>74545</xdr:rowOff>
    </xdr:from>
    <xdr:to>
      <xdr:col>5</xdr:col>
      <xdr:colOff>325793</xdr:colOff>
      <xdr:row>17</xdr:row>
      <xdr:rowOff>271224</xdr:rowOff>
    </xdr:to>
    <xdr:pic>
      <xdr:nvPicPr>
        <xdr:cNvPr id="4" name="Picture 3">
          <a:extLst>
            <a:ext uri="{FF2B5EF4-FFF2-40B4-BE49-F238E27FC236}">
              <a16:creationId xmlns:a16="http://schemas.microsoft.com/office/drawing/2014/main" id="{12DCAAB8-2928-45D2-BC04-BEF6B7576D0B}"/>
            </a:ext>
          </a:extLst>
        </xdr:cNvPr>
        <xdr:cNvPicPr>
          <a:picLocks noChangeAspect="1"/>
        </xdr:cNvPicPr>
      </xdr:nvPicPr>
      <xdr:blipFill>
        <a:blip xmlns:r="http://schemas.openxmlformats.org/officeDocument/2006/relationships" r:embed="rId1"/>
        <a:stretch>
          <a:fillRect/>
        </a:stretch>
      </xdr:blipFill>
      <xdr:spPr>
        <a:xfrm>
          <a:off x="7611717" y="2459936"/>
          <a:ext cx="2702902" cy="1074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161925</xdr:colOff>
      <xdr:row>0</xdr:row>
      <xdr:rowOff>142875</xdr:rowOff>
    </xdr:from>
    <xdr:to>
      <xdr:col>7</xdr:col>
      <xdr:colOff>121627</xdr:colOff>
      <xdr:row>5</xdr:row>
      <xdr:rowOff>150710</xdr:rowOff>
    </xdr:to>
    <xdr:pic>
      <xdr:nvPicPr>
        <xdr:cNvPr id="10" name="Picture 9">
          <a:extLst>
            <a:ext uri="{FF2B5EF4-FFF2-40B4-BE49-F238E27FC236}">
              <a16:creationId xmlns:a16="http://schemas.microsoft.com/office/drawing/2014/main" id="{5E623E46-708B-43DB-A13D-794BA12B5E0C}"/>
            </a:ext>
          </a:extLst>
        </xdr:cNvPr>
        <xdr:cNvPicPr>
          <a:picLocks noChangeAspect="1"/>
        </xdr:cNvPicPr>
      </xdr:nvPicPr>
      <xdr:blipFill>
        <a:blip xmlns:r="http://schemas.openxmlformats.org/officeDocument/2006/relationships" r:embed="rId1"/>
        <a:stretch>
          <a:fillRect/>
        </a:stretch>
      </xdr:blipFill>
      <xdr:spPr>
        <a:xfrm>
          <a:off x="10868025" y="142875"/>
          <a:ext cx="2702902" cy="1074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146539</xdr:colOff>
      <xdr:row>0</xdr:row>
      <xdr:rowOff>131884</xdr:rowOff>
    </xdr:from>
    <xdr:to>
      <xdr:col>9</xdr:col>
      <xdr:colOff>632314</xdr:colOff>
      <xdr:row>6</xdr:row>
      <xdr:rowOff>41538</xdr:rowOff>
    </xdr:to>
    <xdr:pic>
      <xdr:nvPicPr>
        <xdr:cNvPr id="5" name="Picture 4">
          <a:extLst>
            <a:ext uri="{FF2B5EF4-FFF2-40B4-BE49-F238E27FC236}">
              <a16:creationId xmlns:a16="http://schemas.microsoft.com/office/drawing/2014/main" id="{A6D4AFD4-7656-4107-A4E1-F127008FF4BD}"/>
            </a:ext>
          </a:extLst>
        </xdr:cNvPr>
        <xdr:cNvPicPr>
          <a:picLocks noChangeAspect="1"/>
        </xdr:cNvPicPr>
      </xdr:nvPicPr>
      <xdr:blipFill>
        <a:blip xmlns:r="http://schemas.openxmlformats.org/officeDocument/2006/relationships" r:embed="rId1"/>
        <a:stretch>
          <a:fillRect/>
        </a:stretch>
      </xdr:blipFill>
      <xdr:spPr>
        <a:xfrm>
          <a:off x="9554308" y="131884"/>
          <a:ext cx="2702902" cy="10746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257736</xdr:colOff>
      <xdr:row>0</xdr:row>
      <xdr:rowOff>134471</xdr:rowOff>
    </xdr:from>
    <xdr:to>
      <xdr:col>6</xdr:col>
      <xdr:colOff>1784020</xdr:colOff>
      <xdr:row>5</xdr:row>
      <xdr:rowOff>234194</xdr:rowOff>
    </xdr:to>
    <xdr:pic>
      <xdr:nvPicPr>
        <xdr:cNvPr id="5" name="Picture 4">
          <a:extLst>
            <a:ext uri="{FF2B5EF4-FFF2-40B4-BE49-F238E27FC236}">
              <a16:creationId xmlns:a16="http://schemas.microsoft.com/office/drawing/2014/main" id="{C4DCC0C7-FF63-443B-AC61-BDD8DE9CD322}"/>
            </a:ext>
          </a:extLst>
        </xdr:cNvPr>
        <xdr:cNvPicPr>
          <a:picLocks noChangeAspect="1"/>
        </xdr:cNvPicPr>
      </xdr:nvPicPr>
      <xdr:blipFill>
        <a:blip xmlns:r="http://schemas.openxmlformats.org/officeDocument/2006/relationships" r:embed="rId1"/>
        <a:stretch>
          <a:fillRect/>
        </a:stretch>
      </xdr:blipFill>
      <xdr:spPr>
        <a:xfrm>
          <a:off x="10701618" y="134471"/>
          <a:ext cx="2702902" cy="1074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133350</xdr:colOff>
      <xdr:row>0</xdr:row>
      <xdr:rowOff>161925</xdr:rowOff>
    </xdr:from>
    <xdr:to>
      <xdr:col>7</xdr:col>
      <xdr:colOff>397852</xdr:colOff>
      <xdr:row>6</xdr:row>
      <xdr:rowOff>17360</xdr:rowOff>
    </xdr:to>
    <xdr:pic>
      <xdr:nvPicPr>
        <xdr:cNvPr id="6" name="Picture 5">
          <a:extLst>
            <a:ext uri="{FF2B5EF4-FFF2-40B4-BE49-F238E27FC236}">
              <a16:creationId xmlns:a16="http://schemas.microsoft.com/office/drawing/2014/main" id="{1F96C449-19DD-47AB-89BE-128E408B21E2}"/>
            </a:ext>
          </a:extLst>
        </xdr:cNvPr>
        <xdr:cNvPicPr>
          <a:picLocks noChangeAspect="1"/>
        </xdr:cNvPicPr>
      </xdr:nvPicPr>
      <xdr:blipFill>
        <a:blip xmlns:r="http://schemas.openxmlformats.org/officeDocument/2006/relationships" r:embed="rId1"/>
        <a:stretch>
          <a:fillRect/>
        </a:stretch>
      </xdr:blipFill>
      <xdr:spPr>
        <a:xfrm>
          <a:off x="7096125" y="161925"/>
          <a:ext cx="2702902" cy="1074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AL1001\Projects\Projects%20%23-G\C-CAG_TA\8.GHG_Inv\Mun_Inv_2015\Template_Municipal\2010_RedwoodCity_GovOps_Inventory_2016_5_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Intro"/>
      <sheetName val="Report Charts and Tables"/>
      <sheetName val="Inventory Data Checklist"/>
      <sheetName val="Inventory Log"/>
      <sheetName val="Emissions Outputs, Summary"/>
      <sheetName val="Emissions Outputs, Detailed"/>
      <sheetName val="FA-Categories"/>
      <sheetName val="FA-All Account Summary"/>
      <sheetName val="FA-Utility Working Data"/>
      <sheetName val="FA-Utility Raw Data"/>
      <sheetName val="FA-Other Fuel Raw Data"/>
      <sheetName val="Buildings&amp;Facilities Final Data"/>
      <sheetName val="Buildings&amp;Facilit Working Data"/>
      <sheetName val="Public Lighting Final Data"/>
      <sheetName val="Public Lighting Working Data"/>
      <sheetName val="Water Transport Final Data"/>
      <sheetName val="Water Transport Working Data"/>
      <sheetName val="Port &amp; Marina Final Data"/>
      <sheetName val="Port &amp; Marina Working Data"/>
      <sheetName val="Airport Final Data"/>
      <sheetName val="Airport Working Data"/>
      <sheetName val="WW-Energy Use Final Data"/>
      <sheetName val="WW-Energy Use Working Data"/>
      <sheetName val="WW-Raw Data"/>
      <sheetName val="WW-Central. Trtment Final Data"/>
      <sheetName val="WW-Anaerobic Digester Final Dat"/>
      <sheetName val="WW-Lagoons Final Data"/>
      <sheetName val="WW-Septic Systems Final Data"/>
      <sheetName val="SWL-Energy Use Final Data"/>
      <sheetName val="SWL-Energy Use Working Data"/>
      <sheetName val="SWL-Landfill Final Data"/>
      <sheetName val="SWL-Landfill Raw Data"/>
      <sheetName val="MPG-Energy Use Final Data"/>
      <sheetName val="MPG-Energy Use Working Data"/>
      <sheetName val="MPG-CEMS Final Data"/>
      <sheetName val="MPG-Waste Fuels Final Data"/>
      <sheetName val="MPG-Emissions Factors"/>
      <sheetName val="MPG-SF6 Final Data"/>
      <sheetName val="MPG-T&amp;D Loss Final Data"/>
      <sheetName val="MPG-Fugitive CH4-N2O Data"/>
      <sheetName val="MPG-Emergency Gen. Final Data "/>
      <sheetName val="MPG-Raw Data"/>
      <sheetName val="VF-Detailed Fuel Final Data"/>
      <sheetName val="VF-Aggregate Fuel Final Data"/>
      <sheetName val="VF-VMT Final Data"/>
      <sheetName val="VF-Raw Data"/>
      <sheetName val="Transit Detailed Final Data"/>
      <sheetName val="Transit Aggregate Final Data"/>
      <sheetName val=" Transit VMT Final Data"/>
      <sheetName val="Transit Raw Data"/>
      <sheetName val="WG-Solid Waste Final Input Data"/>
      <sheetName val="WG-Solid Waste by Volume Data"/>
      <sheetName val="WG-Solid Waste by Weight Data"/>
      <sheetName val="WG-Self-Haul Waste Data"/>
      <sheetName val="WG-Solid Waste Factors"/>
      <sheetName val="WG-Solid Waste Raw Data"/>
      <sheetName val="EC-Emissions Final Data"/>
      <sheetName val="EC-Indicators Final Data"/>
      <sheetName val="EC-Working Data"/>
      <sheetName val="EC-Raw Data"/>
      <sheetName val="RF-FA Mass Balance Data"/>
      <sheetName val="RF-FA Simple Mass Balance "/>
      <sheetName val="RF-FA Default Emission Rates"/>
      <sheetName val="RF-VF Mass Balance Data"/>
      <sheetName val="RF-VF Default Emission Rates"/>
      <sheetName val="RF-Raw Data"/>
      <sheetName val="CS-Sector Explanation"/>
      <sheetName val="CS-Emissions Final Data"/>
      <sheetName val="CS-Indicators Final Data"/>
      <sheetName val="CS-Working Data"/>
      <sheetName val="CS-Raw Data"/>
      <sheetName val="Information Ite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3">
          <cell r="C13">
            <v>87</v>
          </cell>
        </row>
      </sheetData>
      <sheetData sheetId="58"/>
      <sheetData sheetId="59"/>
      <sheetData sheetId="60"/>
      <sheetData sheetId="61"/>
      <sheetData sheetId="62">
        <row r="96">
          <cell r="E96" t="str">
            <v>Domestic Refrigeration</v>
          </cell>
        </row>
        <row r="97">
          <cell r="E97" t="str">
            <v>Stand-alone Commercial Applications</v>
          </cell>
        </row>
        <row r="98">
          <cell r="E98" t="str">
            <v>Medium &amp; Large Commercial Refrigeration</v>
          </cell>
        </row>
        <row r="99">
          <cell r="E99" t="str">
            <v>Industrial Refrigeration (including Food Processing and Cold Storage)</v>
          </cell>
        </row>
        <row r="100">
          <cell r="E100" t="str">
            <v>Chillers</v>
          </cell>
        </row>
        <row r="101">
          <cell r="E101" t="str">
            <v>Residential and Commercial A/C including Heat Pumps</v>
          </cell>
        </row>
      </sheetData>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DNV powerpoint">
      <a:dk1>
        <a:srgbClr val="333333"/>
      </a:dk1>
      <a:lt1>
        <a:srgbClr val="FFFFFF"/>
      </a:lt1>
      <a:dk2>
        <a:srgbClr val="0F204B"/>
      </a:dk2>
      <a:lt2>
        <a:srgbClr val="C8C8C8"/>
      </a:lt2>
      <a:accent1>
        <a:srgbClr val="99D6F0"/>
      </a:accent1>
      <a:accent2>
        <a:srgbClr val="3F9C35"/>
      </a:accent2>
      <a:accent3>
        <a:srgbClr val="003591"/>
      </a:accent3>
      <a:accent4>
        <a:srgbClr val="009FDA"/>
      </a:accent4>
      <a:accent5>
        <a:srgbClr val="66C5E9"/>
      </a:accent5>
      <a:accent6>
        <a:srgbClr val="FECB00"/>
      </a:accent6>
      <a:hlink>
        <a:srgbClr val="003591"/>
      </a:hlink>
      <a:folHlink>
        <a:srgbClr val="6E50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epa.gov/ghgemissions/inventory-us-greenhouse-gas-emissions-and-sinks-1990-2013" TargetMode="External"/><Relationship Id="rId13" Type="http://schemas.openxmlformats.org/officeDocument/2006/relationships/hyperlink" Target="https://www.mass.gov/service-details/program-summaries" TargetMode="External"/><Relationship Id="rId18" Type="http://schemas.openxmlformats.org/officeDocument/2006/relationships/printerSettings" Target="../printerSettings/printerSettings8.bin"/><Relationship Id="rId3" Type="http://schemas.openxmlformats.org/officeDocument/2006/relationships/hyperlink" Target="https://www.theclimateregistry.org/wp-content/uploads/2016/03/2015-TCR-Default-EFs.pdf" TargetMode="External"/><Relationship Id="rId7" Type="http://schemas.openxmlformats.org/officeDocument/2006/relationships/hyperlink" Target="https://www.theclimateregistry.org/wp-content/uploads/2016/03/2015-TCR-Default-EFs.pdf" TargetMode="External"/><Relationship Id="rId12" Type="http://schemas.openxmlformats.org/officeDocument/2006/relationships/hyperlink" Target="https://www.mass.gov/doc/2017-summary-massachusetts-ghg-emissions-reports-for-retail-sellers-of-electricity/download" TargetMode="External"/><Relationship Id="rId17" Type="http://schemas.openxmlformats.org/officeDocument/2006/relationships/hyperlink" Target="https://www.mass.gov/doc/2017-summary-massachusetts-ghg-emissions-reports-for-retail-sellers-of-electricity/download" TargetMode="External"/><Relationship Id="rId2" Type="http://schemas.openxmlformats.org/officeDocument/2006/relationships/hyperlink" Target="https://www.theclimateregistry.org/wp-content/uploads/2016/03/2015-TCR-Default-EFs.pdf" TargetMode="External"/><Relationship Id="rId16" Type="http://schemas.openxmlformats.org/officeDocument/2006/relationships/hyperlink" Target="https://www.mass.gov/doc/2017-summary-massachusetts-ghg-emissions-reports-for-retail-sellers-of-electricity/download" TargetMode="External"/><Relationship Id="rId1" Type="http://schemas.openxmlformats.org/officeDocument/2006/relationships/hyperlink" Target="https://www.theclimateregistry.org/wp-content/uploads/2016/03/2015-TCR-Default-EFs.pdf" TargetMode="External"/><Relationship Id="rId6" Type="http://schemas.openxmlformats.org/officeDocument/2006/relationships/hyperlink" Target="https://www.theclimateregistry.org/wp-content/uploads/2016/03/2015-TCR-Default-EFs.pdf" TargetMode="External"/><Relationship Id="rId11" Type="http://schemas.openxmlformats.org/officeDocument/2006/relationships/hyperlink" Target="https://www.mass.gov/doc/2017-summary-massachusetts-ghg-emissions-reports-for-retail-sellers-of-electricity/download" TargetMode="External"/><Relationship Id="rId5" Type="http://schemas.openxmlformats.org/officeDocument/2006/relationships/hyperlink" Target="https://www.epa.gov/sites/production/files/2015-07/documents/emission-factors_2014.pdf" TargetMode="External"/><Relationship Id="rId15" Type="http://schemas.openxmlformats.org/officeDocument/2006/relationships/hyperlink" Target="https://ghgprotocol.org/sites/default/files/ghgp/Potential%20emissions%20(Second%20draft).pdf" TargetMode="External"/><Relationship Id="rId10" Type="http://schemas.openxmlformats.org/officeDocument/2006/relationships/hyperlink" Target="https://www.epa.gov/ghgemissions/inventory-us-greenhouse-gas-emissions-and-sinks-1990-2013" TargetMode="External"/><Relationship Id="rId19" Type="http://schemas.openxmlformats.org/officeDocument/2006/relationships/drawing" Target="../drawings/drawing5.xml"/><Relationship Id="rId4" Type="http://schemas.openxmlformats.org/officeDocument/2006/relationships/hyperlink" Target="https://www.ghgprotocol.org/sites/default/files/ghgp/Global-Warming-Potential-Values%20%28Feb%2016%202016%29_1.pdf" TargetMode="External"/><Relationship Id="rId9" Type="http://schemas.openxmlformats.org/officeDocument/2006/relationships/hyperlink" Target="https://www.theclimateregistry.org/wp-content/uploads/2016/03/2015-TCR-Default-EFs.pdf" TargetMode="External"/><Relationship Id="rId14" Type="http://schemas.openxmlformats.org/officeDocument/2006/relationships/hyperlink" Target="https://www.mass.gov/doc/2017-summary-massachusetts-ghg-emissions-reports-for-retail-sellers-of-electricity/download"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ia.gov/consumption/commercial/data/2003/" TargetMode="External"/><Relationship Id="rId13" Type="http://schemas.openxmlformats.org/officeDocument/2006/relationships/hyperlink" Target="https://lmi.dua.eol.mass.gov/lmi/EmploymentAndWages" TargetMode="External"/><Relationship Id="rId18" Type="http://schemas.openxmlformats.org/officeDocument/2006/relationships/drawing" Target="../drawings/drawing6.xml"/><Relationship Id="rId3" Type="http://schemas.openxmlformats.org/officeDocument/2006/relationships/hyperlink" Target="https://www.eia.gov/consumption/residential/data/2009/index.php?view=characteristics" TargetMode="External"/><Relationship Id="rId7" Type="http://schemas.openxmlformats.org/officeDocument/2006/relationships/hyperlink" Target="https://www.eia.gov/consumption/commercial/data/2012/index.php?view=consumption" TargetMode="External"/><Relationship Id="rId12" Type="http://schemas.openxmlformats.org/officeDocument/2006/relationships/hyperlink" Target="https://lmi.dua.eol.mass.gov/lmi/EmploymentAndWages" TargetMode="External"/><Relationship Id="rId17" Type="http://schemas.openxmlformats.org/officeDocument/2006/relationships/printerSettings" Target="../printerSettings/printerSettings10.bin"/><Relationship Id="rId2" Type="http://schemas.openxmlformats.org/officeDocument/2006/relationships/hyperlink" Target="https://www.eia.gov/consumption/residential/data/2009/index.php?view=consumption" TargetMode="External"/><Relationship Id="rId16" Type="http://schemas.openxmlformats.org/officeDocument/2006/relationships/hyperlink" Target="https://www.eia.gov/consumption/manufacturing/data/2014/" TargetMode="External"/><Relationship Id="rId1" Type="http://schemas.openxmlformats.org/officeDocument/2006/relationships/hyperlink" Target="https://www.eia.gov/consumption/residential/data/2015/c&amp;e/pdf/ce2.1.pdf" TargetMode="External"/><Relationship Id="rId6" Type="http://schemas.openxmlformats.org/officeDocument/2006/relationships/hyperlink" Target="https://lmi.dua.eol.mass.gov/lmi/EmploymentAndWages" TargetMode="External"/><Relationship Id="rId11" Type="http://schemas.openxmlformats.org/officeDocument/2006/relationships/hyperlink" Target="https://www.eia.gov/electricity/state/massachusetts/" TargetMode="External"/><Relationship Id="rId5" Type="http://schemas.openxmlformats.org/officeDocument/2006/relationships/hyperlink" Target="https://factfinder.census.gov/faces/nav/jsf/pages/index.xhtml" TargetMode="External"/><Relationship Id="rId15" Type="http://schemas.openxmlformats.org/officeDocument/2006/relationships/hyperlink" Target="https://www.eia.gov/consumption/manufacturing/data/2014/" TargetMode="External"/><Relationship Id="rId10" Type="http://schemas.openxmlformats.org/officeDocument/2006/relationships/hyperlink" Target="http://www.pnas.org/content/112/7/1941.full.pdf" TargetMode="External"/><Relationship Id="rId4" Type="http://schemas.openxmlformats.org/officeDocument/2006/relationships/hyperlink" Target="https://factfinder.census.gov/faces/nav/jsf/pages/index.xhtml" TargetMode="External"/><Relationship Id="rId9" Type="http://schemas.openxmlformats.org/officeDocument/2006/relationships/hyperlink" Target="http://insideevs.com/most-electric-vehicle-owners-charge-at-home-in-other-news-the-sky-is-blue/" TargetMode="External"/><Relationship Id="rId14" Type="http://schemas.openxmlformats.org/officeDocument/2006/relationships/hyperlink" Target="https://www.eia.gov/consumption/manufacturing/data/2014/"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epa.gov/move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epa.gov/ghgreporting/ghg-reporting-program-data-set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fueleconomy.gov/feg/noframes/39860.shtml" TargetMode="External"/><Relationship Id="rId3" Type="http://schemas.openxmlformats.org/officeDocument/2006/relationships/hyperlink" Target="https://www.fueleconomy.gov/feg/Find.do?action=sbs&amp;id=39190" TargetMode="External"/><Relationship Id="rId7" Type="http://schemas.openxmlformats.org/officeDocument/2006/relationships/hyperlink" Target="https://www.fueleconomy.gov/feg/Find.do?action=sbs&amp;id=39786" TargetMode="External"/><Relationship Id="rId2" Type="http://schemas.openxmlformats.org/officeDocument/2006/relationships/hyperlink" Target="https://www.fueleconomy.gov/feg/Find.do?action=sbs&amp;id=39882" TargetMode="External"/><Relationship Id="rId1" Type="http://schemas.openxmlformats.org/officeDocument/2006/relationships/hyperlink" Target="https://www.eia.gov/electricity/state/massachusetts/" TargetMode="External"/><Relationship Id="rId6" Type="http://schemas.openxmlformats.org/officeDocument/2006/relationships/hyperlink" Target="https://www.fueleconomy.gov/feg/noframes/39840.shtml" TargetMode="External"/><Relationship Id="rId5" Type="http://schemas.openxmlformats.org/officeDocument/2006/relationships/hyperlink" Target="https://www.fueleconomy.gov/feg/PowerSearch.do?action=noform&amp;path=1&amp;year1=2018&amp;year2=2018&amp;make=Tesla&amp;baseModel=Model%203&amp;srchtyp=ymm" TargetMode="External"/><Relationship Id="rId10" Type="http://schemas.openxmlformats.org/officeDocument/2006/relationships/drawing" Target="../drawings/drawing9.xml"/><Relationship Id="rId4" Type="http://schemas.openxmlformats.org/officeDocument/2006/relationships/hyperlink" Target="https://fueleconomy.gov/feg/bymodel/2018_Tesla_Model_X.shtml" TargetMode="External"/><Relationship Id="rId9"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s://www.eia.gov/electricity/state/massachusetts/"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common.mapc.org/browser/datasets/412" TargetMode="External"/><Relationship Id="rId13" Type="http://schemas.openxmlformats.org/officeDocument/2006/relationships/hyperlink" Target="https://data.census.gov/cedsci/" TargetMode="External"/><Relationship Id="rId3" Type="http://schemas.openxmlformats.org/officeDocument/2006/relationships/hyperlink" Target="https://datacommon.mapc.org/browser/datasets/211" TargetMode="External"/><Relationship Id="rId7" Type="http://schemas.openxmlformats.org/officeDocument/2006/relationships/hyperlink" Target="https://datacommon.mapc.org/browser/datasets/408?max=200&amp;min=150" TargetMode="External"/><Relationship Id="rId12" Type="http://schemas.openxmlformats.org/officeDocument/2006/relationships/hyperlink" Target="https://www.massenergyinsight.net/home" TargetMode="External"/><Relationship Id="rId2" Type="http://schemas.openxmlformats.org/officeDocument/2006/relationships/hyperlink" Target="https://www.masssavedata.com/public/home" TargetMode="External"/><Relationship Id="rId16" Type="http://schemas.openxmlformats.org/officeDocument/2006/relationships/drawing" Target="../drawings/drawing2.xml"/><Relationship Id="rId1" Type="http://schemas.openxmlformats.org/officeDocument/2006/relationships/hyperlink" Target="https://lmi.dua.eol.mass.gov/lmi/EmploymentAndWages" TargetMode="External"/><Relationship Id="rId6" Type="http://schemas.openxmlformats.org/officeDocument/2006/relationships/hyperlink" Target="https://datacommon.mapc.org/browser/datasets/408?max=200&amp;min=150" TargetMode="External"/><Relationship Id="rId11" Type="http://schemas.openxmlformats.org/officeDocument/2006/relationships/hyperlink" Target="https://datacommon.mapc.org/browser/datasets/410" TargetMode="External"/><Relationship Id="rId5" Type="http://schemas.openxmlformats.org/officeDocument/2006/relationships/hyperlink" Target="https://datacommon.mapc.org/browser/datasets/316" TargetMode="External"/><Relationship Id="rId15" Type="http://schemas.openxmlformats.org/officeDocument/2006/relationships/printerSettings" Target="../printerSettings/printerSettings2.bin"/><Relationship Id="rId10" Type="http://schemas.openxmlformats.org/officeDocument/2006/relationships/hyperlink" Target="https://datacommon.mapc.org/browser/datasets/411" TargetMode="External"/><Relationship Id="rId4" Type="http://schemas.openxmlformats.org/officeDocument/2006/relationships/hyperlink" Target="https://datacommon.mapc.org/browser/datasets/191" TargetMode="External"/><Relationship Id="rId9" Type="http://schemas.openxmlformats.org/officeDocument/2006/relationships/hyperlink" Target="https://www.massenergyinsight.net/home" TargetMode="External"/><Relationship Id="rId14" Type="http://schemas.openxmlformats.org/officeDocument/2006/relationships/hyperlink" Target="https://data.census.gov/cedsci/"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ass.gov/guides/solid-waste-master-plan" TargetMode="External"/><Relationship Id="rId1" Type="http://schemas.openxmlformats.org/officeDocument/2006/relationships/hyperlink" Target="https://www.mass.gov/files/documents/2018/12/11/17swdata.pdf" TargetMode="External"/><Relationship Id="rId4"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https://www.mass.gov/guides/solid-waste-master-plan"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mass.gov/eea/agencies/massdep/recycle/solid/wheelabrator-saugus-technical-profile.html" TargetMode="External"/><Relationship Id="rId1" Type="http://schemas.openxmlformats.org/officeDocument/2006/relationships/hyperlink" Target="http://www.ipcc-nggip.iges.or.jp/public/2006gl/pdf/5_Volume5/V5_2_Ch2_Waste_Data.pdf" TargetMode="External"/><Relationship Id="rId4"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mass.gov/files/documents/2016/11/xv/gwsa-update-16.pdf" TargetMode="External"/><Relationship Id="rId1" Type="http://schemas.openxmlformats.org/officeDocument/2006/relationships/hyperlink" Target="https://www.epa.gov/sites/production/files/2019-04/documents/us-ghg-inventory-2019-main-text.pdf" TargetMode="External"/><Relationship Id="rId4"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eia.gov/energyexplained/units-and-calculato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epa.gov/climateleadership/center-corporate-climate-leadership-ghg-emission-factors-hub"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heclimateregistry.org/tools-resources/reporting-protocols/general-reporting-protocol/" TargetMode="External"/><Relationship Id="rId13" Type="http://schemas.openxmlformats.org/officeDocument/2006/relationships/printerSettings" Target="../printerSettings/printerSettings3.bin"/><Relationship Id="rId3" Type="http://schemas.openxmlformats.org/officeDocument/2006/relationships/hyperlink" Target="https://www.eia.gov/electricity/state/massachusetts/" TargetMode="External"/><Relationship Id="rId7" Type="http://schemas.openxmlformats.org/officeDocument/2006/relationships/hyperlink" Target="https://www.fueleconomy.gov/" TargetMode="External"/><Relationship Id="rId12" Type="http://schemas.openxmlformats.org/officeDocument/2006/relationships/hyperlink" Target="https://www.mass.gov/service-details/annual-compliance-information-for-retail-electric-suppliers" TargetMode="External"/><Relationship Id="rId2" Type="http://schemas.openxmlformats.org/officeDocument/2006/relationships/hyperlink" Target="https://www.mass.gov/doc/2017-summary-massachusetts-ghg-emissions-reports-for-retail-sellers-of-electricity/download" TargetMode="External"/><Relationship Id="rId1" Type="http://schemas.openxmlformats.org/officeDocument/2006/relationships/hyperlink" Target="https://www.mass.gov/guides/massdep-greenhouse-gas-emissions-reporting-program" TargetMode="External"/><Relationship Id="rId6" Type="http://schemas.openxmlformats.org/officeDocument/2006/relationships/hyperlink" Target="https://www.mass.gov/files/documents/2016/11/xv/gwsa-update-16.pdf" TargetMode="External"/><Relationship Id="rId11" Type="http://schemas.openxmlformats.org/officeDocument/2006/relationships/hyperlink" Target="https://www.ghgprotocol.org/sites/default/files/ghgp/Global-Warming-Potential-Values%20%28Feb%2016%202016%29_1.pdf" TargetMode="External"/><Relationship Id="rId5" Type="http://schemas.openxmlformats.org/officeDocument/2006/relationships/hyperlink" Target="https://www.epa.gov/ghgemissions/inventory-us-greenhouse-gas-emissions-and-sinks" TargetMode="External"/><Relationship Id="rId10" Type="http://schemas.openxmlformats.org/officeDocument/2006/relationships/hyperlink" Target="https://www.theclimateregistry.org/tools-resources/reporting-protocols/general-reporting-protocol/" TargetMode="External"/><Relationship Id="rId4" Type="http://schemas.openxmlformats.org/officeDocument/2006/relationships/hyperlink" Target="https://www.mass.gov/guides/solid-waste-master-plan" TargetMode="External"/><Relationship Id="rId9" Type="http://schemas.openxmlformats.org/officeDocument/2006/relationships/hyperlink" Target="https://www.epa.gov/climateleadership/center-corporate-climate-leadership-ghg-emission-factors-hub"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M47"/>
  <sheetViews>
    <sheetView showGridLines="0" zoomScale="115" zoomScaleNormal="115" workbookViewId="0">
      <selection activeCell="N19" sqref="N19"/>
    </sheetView>
  </sheetViews>
  <sheetFormatPr defaultColWidth="8.85546875" defaultRowHeight="12.75"/>
  <cols>
    <col min="1" max="1" width="2.42578125" style="6" customWidth="1"/>
    <col min="2" max="2" width="8.85546875" style="6" customWidth="1"/>
    <col min="3" max="16384" width="8.85546875" style="6"/>
  </cols>
  <sheetData>
    <row r="1" spans="2:2" s="24" customFormat="1"/>
    <row r="2" spans="2:2" s="24" customFormat="1"/>
    <row r="3" spans="2:2" s="24" customFormat="1"/>
    <row r="4" spans="2:2" ht="36.75" customHeight="1">
      <c r="B4" s="24"/>
    </row>
    <row r="5" spans="2:2" ht="23.25">
      <c r="B5" s="32" t="s">
        <v>0</v>
      </c>
    </row>
    <row r="38" spans="2:13" ht="13.5" thickBot="1">
      <c r="B38" s="24"/>
      <c r="C38" s="24"/>
      <c r="D38" s="24"/>
      <c r="E38" s="24"/>
      <c r="F38" s="24"/>
      <c r="G38" s="24"/>
      <c r="H38" s="24"/>
      <c r="I38" s="24"/>
      <c r="J38" s="24"/>
      <c r="K38" s="24"/>
      <c r="L38" s="24"/>
      <c r="M38" s="24"/>
    </row>
    <row r="39" spans="2:13" ht="13.5" thickBot="1">
      <c r="B39" s="1283" t="s">
        <v>1</v>
      </c>
      <c r="C39" s="24"/>
      <c r="D39" s="24"/>
      <c r="E39" s="24"/>
      <c r="F39" s="24"/>
      <c r="G39" s="24"/>
      <c r="H39" s="24"/>
      <c r="I39" s="24"/>
      <c r="J39" s="24"/>
      <c r="K39" s="24"/>
      <c r="L39" s="24"/>
      <c r="M39" s="24"/>
    </row>
    <row r="40" spans="2:13" ht="15" customHeight="1" thickBot="1">
      <c r="B40" s="1284" t="s">
        <v>2</v>
      </c>
      <c r="C40" s="1285"/>
      <c r="D40" s="1285"/>
      <c r="E40" s="1285"/>
      <c r="F40" s="1890" t="s">
        <v>3</v>
      </c>
      <c r="G40" s="1891"/>
      <c r="H40" s="1891"/>
      <c r="I40" s="1891"/>
      <c r="J40" s="1891"/>
      <c r="K40" s="1891"/>
      <c r="L40" s="1891"/>
      <c r="M40" s="1892"/>
    </row>
    <row r="41" spans="2:13" ht="107.25" customHeight="1">
      <c r="B41" s="1275" t="s">
        <v>4</v>
      </c>
      <c r="C41" s="1276"/>
      <c r="D41" s="1276"/>
      <c r="E41" s="1276"/>
      <c r="F41" s="1893" t="s">
        <v>5</v>
      </c>
      <c r="G41" s="1894"/>
      <c r="H41" s="1894"/>
      <c r="I41" s="1894"/>
      <c r="J41" s="1894"/>
      <c r="K41" s="1894"/>
      <c r="L41" s="1894"/>
      <c r="M41" s="1895"/>
    </row>
    <row r="42" spans="2:13" ht="15" customHeight="1">
      <c r="B42" s="1277" t="s">
        <v>6</v>
      </c>
      <c r="C42" s="1278"/>
      <c r="D42" s="1278"/>
      <c r="E42" s="1278"/>
      <c r="F42" s="1887" t="s">
        <v>7</v>
      </c>
      <c r="G42" s="1888"/>
      <c r="H42" s="1888"/>
      <c r="I42" s="1888"/>
      <c r="J42" s="1888"/>
      <c r="K42" s="1888"/>
      <c r="L42" s="1888"/>
      <c r="M42" s="1889"/>
    </row>
    <row r="43" spans="2:13" ht="15" customHeight="1">
      <c r="B43" s="1359" t="s">
        <v>8</v>
      </c>
      <c r="C43" s="1352"/>
      <c r="D43" s="1352"/>
      <c r="E43" s="1352"/>
      <c r="F43" s="1896" t="s">
        <v>9</v>
      </c>
      <c r="G43" s="1897"/>
      <c r="H43" s="1897"/>
      <c r="I43" s="1897"/>
      <c r="J43" s="1897"/>
      <c r="K43" s="1897"/>
      <c r="L43" s="1897"/>
      <c r="M43" s="1898"/>
    </row>
    <row r="44" spans="2:13" s="24" customFormat="1" ht="29.25" customHeight="1">
      <c r="B44" s="1279" t="s">
        <v>10</v>
      </c>
      <c r="C44" s="1280"/>
      <c r="D44" s="1280"/>
      <c r="E44" s="1360"/>
      <c r="F44" s="1902" t="s">
        <v>11</v>
      </c>
      <c r="G44" s="1903"/>
      <c r="H44" s="1903"/>
      <c r="I44" s="1903"/>
      <c r="J44" s="1903"/>
      <c r="K44" s="1903"/>
      <c r="L44" s="1903"/>
      <c r="M44" s="1904"/>
    </row>
    <row r="45" spans="2:13" ht="15" customHeight="1">
      <c r="B45" s="1351" t="s">
        <v>12</v>
      </c>
      <c r="C45" s="1352"/>
      <c r="D45" s="1352"/>
      <c r="E45" s="1352"/>
      <c r="F45" s="1896" t="s">
        <v>13</v>
      </c>
      <c r="G45" s="1897"/>
      <c r="H45" s="1897"/>
      <c r="I45" s="1897"/>
      <c r="J45" s="1897"/>
      <c r="K45" s="1897"/>
      <c r="L45" s="1897"/>
      <c r="M45" s="1898"/>
    </row>
    <row r="46" spans="2:13" ht="30" customHeight="1" thickBot="1">
      <c r="B46" s="1281"/>
      <c r="C46" s="1282"/>
      <c r="D46" s="1282"/>
      <c r="E46" s="1282"/>
      <c r="F46" s="1899" t="s">
        <v>14</v>
      </c>
      <c r="G46" s="1900"/>
      <c r="H46" s="1900"/>
      <c r="I46" s="1900"/>
      <c r="J46" s="1900"/>
      <c r="K46" s="1900"/>
      <c r="L46" s="1900"/>
      <c r="M46" s="1901"/>
    </row>
    <row r="47" spans="2:13">
      <c r="B47" s="24" t="s">
        <v>15</v>
      </c>
      <c r="C47" s="24"/>
      <c r="D47" s="24"/>
      <c r="E47" s="24"/>
      <c r="F47" s="24"/>
      <c r="G47" s="24"/>
      <c r="H47" s="24"/>
      <c r="I47" s="24"/>
      <c r="J47" s="24"/>
      <c r="K47" s="24"/>
      <c r="L47" s="24"/>
      <c r="M47" s="24"/>
    </row>
  </sheetData>
  <mergeCells count="7">
    <mergeCell ref="F42:M42"/>
    <mergeCell ref="F40:M40"/>
    <mergeCell ref="F41:M41"/>
    <mergeCell ref="F45:M45"/>
    <mergeCell ref="F46:M46"/>
    <mergeCell ref="F43:M43"/>
    <mergeCell ref="F44:M4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U218"/>
  <sheetViews>
    <sheetView showGridLines="0" topLeftCell="A4" zoomScaleNormal="100" workbookViewId="0">
      <selection activeCell="B34" sqref="B34:E34"/>
    </sheetView>
  </sheetViews>
  <sheetFormatPr defaultRowHeight="12.75"/>
  <cols>
    <col min="1" max="1" width="3.28515625" style="16" customWidth="1"/>
    <col min="2" max="2" width="39.140625" style="5" bestFit="1" customWidth="1"/>
    <col min="3" max="3" width="36.85546875" style="5" customWidth="1"/>
    <col min="4" max="4" width="32.7109375" style="5" customWidth="1"/>
    <col min="5" max="5" width="37.85546875" style="16" customWidth="1"/>
    <col min="6" max="6" width="24.140625" style="16" customWidth="1"/>
    <col min="7" max="7" width="22.140625" style="16" customWidth="1"/>
    <col min="8" max="8" width="30.42578125" style="16" customWidth="1"/>
    <col min="9" max="9" width="19.140625" style="16" customWidth="1"/>
    <col min="10" max="12" width="22.28515625" style="16" customWidth="1"/>
    <col min="13" max="13" width="25.42578125" style="16" customWidth="1"/>
    <col min="14" max="15" width="20" style="16" customWidth="1"/>
    <col min="16" max="16" width="18.85546875" style="16" customWidth="1"/>
    <col min="17" max="17" width="9.140625" style="16"/>
    <col min="18" max="18" width="14.7109375" style="16" customWidth="1"/>
    <col min="19" max="22" width="9.140625" style="16"/>
    <col min="23" max="16384" width="9.140625" style="5"/>
  </cols>
  <sheetData>
    <row r="1" spans="1:47" ht="13.5" thickBot="1"/>
    <row r="2" spans="1:47" ht="22.5" customHeight="1" thickBot="1">
      <c r="B2" s="2136" t="s">
        <v>907</v>
      </c>
      <c r="C2" s="2137"/>
      <c r="D2" s="2138"/>
      <c r="F2" s="227"/>
      <c r="W2" s="16"/>
      <c r="X2" s="16"/>
      <c r="Y2" s="16"/>
      <c r="Z2" s="16"/>
      <c r="AA2" s="16"/>
      <c r="AB2" s="16"/>
      <c r="AC2" s="16"/>
      <c r="AD2" s="16"/>
      <c r="AE2" s="16"/>
      <c r="AF2" s="16"/>
      <c r="AG2" s="16"/>
      <c r="AH2" s="16"/>
      <c r="AI2" s="16"/>
      <c r="AJ2" s="16"/>
      <c r="AK2" s="16"/>
      <c r="AL2" s="16"/>
      <c r="AM2" s="16"/>
      <c r="AN2" s="16"/>
      <c r="AO2" s="16"/>
      <c r="AP2" s="16"/>
      <c r="AQ2" s="16"/>
      <c r="AR2" s="16"/>
      <c r="AS2" s="16"/>
      <c r="AT2" s="16"/>
      <c r="AU2" s="16"/>
    </row>
    <row r="3" spans="1:47">
      <c r="B3" s="2139" t="s">
        <v>908</v>
      </c>
      <c r="C3" s="2139"/>
      <c r="D3" s="2139"/>
      <c r="E3" s="2139"/>
      <c r="F3" s="2139"/>
      <c r="G3" s="2139"/>
      <c r="H3" s="2139"/>
      <c r="I3" s="56"/>
      <c r="W3" s="16"/>
      <c r="X3" s="16"/>
      <c r="Y3" s="16"/>
      <c r="Z3" s="16"/>
      <c r="AA3" s="16"/>
      <c r="AB3" s="16"/>
      <c r="AC3" s="16"/>
      <c r="AD3" s="16"/>
      <c r="AE3" s="16"/>
      <c r="AF3" s="16"/>
      <c r="AG3" s="16"/>
      <c r="AH3" s="16"/>
      <c r="AI3" s="16"/>
      <c r="AJ3" s="16"/>
      <c r="AK3" s="16"/>
      <c r="AL3" s="16"/>
      <c r="AM3" s="16"/>
      <c r="AN3" s="16"/>
      <c r="AO3" s="16"/>
      <c r="AP3" s="16"/>
      <c r="AQ3" s="16"/>
      <c r="AR3" s="16"/>
      <c r="AS3" s="16"/>
      <c r="AT3" s="16"/>
      <c r="AU3" s="16"/>
    </row>
    <row r="4" spans="1:47" ht="13.5" thickBot="1">
      <c r="B4" s="1873"/>
      <c r="C4" s="1873"/>
      <c r="D4" s="1873"/>
      <c r="E4" s="1873"/>
      <c r="F4" s="1873"/>
      <c r="G4" s="1873"/>
      <c r="H4" s="1873"/>
      <c r="I4" s="56"/>
      <c r="W4" s="16"/>
      <c r="X4" s="16"/>
      <c r="Y4" s="16"/>
      <c r="Z4" s="16"/>
      <c r="AA4" s="16"/>
      <c r="AB4" s="16"/>
      <c r="AC4" s="16"/>
      <c r="AD4" s="16"/>
      <c r="AE4" s="16"/>
      <c r="AF4" s="16"/>
      <c r="AG4" s="16"/>
      <c r="AH4" s="16"/>
      <c r="AI4" s="16"/>
      <c r="AJ4" s="16"/>
      <c r="AK4" s="16"/>
      <c r="AL4" s="16"/>
      <c r="AM4" s="16"/>
      <c r="AN4" s="16"/>
      <c r="AO4" s="16"/>
      <c r="AP4" s="16"/>
      <c r="AQ4" s="16"/>
      <c r="AR4" s="16"/>
      <c r="AS4" s="16"/>
      <c r="AT4" s="16"/>
      <c r="AU4" s="16"/>
    </row>
    <row r="5" spans="1:47" ht="13.5" thickBot="1">
      <c r="B5" s="1936" t="s">
        <v>434</v>
      </c>
      <c r="C5" s="2140"/>
      <c r="D5" s="2140"/>
      <c r="E5" s="2141"/>
      <c r="F5" s="1873"/>
      <c r="G5" s="1873"/>
      <c r="H5" s="1873"/>
      <c r="I5" s="56"/>
      <c r="W5" s="16"/>
      <c r="X5" s="16"/>
      <c r="Y5" s="16"/>
      <c r="Z5" s="16"/>
      <c r="AA5" s="16"/>
      <c r="AB5" s="16"/>
      <c r="AC5" s="16"/>
      <c r="AD5" s="16"/>
      <c r="AE5" s="16"/>
      <c r="AF5" s="16"/>
      <c r="AG5" s="16"/>
      <c r="AH5" s="16"/>
      <c r="AI5" s="16"/>
      <c r="AJ5" s="16"/>
      <c r="AK5" s="16"/>
      <c r="AL5" s="16"/>
      <c r="AM5" s="16"/>
      <c r="AN5" s="16"/>
      <c r="AO5" s="16"/>
      <c r="AP5" s="16"/>
      <c r="AQ5" s="16"/>
      <c r="AR5" s="16"/>
      <c r="AS5" s="16"/>
      <c r="AT5" s="16"/>
      <c r="AU5" s="16"/>
    </row>
    <row r="6" spans="1:47" ht="44.25" customHeight="1" thickBot="1">
      <c r="B6" s="2070" t="s">
        <v>909</v>
      </c>
      <c r="C6" s="2071"/>
      <c r="D6" s="2071"/>
      <c r="E6" s="2072"/>
      <c r="F6" s="1873"/>
      <c r="G6" s="1873"/>
      <c r="H6" s="1873"/>
      <c r="I6" s="56"/>
      <c r="W6" s="16"/>
      <c r="X6" s="16"/>
      <c r="Y6" s="16"/>
      <c r="Z6" s="16"/>
      <c r="AA6" s="16"/>
      <c r="AB6" s="16"/>
      <c r="AC6" s="16"/>
      <c r="AD6" s="16"/>
      <c r="AE6" s="16"/>
      <c r="AF6" s="16"/>
      <c r="AG6" s="16"/>
      <c r="AH6" s="16"/>
      <c r="AI6" s="16"/>
      <c r="AJ6" s="16"/>
      <c r="AK6" s="16"/>
      <c r="AL6" s="16"/>
      <c r="AM6" s="16"/>
      <c r="AN6" s="16"/>
      <c r="AO6" s="16"/>
      <c r="AP6" s="16"/>
      <c r="AQ6" s="16"/>
      <c r="AR6" s="16"/>
      <c r="AS6" s="16"/>
      <c r="AT6" s="16"/>
      <c r="AU6" s="16"/>
    </row>
    <row r="7" spans="1:47" ht="12" customHeight="1" thickBot="1">
      <c r="B7" s="56"/>
      <c r="C7" s="56"/>
      <c r="D7" s="56"/>
      <c r="E7" s="56"/>
      <c r="F7" s="56"/>
      <c r="G7" s="56"/>
      <c r="H7" s="56"/>
      <c r="I7" s="56"/>
      <c r="W7" s="16"/>
      <c r="X7" s="16"/>
      <c r="Y7" s="16"/>
      <c r="Z7" s="16"/>
      <c r="AA7" s="16"/>
      <c r="AB7" s="16"/>
      <c r="AC7" s="16"/>
      <c r="AD7" s="16"/>
      <c r="AE7" s="16"/>
      <c r="AF7" s="16"/>
      <c r="AG7" s="16"/>
      <c r="AH7" s="16"/>
      <c r="AI7" s="16"/>
      <c r="AJ7" s="16"/>
      <c r="AK7" s="16"/>
      <c r="AL7" s="16"/>
      <c r="AM7" s="16"/>
      <c r="AN7" s="16"/>
      <c r="AO7" s="16"/>
      <c r="AP7" s="16"/>
      <c r="AQ7" s="16"/>
      <c r="AR7" s="16"/>
      <c r="AS7" s="16"/>
      <c r="AT7" s="16"/>
      <c r="AU7" s="16"/>
    </row>
    <row r="8" spans="1:47" ht="15.75" customHeight="1" thickBot="1">
      <c r="B8" s="1905" t="s">
        <v>910</v>
      </c>
      <c r="C8" s="2114"/>
      <c r="D8" s="2114"/>
      <c r="E8" s="2114"/>
      <c r="F8" s="2114"/>
      <c r="G8" s="2142"/>
      <c r="H8" s="56"/>
      <c r="W8" s="16"/>
      <c r="X8" s="16"/>
      <c r="Y8" s="16"/>
      <c r="Z8" s="16"/>
      <c r="AA8" s="16"/>
      <c r="AB8" s="16"/>
      <c r="AC8" s="16"/>
      <c r="AD8" s="16"/>
      <c r="AE8" s="16"/>
      <c r="AF8" s="16"/>
      <c r="AG8" s="16"/>
      <c r="AH8" s="16"/>
      <c r="AI8" s="16"/>
      <c r="AJ8" s="16"/>
      <c r="AK8" s="16"/>
      <c r="AL8" s="16"/>
      <c r="AM8" s="16"/>
      <c r="AN8" s="16"/>
      <c r="AO8" s="16"/>
      <c r="AP8" s="16"/>
      <c r="AQ8" s="16"/>
      <c r="AR8" s="16"/>
      <c r="AS8" s="16"/>
      <c r="AT8" s="16"/>
    </row>
    <row r="9" spans="1:47" s="16" customFormat="1">
      <c r="A9" s="35"/>
      <c r="B9" s="82" t="s">
        <v>287</v>
      </c>
      <c r="C9" s="264" t="s">
        <v>298</v>
      </c>
      <c r="D9" s="73" t="s">
        <v>911</v>
      </c>
      <c r="E9" s="270" t="s">
        <v>912</v>
      </c>
      <c r="F9" s="269" t="s">
        <v>913</v>
      </c>
      <c r="G9" s="74" t="s">
        <v>464</v>
      </c>
      <c r="H9" s="56"/>
    </row>
    <row r="10" spans="1:47" s="16" customFormat="1" ht="16.5" customHeight="1">
      <c r="A10" s="35"/>
      <c r="B10" s="274" t="s">
        <v>914</v>
      </c>
      <c r="C10" s="1094">
        <f>'Adjust Inventory Year'!C13</f>
        <v>53.06</v>
      </c>
      <c r="D10" s="1333">
        <f>(C10*D139)*D148</f>
        <v>5.304731866E-3</v>
      </c>
      <c r="E10" s="1332"/>
      <c r="F10" s="1332"/>
      <c r="G10" s="275" t="s">
        <v>915</v>
      </c>
      <c r="H10" s="56"/>
    </row>
    <row r="11" spans="1:47" s="16" customFormat="1" ht="16.5" customHeight="1">
      <c r="A11" s="35"/>
      <c r="B11" s="79" t="s">
        <v>287</v>
      </c>
      <c r="C11" s="269" t="s">
        <v>298</v>
      </c>
      <c r="D11" s="269" t="s">
        <v>299</v>
      </c>
      <c r="E11" s="270" t="s">
        <v>300</v>
      </c>
      <c r="F11" s="269" t="s">
        <v>301</v>
      </c>
      <c r="G11" s="81" t="s">
        <v>464</v>
      </c>
    </row>
    <row r="12" spans="1:47" s="16" customFormat="1" ht="16.5" customHeight="1" thickBot="1">
      <c r="A12" s="35"/>
      <c r="B12" s="680" t="s">
        <v>303</v>
      </c>
      <c r="C12" s="681" t="s">
        <v>53</v>
      </c>
      <c r="D12" s="1334">
        <f>'Adjust Inventory Year'!D14</f>
        <v>7.3959999999999998E-2</v>
      </c>
      <c r="E12" s="1335">
        <f>'Adjust Inventory Year'!E14</f>
        <v>3.0000000000000001E-6</v>
      </c>
      <c r="F12" s="1335">
        <f>'Adjust Inventory Year'!F14</f>
        <v>5.9999999999999997E-7</v>
      </c>
      <c r="G12" s="1336" t="s">
        <v>916</v>
      </c>
    </row>
    <row r="13" spans="1:47" s="16" customFormat="1" ht="17.25" customHeight="1" thickBot="1">
      <c r="A13" s="35"/>
      <c r="B13" s="2143" t="s">
        <v>917</v>
      </c>
      <c r="C13" s="2144"/>
      <c r="D13" s="2144"/>
      <c r="E13" s="2145"/>
      <c r="F13" s="56"/>
      <c r="G13" s="56"/>
      <c r="H13" s="56"/>
    </row>
    <row r="14" spans="1:47" s="16" customFormat="1" ht="13.5" thickBot="1">
      <c r="A14" s="35"/>
      <c r="B14" s="35"/>
      <c r="C14" s="35"/>
      <c r="D14" s="35"/>
      <c r="E14" s="35"/>
      <c r="F14" s="35"/>
      <c r="G14" s="56"/>
      <c r="H14" s="56"/>
      <c r="I14" s="56"/>
    </row>
    <row r="15" spans="1:47" s="16" customFormat="1" ht="15.75" thickBot="1">
      <c r="A15" s="35"/>
      <c r="B15" s="1931" t="s">
        <v>918</v>
      </c>
      <c r="C15" s="2146"/>
      <c r="D15" s="2147"/>
      <c r="E15" s="632"/>
      <c r="F15" s="35"/>
      <c r="G15" s="56"/>
      <c r="H15" s="56"/>
      <c r="I15" s="56"/>
    </row>
    <row r="16" spans="1:47" s="16" customFormat="1">
      <c r="A16" s="35"/>
      <c r="B16" s="65" t="s">
        <v>919</v>
      </c>
      <c r="C16" s="66" t="s">
        <v>425</v>
      </c>
      <c r="D16" s="67" t="s">
        <v>464</v>
      </c>
      <c r="E16" s="35"/>
      <c r="F16" s="35"/>
      <c r="G16" s="56"/>
      <c r="H16" s="56"/>
      <c r="I16" s="56"/>
    </row>
    <row r="17" spans="1:9" s="16" customFormat="1" ht="27" customHeight="1">
      <c r="A17" s="35"/>
      <c r="B17" s="247" t="s">
        <v>920</v>
      </c>
      <c r="C17" s="1576">
        <v>2.83</v>
      </c>
      <c r="D17" s="248" t="s">
        <v>921</v>
      </c>
      <c r="E17" s="35"/>
      <c r="F17" s="35"/>
      <c r="G17" s="56"/>
      <c r="H17" s="56"/>
      <c r="I17" s="56"/>
    </row>
    <row r="18" spans="1:9" s="16" customFormat="1" ht="27" customHeight="1">
      <c r="A18" s="35"/>
      <c r="B18" s="145" t="s">
        <v>922</v>
      </c>
      <c r="C18" s="1577">
        <v>0.7</v>
      </c>
      <c r="D18" s="249" t="s">
        <v>923</v>
      </c>
      <c r="E18" s="35"/>
      <c r="F18" s="35"/>
      <c r="G18" s="56"/>
      <c r="H18" s="56"/>
      <c r="I18" s="56"/>
    </row>
    <row r="19" spans="1:9" s="16" customFormat="1" ht="27" customHeight="1">
      <c r="A19" s="35"/>
      <c r="B19" s="145" t="s">
        <v>924</v>
      </c>
      <c r="C19" s="1578">
        <f>C17*C18</f>
        <v>1.9809999999999999</v>
      </c>
      <c r="D19" s="250" t="s">
        <v>925</v>
      </c>
      <c r="E19" s="35"/>
      <c r="F19" s="35"/>
      <c r="G19" s="56"/>
      <c r="H19" s="56"/>
      <c r="I19" s="56"/>
    </row>
    <row r="20" spans="1:9" s="16" customFormat="1" ht="27" customHeight="1">
      <c r="A20" s="35"/>
      <c r="B20" s="145" t="s">
        <v>926</v>
      </c>
      <c r="C20" s="1579">
        <f>C19*'Emission Factors'!D139</f>
        <v>1.9810000000000001E-3</v>
      </c>
      <c r="D20" s="250" t="s">
        <v>925</v>
      </c>
      <c r="E20" s="35"/>
      <c r="F20" s="35"/>
      <c r="G20" s="56"/>
      <c r="H20" s="56"/>
      <c r="I20" s="56"/>
    </row>
    <row r="21" spans="1:9" s="16" customFormat="1" ht="27" customHeight="1">
      <c r="A21" s="35"/>
      <c r="B21" s="145" t="s">
        <v>927</v>
      </c>
      <c r="C21" s="497">
        <v>0.93400000000000005</v>
      </c>
      <c r="D21" s="249" t="s">
        <v>928</v>
      </c>
      <c r="E21" s="35"/>
      <c r="F21" s="35"/>
      <c r="G21" s="56"/>
      <c r="H21" s="56"/>
      <c r="I21" s="56"/>
    </row>
    <row r="22" spans="1:9" s="16" customFormat="1" ht="27" customHeight="1">
      <c r="A22" s="35"/>
      <c r="B22" s="145" t="s">
        <v>929</v>
      </c>
      <c r="C22" s="497">
        <v>0.01</v>
      </c>
      <c r="D22" s="249" t="s">
        <v>928</v>
      </c>
      <c r="E22" s="35"/>
      <c r="F22" s="35"/>
      <c r="G22" s="56"/>
      <c r="H22" s="56"/>
      <c r="I22" s="56"/>
    </row>
    <row r="23" spans="1:9" s="16" customFormat="1" ht="27" customHeight="1">
      <c r="A23" s="35"/>
      <c r="B23" s="145" t="s">
        <v>930</v>
      </c>
      <c r="C23" s="1580">
        <f>C20*C21</f>
        <v>1.8502540000000002E-3</v>
      </c>
      <c r="D23" s="250" t="s">
        <v>925</v>
      </c>
      <c r="E23" s="35"/>
      <c r="F23" s="35"/>
      <c r="G23" s="56"/>
      <c r="H23" s="56"/>
      <c r="I23" s="56"/>
    </row>
    <row r="24" spans="1:9" s="16" customFormat="1" ht="27" customHeight="1">
      <c r="A24" s="35"/>
      <c r="B24" s="301" t="s">
        <v>931</v>
      </c>
      <c r="C24" s="1581">
        <f>C20*C22</f>
        <v>1.9810000000000002E-5</v>
      </c>
      <c r="D24" s="302" t="s">
        <v>925</v>
      </c>
      <c r="E24" s="35"/>
      <c r="F24" s="35"/>
      <c r="G24" s="56"/>
      <c r="H24" s="56"/>
      <c r="I24" s="56"/>
    </row>
    <row r="25" spans="1:9" s="16" customFormat="1" ht="27" customHeight="1">
      <c r="A25" s="35"/>
      <c r="B25" s="1582" t="s">
        <v>932</v>
      </c>
      <c r="C25" s="1583">
        <f>C23</f>
        <v>1.8502540000000002E-3</v>
      </c>
      <c r="D25" s="1584" t="s">
        <v>925</v>
      </c>
      <c r="E25" s="35"/>
      <c r="F25" s="35"/>
      <c r="G25" s="56"/>
      <c r="H25" s="56"/>
      <c r="I25" s="56"/>
    </row>
    <row r="26" spans="1:9" s="16" customFormat="1" ht="26.25" thickBot="1">
      <c r="A26" s="35"/>
      <c r="B26" s="1864" t="s">
        <v>933</v>
      </c>
      <c r="C26" s="1686">
        <f>C24</f>
        <v>1.9810000000000002E-5</v>
      </c>
      <c r="D26" s="1687" t="s">
        <v>925</v>
      </c>
      <c r="E26" s="35"/>
      <c r="F26" s="35"/>
      <c r="G26" s="56"/>
      <c r="H26" s="56"/>
      <c r="I26" s="56"/>
    </row>
    <row r="27" spans="1:9" s="16" customFormat="1" ht="13.5" thickBot="1">
      <c r="A27" s="35"/>
      <c r="B27" s="35"/>
      <c r="C27" s="35"/>
      <c r="D27" s="35"/>
      <c r="E27" s="35"/>
      <c r="F27" s="35"/>
      <c r="G27" s="56"/>
      <c r="H27" s="56"/>
      <c r="I27" s="56"/>
    </row>
    <row r="28" spans="1:9" s="16" customFormat="1" ht="14.25" thickBot="1">
      <c r="A28" s="23"/>
      <c r="B28" s="2171" t="s">
        <v>934</v>
      </c>
      <c r="C28" s="1932"/>
      <c r="D28" s="1932"/>
      <c r="E28" s="1933"/>
      <c r="F28" s="35"/>
      <c r="G28" s="56"/>
      <c r="H28" s="56"/>
      <c r="I28" s="56"/>
    </row>
    <row r="29" spans="1:9" s="16" customFormat="1" ht="38.25">
      <c r="A29" s="35"/>
      <c r="B29" s="2118" t="s">
        <v>307</v>
      </c>
      <c r="C29" s="2119"/>
      <c r="D29" s="451" t="s">
        <v>935</v>
      </c>
      <c r="E29" s="452" t="s">
        <v>936</v>
      </c>
      <c r="F29" s="35"/>
      <c r="G29" s="56"/>
      <c r="H29" s="56"/>
      <c r="I29" s="56"/>
    </row>
    <row r="30" spans="1:9" s="16" customFormat="1">
      <c r="A30" s="35"/>
      <c r="B30" s="2120" t="s">
        <v>310</v>
      </c>
      <c r="C30" s="2121"/>
      <c r="D30" s="1095">
        <f>'Adjust Inventory Year'!C19</f>
        <v>670</v>
      </c>
      <c r="E30" s="1404">
        <f>(D30/D33)*E33</f>
        <v>576.77693604692581</v>
      </c>
      <c r="F30" s="35"/>
      <c r="G30" s="56"/>
      <c r="H30" s="56"/>
      <c r="I30" s="56"/>
    </row>
    <row r="31" spans="1:9" s="16" customFormat="1">
      <c r="A31" s="35"/>
      <c r="B31" s="2124" t="s">
        <v>311</v>
      </c>
      <c r="C31" s="2125"/>
      <c r="D31" s="1095">
        <f>'Adjust Inventory Year'!C20</f>
        <v>5.8000000000000003E-2</v>
      </c>
      <c r="E31" s="1405">
        <f>(D31/D33)*E33</f>
        <v>4.9929943717495075E-2</v>
      </c>
      <c r="F31" s="35"/>
      <c r="G31" s="56"/>
      <c r="H31" s="56"/>
      <c r="I31" s="56"/>
    </row>
    <row r="32" spans="1:9" s="16" customFormat="1">
      <c r="A32" s="35"/>
      <c r="B32" s="2124" t="s">
        <v>312</v>
      </c>
      <c r="C32" s="2125"/>
      <c r="D32" s="1095">
        <f>'Adjust Inventory Year'!C21</f>
        <v>8.0000000000000002E-3</v>
      </c>
      <c r="E32" s="1405">
        <f>(D32/D33)*E33</f>
        <v>6.8868887886200094E-3</v>
      </c>
      <c r="F32" s="35"/>
      <c r="G32" s="56"/>
      <c r="H32" s="56"/>
      <c r="I32" s="56"/>
    </row>
    <row r="33" spans="1:13" s="16" customFormat="1" ht="13.5" thickBot="1">
      <c r="A33" s="35"/>
      <c r="B33" s="2126" t="s">
        <v>313</v>
      </c>
      <c r="C33" s="2127"/>
      <c r="D33" s="1688">
        <f>(D30)+(D31*$B$126)+(D32*$C$126)</f>
        <v>673.74400000000003</v>
      </c>
      <c r="E33" s="1689">
        <f>'Adjust Inventory Year'!D22</f>
        <v>580</v>
      </c>
      <c r="F33" s="35"/>
      <c r="G33" s="56"/>
      <c r="H33" s="56"/>
      <c r="I33" s="56"/>
    </row>
    <row r="34" spans="1:13" s="16" customFormat="1" ht="52.5" customHeight="1">
      <c r="A34" s="35"/>
      <c r="B34" s="2129" t="s">
        <v>937</v>
      </c>
      <c r="C34" s="2130"/>
      <c r="D34" s="2130"/>
      <c r="E34" s="2130"/>
      <c r="F34" s="524" t="s">
        <v>938</v>
      </c>
      <c r="G34" s="56"/>
      <c r="H34" s="56"/>
      <c r="I34" s="56"/>
    </row>
    <row r="35" spans="1:13" s="16" customFormat="1" ht="13.5" thickBot="1">
      <c r="A35" s="35"/>
      <c r="B35" s="35"/>
      <c r="C35" s="35"/>
      <c r="D35" s="35"/>
      <c r="E35" s="35"/>
      <c r="F35" s="35"/>
      <c r="G35" s="56"/>
      <c r="H35" s="56"/>
      <c r="I35" s="56"/>
    </row>
    <row r="36" spans="1:13" s="16" customFormat="1" ht="14.25" customHeight="1" thickBot="1">
      <c r="A36" s="35"/>
      <c r="B36" s="2122" t="s">
        <v>939</v>
      </c>
      <c r="C36" s="2123"/>
      <c r="D36" s="2123"/>
      <c r="E36" s="2123"/>
      <c r="F36" s="2123"/>
      <c r="G36" s="2123"/>
      <c r="H36" s="2123"/>
      <c r="I36" s="2123"/>
      <c r="J36" s="2123"/>
      <c r="K36" s="2128"/>
      <c r="L36" s="1547"/>
      <c r="M36" s="1547"/>
    </row>
    <row r="37" spans="1:13" s="16" customFormat="1" ht="39" thickBot="1">
      <c r="A37" s="35"/>
      <c r="B37" s="79" t="s">
        <v>940</v>
      </c>
      <c r="C37" s="451" t="s">
        <v>941</v>
      </c>
      <c r="D37" s="451" t="s">
        <v>942</v>
      </c>
      <c r="E37" s="451" t="s">
        <v>943</v>
      </c>
      <c r="F37" s="451" t="s">
        <v>317</v>
      </c>
      <c r="G37" s="451" t="s">
        <v>944</v>
      </c>
      <c r="H37" s="451" t="s">
        <v>945</v>
      </c>
      <c r="I37" s="452" t="s">
        <v>946</v>
      </c>
      <c r="J37" s="452" t="s">
        <v>947</v>
      </c>
      <c r="K37" s="1531" t="s">
        <v>948</v>
      </c>
    </row>
    <row r="38" spans="1:13" s="16" customFormat="1" ht="13.5" thickBot="1">
      <c r="A38" s="35"/>
      <c r="B38" s="455" t="s">
        <v>949</v>
      </c>
      <c r="C38" s="1690">
        <f>$E$30</f>
        <v>576.77693604692581</v>
      </c>
      <c r="D38" s="1691">
        <f>$E$31</f>
        <v>4.9929943717495075E-2</v>
      </c>
      <c r="E38" s="1692">
        <f>$E$32</f>
        <v>6.8868887886200094E-3</v>
      </c>
      <c r="F38" s="1693">
        <f>VLOOKUP(Inputs!$C$20,B47:C52,2,FALSE)</f>
        <v>0.158</v>
      </c>
      <c r="G38" s="1694">
        <f>IFERROR(D38*(1-F38),0)/$D$141*$D$143</f>
        <v>1.9069466991854471E-8</v>
      </c>
      <c r="H38" s="1695">
        <f>IFERROR(C38*(1-F38),0)/$D$141*$D$143</f>
        <v>2.2028522214728442E-4</v>
      </c>
      <c r="I38" s="1696">
        <f>IFERROR(E38*(1-F38),0)/$D$141*$D$143</f>
        <v>2.6302713092213063E-9</v>
      </c>
      <c r="J38" s="1696">
        <f>(H38)+(G38*$B$126)+(I38*$C$126)</f>
        <v>2.2151618911999999E-4</v>
      </c>
      <c r="K38" s="1532">
        <f>(J38*$D$141)/$D$143</f>
        <v>488.35999999999996</v>
      </c>
    </row>
    <row r="39" spans="1:13" s="16" customFormat="1" ht="33.75" customHeight="1">
      <c r="A39" s="35"/>
      <c r="B39" s="2129" t="s">
        <v>950</v>
      </c>
      <c r="C39" s="2134"/>
      <c r="D39" s="2134"/>
      <c r="E39" s="2135"/>
      <c r="F39" s="638"/>
      <c r="G39" s="638"/>
      <c r="H39" s="638"/>
    </row>
    <row r="40" spans="1:13" s="16" customFormat="1" ht="13.5" thickBot="1">
      <c r="A40" s="35"/>
      <c r="G40" s="56"/>
    </row>
    <row r="41" spans="1:13" s="16" customFormat="1" ht="14.25" customHeight="1" thickBot="1">
      <c r="A41" s="35"/>
      <c r="B41" s="2122" t="s">
        <v>951</v>
      </c>
      <c r="C41" s="2123"/>
      <c r="D41" s="2123"/>
      <c r="E41" s="2123"/>
      <c r="F41" s="2123"/>
      <c r="G41" s="2123"/>
      <c r="H41" s="2123"/>
      <c r="I41" s="2123"/>
      <c r="J41" s="1883"/>
      <c r="K41" s="607"/>
    </row>
    <row r="42" spans="1:13" s="16" customFormat="1" ht="38.25">
      <c r="A42" s="35"/>
      <c r="B42" s="79" t="s">
        <v>940</v>
      </c>
      <c r="C42" s="451" t="s">
        <v>952</v>
      </c>
      <c r="D42" s="451" t="s">
        <v>953</v>
      </c>
      <c r="E42" s="451" t="s">
        <v>954</v>
      </c>
      <c r="F42" s="451" t="s">
        <v>317</v>
      </c>
      <c r="G42" s="451" t="s">
        <v>944</v>
      </c>
      <c r="H42" s="451" t="s">
        <v>945</v>
      </c>
      <c r="I42" s="452" t="s">
        <v>946</v>
      </c>
    </row>
    <row r="43" spans="1:13" s="16" customFormat="1" ht="13.5" thickBot="1">
      <c r="A43" s="35"/>
      <c r="B43" s="455" t="s">
        <v>955</v>
      </c>
      <c r="C43" s="1690">
        <f>$E$30</f>
        <v>576.77693604692581</v>
      </c>
      <c r="D43" s="1691">
        <f>$E$31</f>
        <v>4.9929943717495075E-2</v>
      </c>
      <c r="E43" s="1692">
        <f>$E$32</f>
        <v>6.8868887886200094E-3</v>
      </c>
      <c r="F43" s="1693">
        <f>AVERAGE(C48:C50)</f>
        <v>0.14166666666666669</v>
      </c>
      <c r="G43" s="1694">
        <f>IFERROR(D43*(1-F43),0)/$D$141*$D$143</f>
        <v>1.9439381434689336E-8</v>
      </c>
      <c r="H43" s="1695">
        <f>IFERROR(C43*(1-F43),0)/$D$141*$D$143</f>
        <v>2.2455837174554922E-4</v>
      </c>
      <c r="I43" s="1696">
        <f>IFERROR(E43*(1-F43),0)/$D$141*$D$143</f>
        <v>2.681293990991633E-9</v>
      </c>
    </row>
    <row r="44" spans="1:13" s="16" customFormat="1" ht="29.25" customHeight="1">
      <c r="A44" s="35"/>
      <c r="B44" s="2129" t="s">
        <v>956</v>
      </c>
      <c r="C44" s="2134"/>
      <c r="D44" s="2134"/>
      <c r="E44" s="2135"/>
      <c r="F44" s="638"/>
      <c r="G44" s="638"/>
      <c r="H44" s="638"/>
    </row>
    <row r="45" spans="1:13" s="16" customFormat="1" ht="13.5" thickBot="1">
      <c r="A45" s="35"/>
      <c r="G45" s="56"/>
    </row>
    <row r="46" spans="1:13" s="16" customFormat="1" ht="13.5">
      <c r="A46" s="35"/>
      <c r="B46" s="2163" t="s">
        <v>957</v>
      </c>
      <c r="C46" s="2164"/>
      <c r="G46" s="56"/>
    </row>
    <row r="47" spans="1:13" s="16" customFormat="1" ht="26.25" thickBot="1">
      <c r="A47" s="35"/>
      <c r="B47" s="453" t="s">
        <v>958</v>
      </c>
      <c r="C47" s="454" t="s">
        <v>317</v>
      </c>
      <c r="G47" s="56"/>
    </row>
    <row r="48" spans="1:13" s="16" customFormat="1">
      <c r="A48" s="35"/>
      <c r="B48" s="640" t="s">
        <v>543</v>
      </c>
      <c r="C48" s="1096">
        <f>'Adjust Inventory Year'!E27</f>
        <v>0.14299999999999999</v>
      </c>
      <c r="G48" s="56"/>
    </row>
    <row r="49" spans="1:16" s="16" customFormat="1">
      <c r="A49" s="35"/>
      <c r="B49" s="1409" t="s">
        <v>548</v>
      </c>
      <c r="C49" s="1410">
        <f>'Adjust Inventory Year'!E28</f>
        <v>0.124</v>
      </c>
      <c r="G49" s="56"/>
    </row>
    <row r="50" spans="1:16" s="16" customFormat="1">
      <c r="A50" s="35"/>
      <c r="B50" s="1302" t="s">
        <v>27</v>
      </c>
      <c r="C50" s="1303">
        <f>'Adjust Inventory Year'!E29</f>
        <v>0.158</v>
      </c>
      <c r="G50" s="56"/>
    </row>
    <row r="51" spans="1:16" s="16" customFormat="1">
      <c r="A51" s="35"/>
      <c r="B51" s="1302" t="s">
        <v>556</v>
      </c>
      <c r="C51" s="1303">
        <f>(C48*Inputs!C26)+('Emission Factors'!C49*Inputs!C27)</f>
        <v>0.124</v>
      </c>
      <c r="G51" s="56"/>
    </row>
    <row r="52" spans="1:16" s="16" customFormat="1" ht="13.5" thickBot="1">
      <c r="A52" s="35"/>
      <c r="B52" s="641" t="s">
        <v>560</v>
      </c>
      <c r="C52" s="1697">
        <f>(C49*Inputs!C26)+('Emission Factors'!C50*Inputs!C27)</f>
        <v>0.158</v>
      </c>
      <c r="G52" s="56"/>
    </row>
    <row r="53" spans="1:16" s="16" customFormat="1" ht="87.75" customHeight="1" thickBot="1">
      <c r="A53" s="35"/>
      <c r="B53" s="2156" t="s">
        <v>959</v>
      </c>
      <c r="C53" s="2157"/>
      <c r="D53" s="639" t="s">
        <v>938</v>
      </c>
      <c r="E53" s="56"/>
      <c r="G53" s="56"/>
    </row>
    <row r="54" spans="1:16" s="16" customFormat="1" ht="13.5" thickBot="1">
      <c r="A54" s="35"/>
      <c r="G54" s="56"/>
    </row>
    <row r="55" spans="1:16" s="16" customFormat="1" ht="15.75" customHeight="1" thickBot="1">
      <c r="A55" s="35"/>
      <c r="B55" s="2122" t="s">
        <v>960</v>
      </c>
      <c r="C55" s="2123"/>
      <c r="D55" s="2123"/>
      <c r="E55" s="2123"/>
      <c r="F55" s="2123"/>
      <c r="G55" s="2123"/>
      <c r="H55" s="2123"/>
      <c r="I55" s="2123"/>
      <c r="J55" s="2123"/>
      <c r="K55" s="2123"/>
      <c r="L55" s="2123"/>
      <c r="M55" s="2123"/>
      <c r="N55" s="2123"/>
      <c r="O55" s="2123"/>
      <c r="P55" s="2128"/>
    </row>
    <row r="56" spans="1:16" s="16" customFormat="1" ht="51">
      <c r="A56" s="35"/>
      <c r="B56" s="79" t="s">
        <v>940</v>
      </c>
      <c r="C56" s="80" t="s">
        <v>961</v>
      </c>
      <c r="D56" s="450" t="s">
        <v>952</v>
      </c>
      <c r="E56" s="451" t="s">
        <v>953</v>
      </c>
      <c r="F56" s="452" t="s">
        <v>954</v>
      </c>
      <c r="G56" s="450" t="s">
        <v>962</v>
      </c>
      <c r="H56" s="451" t="s">
        <v>57</v>
      </c>
      <c r="I56" s="452" t="s">
        <v>963</v>
      </c>
      <c r="J56" s="1533" t="s">
        <v>964</v>
      </c>
      <c r="K56" s="452" t="s">
        <v>965</v>
      </c>
      <c r="L56" s="901" t="s">
        <v>944</v>
      </c>
      <c r="M56" s="451" t="s">
        <v>966</v>
      </c>
      <c r="N56" s="1270" t="s">
        <v>967</v>
      </c>
      <c r="O56" s="1539" t="s">
        <v>947</v>
      </c>
      <c r="P56" s="1540" t="s">
        <v>948</v>
      </c>
    </row>
    <row r="57" spans="1:16" s="16" customFormat="1">
      <c r="A57" s="35"/>
      <c r="B57" s="646" t="s">
        <v>968</v>
      </c>
      <c r="C57" s="895" t="str">
        <f>Inputs!C46</f>
        <v>Yes</v>
      </c>
      <c r="D57" s="1529">
        <f>IF(C57="Yes",$E$30,"N/A")</f>
        <v>576.77693604692581</v>
      </c>
      <c r="E57" s="647">
        <f>IF(C57="Yes",$E$31,"N/A")</f>
        <v>4.9929943717495075E-2</v>
      </c>
      <c r="F57" s="648">
        <f>IF(C57="Yes",$E$32,"N/A")</f>
        <v>6.8868887886200094E-3</v>
      </c>
      <c r="G57" s="1549">
        <f>IF(C57="Yes",'Adjust Inventory Year'!$C$74,"N/A")</f>
        <v>0.14000000000000001</v>
      </c>
      <c r="H57" s="898">
        <f>Inputs!E46</f>
        <v>0</v>
      </c>
      <c r="I57" s="649">
        <f>IF(SUM(G57:H57)&gt;1,1,SUM(G57:H57))</f>
        <v>0.14000000000000001</v>
      </c>
      <c r="J57" s="905">
        <f>Inputs!D46/Inputs!$D$50</f>
        <v>0.99265100759415936</v>
      </c>
      <c r="K57" s="906">
        <f>Inputs!D51/Inputs!$D$55</f>
        <v>0.98228037325187401</v>
      </c>
      <c r="L57" s="902">
        <f>IFERROR(E57*(1-I57),0)/$D$141*$D$143</f>
        <v>1.9477127806407183E-8</v>
      </c>
      <c r="M57" s="650">
        <f>IFERROR(D57*(1-I57),0)/$D$141*$D$143</f>
        <v>2.2499440741884156E-4</v>
      </c>
      <c r="N57" s="1534">
        <f>IFERROR(F57*(1-I57),0)/$D$141*$D$143</f>
        <v>2.6865003870906454E-9</v>
      </c>
      <c r="O57" s="1537">
        <f>(M57)+(L57*$B$126)+(N57*$C$126)</f>
        <v>2.262516896E-4</v>
      </c>
      <c r="P57" s="1538">
        <f>(O57*$D$141)/$D$143</f>
        <v>498.8</v>
      </c>
    </row>
    <row r="58" spans="1:16" s="16" customFormat="1">
      <c r="A58" s="35"/>
      <c r="B58" s="476" t="s">
        <v>969</v>
      </c>
      <c r="C58" s="896" t="str">
        <f>Inputs!C47</f>
        <v>Yes</v>
      </c>
      <c r="D58" s="1530">
        <f t="shared" ref="D58:D60" si="0">IF(C58="Yes",$E$30,"N/A")</f>
        <v>576.77693604692581</v>
      </c>
      <c r="E58" s="651">
        <f>IF(C58="Yes",$E$31,"N/A")</f>
        <v>4.9929943717495075E-2</v>
      </c>
      <c r="F58" s="652">
        <f>IF(C58="Yes",$E$32,"N/A")</f>
        <v>6.8868887886200094E-3</v>
      </c>
      <c r="G58" s="1550">
        <f>IF(C58="Yes",'Adjust Inventory Year'!$C$74,"N/A")</f>
        <v>0.14000000000000001</v>
      </c>
      <c r="H58" s="899">
        <f>Inputs!E47</f>
        <v>0.2</v>
      </c>
      <c r="I58" s="653">
        <f t="shared" ref="I58:I59" si="1">IF(SUM(G58:H58)&gt;1,1,SUM(G58:H58))</f>
        <v>0.34</v>
      </c>
      <c r="J58" s="907">
        <f>Inputs!D47/Inputs!$D$50</f>
        <v>7.3489924058406661E-3</v>
      </c>
      <c r="K58" s="908">
        <f>Inputs!D52/Inputs!$D$55</f>
        <v>1.7719626748125973E-2</v>
      </c>
      <c r="L58" s="903">
        <f>IFERROR(E58*(1-I58),0)/$D$141*$D$143</f>
        <v>1.4947563200265974E-8</v>
      </c>
      <c r="M58" s="654">
        <f>IFERROR(D58*(1-I58),0)/$D$141*$D$143</f>
        <v>1.7267012662376211E-4</v>
      </c>
      <c r="N58" s="1535">
        <f t="shared" ref="N58:N60" si="2">IFERROR(F58*(1-I58),0)/$D$141*$D$143</f>
        <v>2.0617328552090998E-9</v>
      </c>
      <c r="O58" s="1537">
        <f t="shared" ref="O58:O60" si="3">(M58)+(L58*$B$126)+(N58*$C$126)</f>
        <v>1.7363501759999996E-4</v>
      </c>
      <c r="P58" s="1538">
        <f t="shared" ref="P58:P62" si="4">(O58*$D$141)/$D$143</f>
        <v>382.79999999999995</v>
      </c>
    </row>
    <row r="59" spans="1:16" s="16" customFormat="1">
      <c r="A59" s="35"/>
      <c r="B59" s="476" t="s">
        <v>970</v>
      </c>
      <c r="C59" s="896" t="str">
        <f>Inputs!C48</f>
        <v>No</v>
      </c>
      <c r="D59" s="1530" t="str">
        <f t="shared" si="0"/>
        <v>N/A</v>
      </c>
      <c r="E59" s="651" t="str">
        <f>IF(C59="Yes",$E$31,"N/A")</f>
        <v>N/A</v>
      </c>
      <c r="F59" s="652" t="str">
        <f>IF(C59="Yes",$E$32,"N/A")</f>
        <v>N/A</v>
      </c>
      <c r="G59" s="1550" t="str">
        <f>IF(C59="Yes",'Adjust Inventory Year'!$C$74,"N/A")</f>
        <v>N/A</v>
      </c>
      <c r="H59" s="899">
        <f>Inputs!E48</f>
        <v>0</v>
      </c>
      <c r="I59" s="653">
        <f t="shared" si="1"/>
        <v>0</v>
      </c>
      <c r="J59" s="907">
        <f>Inputs!D48/Inputs!$D$50</f>
        <v>0</v>
      </c>
      <c r="K59" s="908">
        <f>Inputs!D53/Inputs!$D$55</f>
        <v>0</v>
      </c>
      <c r="L59" s="903">
        <f>IFERROR(E59*(1-I59),0)/$D$141*$D$143</f>
        <v>0</v>
      </c>
      <c r="M59" s="654">
        <f>IFERROR(D59*(1-I59),0)/$D$141*$D$143</f>
        <v>0</v>
      </c>
      <c r="N59" s="1535">
        <f t="shared" si="2"/>
        <v>0</v>
      </c>
      <c r="O59" s="1537">
        <f t="shared" si="3"/>
        <v>0</v>
      </c>
      <c r="P59" s="1538">
        <f t="shared" si="4"/>
        <v>0</v>
      </c>
    </row>
    <row r="60" spans="1:16" s="16" customFormat="1">
      <c r="A60" s="35"/>
      <c r="B60" s="655" t="s">
        <v>971</v>
      </c>
      <c r="C60" s="897" t="str">
        <f>Inputs!C49</f>
        <v>No</v>
      </c>
      <c r="D60" s="655" t="str">
        <f t="shared" si="0"/>
        <v>N/A</v>
      </c>
      <c r="E60" s="656" t="str">
        <f>IF(C60="Yes",$E$31,"N/A")</f>
        <v>N/A</v>
      </c>
      <c r="F60" s="657" t="str">
        <f>IF(C60="Yes",$E$32,"N/A")</f>
        <v>N/A</v>
      </c>
      <c r="G60" s="658" t="str">
        <f>IF(C60="Yes",'Adjust Inventory Year'!$C$74,"N/A")</f>
        <v>N/A</v>
      </c>
      <c r="H60" s="900">
        <f>Inputs!E49</f>
        <v>0</v>
      </c>
      <c r="I60" s="659">
        <f>IF(SUM(G60:H60)&gt;1,1,SUM(G60:H60))</f>
        <v>0</v>
      </c>
      <c r="J60" s="909">
        <f>Inputs!D49/Inputs!$D$50</f>
        <v>0</v>
      </c>
      <c r="K60" s="910">
        <f>Inputs!D54/Inputs!$D$55</f>
        <v>0</v>
      </c>
      <c r="L60" s="904">
        <f>IFERROR(E60*(1-I60),0)/$D$141*$D$143</f>
        <v>0</v>
      </c>
      <c r="M60" s="660">
        <f>IFERROR(D60*(1-I60),0)/$D$141*$D$143</f>
        <v>0</v>
      </c>
      <c r="N60" s="1536">
        <f t="shared" si="2"/>
        <v>0</v>
      </c>
      <c r="O60" s="1541">
        <f t="shared" si="3"/>
        <v>0</v>
      </c>
      <c r="P60" s="1542">
        <f t="shared" si="4"/>
        <v>0</v>
      </c>
    </row>
    <row r="61" spans="1:16" s="16" customFormat="1">
      <c r="A61" s="35"/>
      <c r="B61" s="2150" t="s">
        <v>972</v>
      </c>
      <c r="C61" s="2151"/>
      <c r="D61" s="2151"/>
      <c r="E61" s="2151"/>
      <c r="F61" s="2151"/>
      <c r="G61" s="2151"/>
      <c r="H61" s="2151"/>
      <c r="I61" s="2151"/>
      <c r="J61" s="2151"/>
      <c r="K61" s="2152"/>
      <c r="L61" s="642">
        <f>(L57*J57)+(L58*J58)+(L59*J59)+(J60*L60)</f>
        <v>1.9443840070514888E-8</v>
      </c>
      <c r="M61" s="643">
        <f>(M57*J57)+(M58*J58)+(M59*J59)*(M60*J60)</f>
        <v>2.2460987667663747E-4</v>
      </c>
      <c r="N61" s="644">
        <f>(N57*J57)+(N58*J58)+(N59*J59)+(N60*J60)</f>
        <v>2.6819089752434322E-9</v>
      </c>
      <c r="O61" s="1543">
        <f t="shared" ref="O61:O62" si="5">(M61)+(L61*$B$126)+(N61*$C$126)</f>
        <v>2.258650100770514E-4</v>
      </c>
      <c r="P61" s="1544">
        <f t="shared" si="4"/>
        <v>497.94751688092248</v>
      </c>
    </row>
    <row r="62" spans="1:16" s="16" customFormat="1" ht="13.5" thickBot="1">
      <c r="A62" s="35"/>
      <c r="B62" s="2153" t="s">
        <v>973</v>
      </c>
      <c r="C62" s="2154"/>
      <c r="D62" s="2154"/>
      <c r="E62" s="2154"/>
      <c r="F62" s="2154"/>
      <c r="G62" s="2154"/>
      <c r="H62" s="2154"/>
      <c r="I62" s="2154"/>
      <c r="J62" s="2154"/>
      <c r="K62" s="2155"/>
      <c r="L62" s="1698">
        <f>(L57*K57)+(L58*K58)+(L59*K59)+(K60*L60)</f>
        <v>1.9396865612254838E-8</v>
      </c>
      <c r="M62" s="645">
        <f>(M57*K57)+(M58*K58)+(M59*K59)*(M60*K60)</f>
        <v>2.2406724069328862E-4</v>
      </c>
      <c r="N62" s="1699">
        <f>(N57*K57)+(N58*K58)+(N59*K59)+(N60*K60)</f>
        <v>2.6754297396213566E-9</v>
      </c>
      <c r="O62" s="1545">
        <f t="shared" si="5"/>
        <v>2.2531934181143143E-4</v>
      </c>
      <c r="P62" s="1546">
        <f t="shared" si="4"/>
        <v>496.74452329721737</v>
      </c>
    </row>
    <row r="63" spans="1:16" s="16" customFormat="1" ht="44.25" customHeight="1">
      <c r="A63" s="35"/>
      <c r="B63" s="2116" t="s">
        <v>974</v>
      </c>
      <c r="C63" s="2117"/>
      <c r="D63" s="2117"/>
      <c r="E63" s="2117"/>
      <c r="F63" s="524" t="s">
        <v>938</v>
      </c>
      <c r="G63" s="638"/>
      <c r="J63" s="511"/>
    </row>
    <row r="64" spans="1:16" s="16" customFormat="1" ht="56.25" customHeight="1" thickBot="1">
      <c r="A64" s="35"/>
      <c r="B64" s="2158" t="s">
        <v>975</v>
      </c>
      <c r="C64" s="2159"/>
      <c r="D64" s="2159"/>
      <c r="E64" s="2160"/>
      <c r="F64" s="1700" t="s">
        <v>976</v>
      </c>
      <c r="G64" s="638"/>
    </row>
    <row r="65" spans="1:13" s="16" customFormat="1" ht="13.5" thickBot="1">
      <c r="A65" s="35"/>
      <c r="G65" s="56"/>
    </row>
    <row r="66" spans="1:13" s="16" customFormat="1" ht="16.5" customHeight="1" thickBot="1">
      <c r="A66" s="35"/>
      <c r="B66" s="2122" t="s">
        <v>977</v>
      </c>
      <c r="C66" s="2123"/>
      <c r="D66" s="2123"/>
      <c r="E66" s="2123"/>
      <c r="F66" s="2123"/>
      <c r="G66" s="2123"/>
      <c r="H66" s="2123"/>
      <c r="I66" s="2123"/>
      <c r="J66" s="2123"/>
      <c r="K66" s="2123"/>
      <c r="L66" s="2123"/>
      <c r="M66" s="2128"/>
    </row>
    <row r="67" spans="1:13" s="16" customFormat="1" ht="39" thickBot="1">
      <c r="A67" s="35"/>
      <c r="B67" s="79" t="s">
        <v>940</v>
      </c>
      <c r="C67" s="451" t="s">
        <v>941</v>
      </c>
      <c r="D67" s="451" t="s">
        <v>978</v>
      </c>
      <c r="E67" s="451" t="s">
        <v>943</v>
      </c>
      <c r="F67" s="451" t="s">
        <v>317</v>
      </c>
      <c r="G67" s="451" t="s">
        <v>57</v>
      </c>
      <c r="H67" s="451" t="s">
        <v>963</v>
      </c>
      <c r="I67" s="451" t="s">
        <v>944</v>
      </c>
      <c r="J67" s="451" t="s">
        <v>945</v>
      </c>
      <c r="K67" s="1270" t="s">
        <v>946</v>
      </c>
      <c r="L67" s="451" t="s">
        <v>947</v>
      </c>
      <c r="M67" s="1531" t="s">
        <v>948</v>
      </c>
    </row>
    <row r="68" spans="1:13" s="16" customFormat="1" ht="13.5" thickBot="1">
      <c r="A68" s="35"/>
      <c r="B68" s="455" t="s">
        <v>979</v>
      </c>
      <c r="C68" s="1690">
        <f>$E$30</f>
        <v>576.77693604692581</v>
      </c>
      <c r="D68" s="1691">
        <f>$E$31</f>
        <v>4.9929943717495075E-2</v>
      </c>
      <c r="E68" s="1692">
        <f>$E$32</f>
        <v>6.8868887886200094E-3</v>
      </c>
      <c r="F68" s="1701" t="str">
        <f>VLOOKUP(Inputs!C21,'Emission Factors'!B74:C115,2,FALSE)</f>
        <v>N/A</v>
      </c>
      <c r="G68" s="1702">
        <v>0</v>
      </c>
      <c r="H68" s="1702">
        <f>IF(SUM(F68:G68)&gt;1,1,SUM(F68:G68))</f>
        <v>0</v>
      </c>
      <c r="I68" s="1694">
        <f>IFERROR(D68*(1-H68),0)/$D$141*$D$143</f>
        <v>2.2647823030706028E-8</v>
      </c>
      <c r="J68" s="1695">
        <f>IFERROR(C68*(1-H68),0)/$D$141*$D$143</f>
        <v>2.6162140397539716E-4</v>
      </c>
      <c r="K68" s="1703">
        <f>IFERROR(E68*(1-H68),0)/$D$141*$D$143</f>
        <v>3.1238376594077273E-9</v>
      </c>
      <c r="L68" s="1696">
        <f>(J68)+(I68*$B$126)+(K68*$C$126)</f>
        <v>2.6308335999999997E-4</v>
      </c>
      <c r="M68" s="1532">
        <f>(L68*$D$141)/$D$143</f>
        <v>580</v>
      </c>
    </row>
    <row r="69" spans="1:13" s="16" customFormat="1" ht="45.75" customHeight="1">
      <c r="A69" s="35"/>
      <c r="B69" s="2161" t="s">
        <v>980</v>
      </c>
      <c r="C69" s="2162"/>
      <c r="D69" s="2162"/>
      <c r="E69" s="2162"/>
      <c r="F69" s="524" t="s">
        <v>938</v>
      </c>
      <c r="G69" s="638"/>
      <c r="I69" s="457"/>
    </row>
    <row r="70" spans="1:13" s="16" customFormat="1" ht="58.5" customHeight="1" thickBot="1">
      <c r="A70" s="35"/>
      <c r="B70" s="2166" t="s">
        <v>981</v>
      </c>
      <c r="C70" s="2167"/>
      <c r="D70" s="2167"/>
      <c r="E70" s="2167"/>
      <c r="F70" s="1700"/>
      <c r="G70" s="638"/>
      <c r="I70" s="457"/>
    </row>
    <row r="71" spans="1:13" s="16" customFormat="1" ht="13.5" thickBot="1">
      <c r="A71" s="35"/>
      <c r="G71" s="56"/>
    </row>
    <row r="72" spans="1:13" s="16" customFormat="1" ht="16.5" customHeight="1">
      <c r="A72" s="35"/>
      <c r="B72" s="2163" t="s">
        <v>982</v>
      </c>
      <c r="C72" s="2164"/>
      <c r="G72" s="56"/>
    </row>
    <row r="73" spans="1:13" s="16" customFormat="1" ht="26.25" thickBot="1">
      <c r="A73" s="35"/>
      <c r="B73" s="453" t="s">
        <v>983</v>
      </c>
      <c r="C73" s="454" t="s">
        <v>317</v>
      </c>
      <c r="G73" s="56"/>
    </row>
    <row r="74" spans="1:13" s="16" customFormat="1">
      <c r="A74" s="35"/>
      <c r="B74" s="661" t="s">
        <v>320</v>
      </c>
      <c r="C74" s="1097">
        <f>'Adjust Inventory Year'!E30</f>
        <v>0.36</v>
      </c>
      <c r="D74" s="911"/>
      <c r="G74" s="56"/>
    </row>
    <row r="75" spans="1:13" s="16" customFormat="1">
      <c r="A75" s="35"/>
      <c r="B75" s="662" t="s">
        <v>321</v>
      </c>
      <c r="C75" s="1098">
        <f>'Adjust Inventory Year'!E31</f>
        <v>0.19600000000000001</v>
      </c>
      <c r="D75" s="911"/>
      <c r="G75" s="56"/>
    </row>
    <row r="76" spans="1:13" s="16" customFormat="1">
      <c r="A76" s="35"/>
      <c r="B76" s="662" t="s">
        <v>322</v>
      </c>
      <c r="C76" s="1098">
        <f>'Adjust Inventory Year'!E32</f>
        <v>0.42</v>
      </c>
      <c r="D76" s="911"/>
      <c r="G76" s="56"/>
    </row>
    <row r="77" spans="1:13" s="16" customFormat="1">
      <c r="A77" s="35"/>
      <c r="B77" s="662" t="s">
        <v>323</v>
      </c>
      <c r="C77" s="1098">
        <f>'Adjust Inventory Year'!E33</f>
        <v>0.247</v>
      </c>
      <c r="D77" s="911"/>
      <c r="G77" s="56"/>
    </row>
    <row r="78" spans="1:13" s="16" customFormat="1">
      <c r="A78" s="35"/>
      <c r="B78" s="662" t="s">
        <v>324</v>
      </c>
      <c r="C78" s="1098">
        <f>'Adjust Inventory Year'!E34</f>
        <v>0.10199999999999999</v>
      </c>
      <c r="D78" s="911"/>
      <c r="G78" s="56"/>
    </row>
    <row r="79" spans="1:13" s="16" customFormat="1">
      <c r="A79" s="35"/>
      <c r="B79" s="662" t="s">
        <v>325</v>
      </c>
      <c r="C79" s="1098">
        <f>'Adjust Inventory Year'!E35</f>
        <v>6.6000000000000003E-2</v>
      </c>
      <c r="D79" s="911"/>
      <c r="G79" s="56"/>
    </row>
    <row r="80" spans="1:13" s="16" customFormat="1">
      <c r="A80" s="35"/>
      <c r="B80" s="662" t="s">
        <v>326</v>
      </c>
      <c r="C80" s="1098">
        <f>'Adjust Inventory Year'!E36</f>
        <v>0.14399999999999999</v>
      </c>
      <c r="D80" s="911"/>
      <c r="G80" s="56"/>
    </row>
    <row r="81" spans="1:7" s="16" customFormat="1">
      <c r="A81" s="35"/>
      <c r="B81" s="662" t="s">
        <v>327</v>
      </c>
      <c r="C81" s="1098">
        <f>'Adjust Inventory Year'!E37</f>
        <v>0.47799999999999998</v>
      </c>
      <c r="D81" s="911"/>
      <c r="G81" s="56"/>
    </row>
    <row r="82" spans="1:7" s="16" customFormat="1">
      <c r="A82" s="35"/>
      <c r="B82" s="662" t="s">
        <v>328</v>
      </c>
      <c r="C82" s="1098">
        <f>'Adjust Inventory Year'!E38</f>
        <v>0.316</v>
      </c>
      <c r="D82" s="911"/>
      <c r="G82" s="56"/>
    </row>
    <row r="83" spans="1:7" s="16" customFormat="1">
      <c r="A83" s="35"/>
      <c r="B83" s="662" t="s">
        <v>329</v>
      </c>
      <c r="C83" s="1098">
        <f>'Adjust Inventory Year'!E39</f>
        <v>0.26700000000000002</v>
      </c>
      <c r="D83" s="911"/>
      <c r="G83" s="56"/>
    </row>
    <row r="84" spans="1:7" s="16" customFormat="1">
      <c r="A84" s="35"/>
      <c r="B84" s="662" t="s">
        <v>330</v>
      </c>
      <c r="C84" s="1098">
        <f>'Adjust Inventory Year'!E40</f>
        <v>0.13100000000000001</v>
      </c>
      <c r="D84" s="911"/>
      <c r="G84" s="56"/>
    </row>
    <row r="85" spans="1:7" s="16" customFormat="1">
      <c r="A85" s="35"/>
      <c r="B85" s="662" t="s">
        <v>331</v>
      </c>
      <c r="C85" s="1098">
        <f>'Adjust Inventory Year'!E41</f>
        <v>0.40300000000000002</v>
      </c>
      <c r="D85" s="911"/>
      <c r="G85" s="56"/>
    </row>
    <row r="86" spans="1:7" s="16" customFormat="1">
      <c r="A86" s="35"/>
      <c r="B86" s="662" t="s">
        <v>332</v>
      </c>
      <c r="C86" s="1098">
        <f>'Adjust Inventory Year'!E42</f>
        <v>0.48899999999999999</v>
      </c>
      <c r="D86" s="911"/>
      <c r="G86" s="56"/>
    </row>
    <row r="87" spans="1:7" s="16" customFormat="1">
      <c r="A87" s="35"/>
      <c r="B87" s="662" t="s">
        <v>333</v>
      </c>
      <c r="C87" s="1098">
        <f>'Adjust Inventory Year'!E43</f>
        <v>0.39400000000000002</v>
      </c>
      <c r="D87" s="911"/>
      <c r="G87" s="56"/>
    </row>
    <row r="88" spans="1:7" s="16" customFormat="1">
      <c r="A88" s="35"/>
      <c r="B88" s="662" t="s">
        <v>334</v>
      </c>
      <c r="C88" s="1098">
        <f>'Adjust Inventory Year'!E44</f>
        <v>0.82099999999999995</v>
      </c>
      <c r="D88" s="911"/>
      <c r="G88" s="56"/>
    </row>
    <row r="89" spans="1:7" s="16" customFormat="1">
      <c r="A89" s="35"/>
      <c r="B89" s="662" t="s">
        <v>335</v>
      </c>
      <c r="C89" s="1098">
        <f>'Adjust Inventory Year'!E45</f>
        <v>0.502</v>
      </c>
      <c r="D89" s="911"/>
      <c r="G89" s="56"/>
    </row>
    <row r="90" spans="1:7" s="16" customFormat="1">
      <c r="A90" s="35"/>
      <c r="B90" s="662" t="s">
        <v>336</v>
      </c>
      <c r="C90" s="1098">
        <f>'Adjust Inventory Year'!E46</f>
        <v>0.19400000000000001</v>
      </c>
      <c r="D90" s="911"/>
      <c r="G90" s="56"/>
    </row>
    <row r="91" spans="1:7" s="16" customFormat="1">
      <c r="A91" s="35"/>
      <c r="B91" s="662" t="s">
        <v>337</v>
      </c>
      <c r="C91" s="1098">
        <f>'Adjust Inventory Year'!E47</f>
        <v>8.2000000000000003E-2</v>
      </c>
      <c r="D91" s="911"/>
      <c r="G91" s="56"/>
    </row>
    <row r="92" spans="1:7" s="16" customFormat="1">
      <c r="A92" s="35"/>
      <c r="B92" s="662" t="s">
        <v>338</v>
      </c>
      <c r="C92" s="1098">
        <f>'Adjust Inventory Year'!E48</f>
        <v>0.501</v>
      </c>
      <c r="D92" s="911"/>
      <c r="G92" s="56"/>
    </row>
    <row r="93" spans="1:7" s="16" customFormat="1">
      <c r="A93" s="35"/>
      <c r="B93" s="662" t="s">
        <v>339</v>
      </c>
      <c r="C93" s="1098">
        <f>'Adjust Inventory Year'!E49</f>
        <v>0.34200000000000003</v>
      </c>
      <c r="D93" s="911"/>
      <c r="G93" s="56"/>
    </row>
    <row r="94" spans="1:7" s="16" customFormat="1">
      <c r="A94" s="35"/>
      <c r="B94" s="662" t="s">
        <v>340</v>
      </c>
      <c r="C94" s="1098">
        <f>'Adjust Inventory Year'!E50</f>
        <v>0.14199999999999999</v>
      </c>
      <c r="D94" s="911"/>
      <c r="G94" s="56"/>
    </row>
    <row r="95" spans="1:7" s="16" customFormat="1">
      <c r="A95" s="35"/>
      <c r="B95" s="662" t="s">
        <v>341</v>
      </c>
      <c r="C95" s="1098">
        <f>'Adjust Inventory Year'!E51</f>
        <v>0.27200000000000002</v>
      </c>
      <c r="D95" s="911"/>
      <c r="G95" s="56"/>
    </row>
    <row r="96" spans="1:7" s="16" customFormat="1">
      <c r="A96" s="35"/>
      <c r="B96" s="662" t="s">
        <v>342</v>
      </c>
      <c r="C96" s="1098">
        <f>'Adjust Inventory Year'!E52</f>
        <v>0.44</v>
      </c>
      <c r="D96" s="911"/>
      <c r="G96" s="56"/>
    </row>
    <row r="97" spans="1:7" s="16" customFormat="1">
      <c r="A97" s="35"/>
      <c r="B97" s="662" t="s">
        <v>29</v>
      </c>
      <c r="C97" s="1098" t="s">
        <v>53</v>
      </c>
      <c r="D97" s="911"/>
      <c r="G97" s="56"/>
    </row>
    <row r="98" spans="1:7" s="16" customFormat="1">
      <c r="A98" s="35"/>
      <c r="B98" s="662" t="s">
        <v>343</v>
      </c>
      <c r="C98" s="1098">
        <f>'Adjust Inventory Year'!E53</f>
        <v>0.29799999999999999</v>
      </c>
      <c r="D98" s="911"/>
      <c r="G98" s="56"/>
    </row>
    <row r="99" spans="1:7" s="16" customFormat="1">
      <c r="A99" s="35"/>
      <c r="B99" s="662" t="s">
        <v>344</v>
      </c>
      <c r="C99" s="1098">
        <f>'Adjust Inventory Year'!E54</f>
        <v>4.5999999999999999E-2</v>
      </c>
      <c r="D99" s="911"/>
      <c r="G99" s="56"/>
    </row>
    <row r="100" spans="1:7" s="16" customFormat="1">
      <c r="A100" s="35"/>
      <c r="B100" s="662" t="s">
        <v>544</v>
      </c>
      <c r="C100" s="1098">
        <v>0.12</v>
      </c>
      <c r="D100" s="911"/>
      <c r="G100" s="56"/>
    </row>
    <row r="101" spans="1:7" s="16" customFormat="1">
      <c r="A101" s="35"/>
      <c r="B101" s="662" t="s">
        <v>345</v>
      </c>
      <c r="C101" s="1098">
        <f>'Adjust Inventory Year'!E55</f>
        <v>0.54300000000000004</v>
      </c>
      <c r="D101" s="911"/>
      <c r="G101" s="56"/>
    </row>
    <row r="102" spans="1:7" s="16" customFormat="1">
      <c r="A102" s="35"/>
      <c r="B102" s="662" t="s">
        <v>346</v>
      </c>
      <c r="C102" s="1098">
        <f>'Adjust Inventory Year'!E56</f>
        <v>0.33200000000000002</v>
      </c>
      <c r="D102" s="911"/>
      <c r="G102" s="56"/>
    </row>
    <row r="103" spans="1:7" s="16" customFormat="1">
      <c r="A103" s="35"/>
      <c r="B103" s="662" t="s">
        <v>347</v>
      </c>
      <c r="C103" s="1098">
        <f>'Adjust Inventory Year'!E57</f>
        <v>0.1</v>
      </c>
      <c r="D103" s="911"/>
      <c r="G103" s="56"/>
    </row>
    <row r="104" spans="1:7" s="16" customFormat="1">
      <c r="A104" s="35"/>
      <c r="B104" s="662" t="s">
        <v>348</v>
      </c>
      <c r="C104" s="1098">
        <f>'Adjust Inventory Year'!E58</f>
        <v>0.19900000000000001</v>
      </c>
      <c r="D104" s="911"/>
      <c r="G104" s="56"/>
    </row>
    <row r="105" spans="1:7" s="16" customFormat="1">
      <c r="A105" s="35"/>
      <c r="B105" s="662" t="s">
        <v>349</v>
      </c>
      <c r="C105" s="1098">
        <f>'Adjust Inventory Year'!E59</f>
        <v>8.5999999999999993E-2</v>
      </c>
      <c r="G105" s="56"/>
    </row>
    <row r="106" spans="1:7" s="16" customFormat="1">
      <c r="A106" s="35"/>
      <c r="B106" s="662" t="s">
        <v>350</v>
      </c>
      <c r="C106" s="1098">
        <f>'Adjust Inventory Year'!E60</f>
        <v>8.5000000000000006E-2</v>
      </c>
      <c r="G106" s="56"/>
    </row>
    <row r="107" spans="1:7" s="16" customFormat="1">
      <c r="A107" s="35"/>
      <c r="B107" s="662" t="s">
        <v>351</v>
      </c>
      <c r="C107" s="1098">
        <f>'Adjust Inventory Year'!E61</f>
        <v>0.33300000000000002</v>
      </c>
      <c r="G107" s="56"/>
    </row>
    <row r="108" spans="1:7" s="16" customFormat="1">
      <c r="A108" s="35"/>
      <c r="B108" s="662" t="s">
        <v>352</v>
      </c>
      <c r="C108" s="1098">
        <f>'Adjust Inventory Year'!E62</f>
        <v>0.85799999999999998</v>
      </c>
      <c r="G108" s="56"/>
    </row>
    <row r="109" spans="1:7" s="16" customFormat="1">
      <c r="A109" s="35"/>
      <c r="B109" s="662" t="s">
        <v>353</v>
      </c>
      <c r="C109" s="1098">
        <f>'Adjust Inventory Year'!E63</f>
        <v>0.45400000000000001</v>
      </c>
      <c r="G109" s="56"/>
    </row>
    <row r="110" spans="1:7" s="16" customFormat="1">
      <c r="A110" s="35"/>
      <c r="B110" s="662" t="s">
        <v>354</v>
      </c>
      <c r="C110" s="1098">
        <f>'Adjust Inventory Year'!E64</f>
        <v>9.1999999999999998E-2</v>
      </c>
      <c r="G110" s="56"/>
    </row>
    <row r="111" spans="1:7" s="16" customFormat="1">
      <c r="A111" s="35"/>
      <c r="B111" s="662" t="s">
        <v>355</v>
      </c>
      <c r="C111" s="1098">
        <f>'Adjust Inventory Year'!E65</f>
        <v>0.48299999999999998</v>
      </c>
      <c r="G111" s="56"/>
    </row>
    <row r="112" spans="1:7" s="16" customFormat="1">
      <c r="A112" s="35"/>
      <c r="B112" s="662" t="s">
        <v>356</v>
      </c>
      <c r="C112" s="1098">
        <f>'Adjust Inventory Year'!E66</f>
        <v>0.36399999999999999</v>
      </c>
      <c r="G112" s="56"/>
    </row>
    <row r="113" spans="1:12" s="16" customFormat="1">
      <c r="A113" s="35"/>
      <c r="B113" s="662" t="s">
        <v>357</v>
      </c>
      <c r="C113" s="1098">
        <f>'Adjust Inventory Year'!E67</f>
        <v>0.105</v>
      </c>
      <c r="G113" s="56"/>
    </row>
    <row r="114" spans="1:12" s="16" customFormat="1">
      <c r="A114" s="35"/>
      <c r="B114" s="662" t="s">
        <v>358</v>
      </c>
      <c r="C114" s="1098">
        <f>'Adjust Inventory Year'!E68</f>
        <v>0.504</v>
      </c>
      <c r="G114" s="56"/>
    </row>
    <row r="115" spans="1:12" s="16" customFormat="1" ht="13.5" thickBot="1">
      <c r="A115" s="35"/>
      <c r="B115" s="663" t="s">
        <v>359</v>
      </c>
      <c r="C115" s="1098">
        <f>'Adjust Inventory Year'!E69</f>
        <v>0.435</v>
      </c>
      <c r="G115" s="56"/>
    </row>
    <row r="116" spans="1:12" s="16" customFormat="1" ht="49.5" customHeight="1" thickBot="1">
      <c r="A116" s="35"/>
      <c r="B116" s="2156" t="s">
        <v>984</v>
      </c>
      <c r="C116" s="2168"/>
      <c r="D116" s="639" t="s">
        <v>938</v>
      </c>
    </row>
    <row r="117" spans="1:12" s="16" customFormat="1" ht="13.5" thickBot="1">
      <c r="A117" s="35"/>
      <c r="B117" s="5"/>
      <c r="C117" s="5"/>
      <c r="D117" s="5"/>
    </row>
    <row r="118" spans="1:12" s="16" customFormat="1" ht="18" customHeight="1" thickBot="1">
      <c r="A118" s="35"/>
      <c r="B118" s="1961" t="s">
        <v>985</v>
      </c>
      <c r="C118" s="1908"/>
      <c r="D118" s="1908"/>
      <c r="E118" s="1908"/>
      <c r="F118" s="1908"/>
      <c r="G118" s="1908"/>
      <c r="H118" s="1908"/>
      <c r="I118" s="1909"/>
    </row>
    <row r="119" spans="1:12" s="16" customFormat="1" ht="25.5">
      <c r="A119" s="35"/>
      <c r="B119" s="1419" t="s">
        <v>453</v>
      </c>
      <c r="C119" s="1420" t="s">
        <v>986</v>
      </c>
      <c r="D119" s="633" t="s">
        <v>987</v>
      </c>
      <c r="E119" s="1420" t="s">
        <v>988</v>
      </c>
      <c r="F119" s="1420" t="s">
        <v>989</v>
      </c>
      <c r="G119" s="634" t="s">
        <v>944</v>
      </c>
      <c r="H119" s="634" t="s">
        <v>945</v>
      </c>
      <c r="I119" s="635" t="s">
        <v>946</v>
      </c>
    </row>
    <row r="120" spans="1:12" s="16" customFormat="1">
      <c r="A120" s="35"/>
      <c r="B120" s="664" t="s">
        <v>454</v>
      </c>
      <c r="C120" s="665">
        <f>SUM('Stationary Energy - Buildings'!D11:D13)</f>
        <v>114509000</v>
      </c>
      <c r="D120" s="666">
        <f>SUMIF('Stationary Energy - Buildings'!F11:F13,"&lt;&gt;#DIV/0!",'Stationary Energy - Buildings'!F11:F13)</f>
        <v>2.2201578540980322</v>
      </c>
      <c r="E120" s="666">
        <f>SUMIF('Stationary Energy - Buildings'!G11:G13,"&lt;&gt;#DIV/0!",'Stationary Energy - Buildings'!G11:G13)</f>
        <v>25646.651073201403</v>
      </c>
      <c r="F120" s="666">
        <f>SUMIF('Stationary Energy - Buildings'!H11:H13,"&lt;&gt;#DIV/0!",'Stationary Energy - Buildings'!H11:H13)</f>
        <v>0.306228669530763</v>
      </c>
      <c r="G120" s="667">
        <f t="shared" ref="G120:I121" si="6">D120/$C120</f>
        <v>1.9388500939646946E-8</v>
      </c>
      <c r="H120" s="667">
        <f t="shared" si="6"/>
        <v>2.2397061430281815E-4</v>
      </c>
      <c r="I120" s="668">
        <f t="shared" si="6"/>
        <v>2.6742759916754404E-9</v>
      </c>
    </row>
    <row r="121" spans="1:12" s="16" customFormat="1" ht="26.25" thickBot="1">
      <c r="A121" s="35"/>
      <c r="B121" s="669" t="s">
        <v>471</v>
      </c>
      <c r="C121" s="670">
        <f>SUM('Stationary Energy - Buildings'!D16:D18)</f>
        <v>58097000</v>
      </c>
      <c r="D121" s="671">
        <f>SUMIF('Stationary Energy - Buildings'!F16:F18,"&lt;&gt;#DIV/0!",'Stationary Energy - Buildings'!F16:F18)</f>
        <v>1.118136168909539</v>
      </c>
      <c r="E121" s="671">
        <f>SUMIF('Stationary Energy - Buildings'!G16:G18,"&lt;&gt;#DIV/0!",'Stationary Energy - Buildings'!G16:G18)</f>
        <v>12916.400571886054</v>
      </c>
      <c r="F121" s="671">
        <f>SUMIF('Stationary Energy - Buildings'!H16:H18,"&lt;&gt;#DIV/0!",'Stationary Energy - Buildings'!H16:H18)</f>
        <v>0.15422567847028124</v>
      </c>
      <c r="G121" s="672">
        <f>D121/$C121</f>
        <v>1.9246022495301635E-8</v>
      </c>
      <c r="H121" s="672">
        <f t="shared" si="6"/>
        <v>2.2232474261813954E-4</v>
      </c>
      <c r="I121" s="673">
        <f t="shared" si="6"/>
        <v>2.6546237924553978E-9</v>
      </c>
    </row>
    <row r="122" spans="1:12" s="16" customFormat="1" ht="42.75" customHeight="1" thickBot="1">
      <c r="A122" s="35"/>
      <c r="B122" s="2131" t="s">
        <v>990</v>
      </c>
      <c r="C122" s="2132"/>
      <c r="D122" s="2132"/>
      <c r="E122" s="2133"/>
      <c r="G122" s="56"/>
    </row>
    <row r="123" spans="1:12" s="16" customFormat="1" ht="13.5" thickBot="1">
      <c r="A123" s="35"/>
      <c r="B123" s="57"/>
      <c r="C123" s="45"/>
      <c r="D123" s="45"/>
      <c r="E123" s="45"/>
      <c r="F123" s="45"/>
      <c r="G123" s="45"/>
      <c r="H123" s="56"/>
      <c r="I123" s="56"/>
    </row>
    <row r="124" spans="1:12" s="16" customFormat="1" ht="15.75" thickBot="1">
      <c r="A124" s="35"/>
      <c r="B124" s="1905" t="s">
        <v>991</v>
      </c>
      <c r="C124" s="2114"/>
      <c r="D124" s="2115"/>
      <c r="E124" s="632"/>
      <c r="F124" s="35"/>
      <c r="G124" s="56"/>
      <c r="H124" s="56"/>
      <c r="I124" s="56"/>
    </row>
    <row r="125" spans="1:12" s="16" customFormat="1">
      <c r="A125" s="35"/>
      <c r="B125" s="76" t="s">
        <v>368</v>
      </c>
      <c r="C125" s="77" t="s">
        <v>369</v>
      </c>
      <c r="D125" s="78" t="s">
        <v>464</v>
      </c>
      <c r="E125" s="35"/>
      <c r="F125" s="35"/>
      <c r="G125" s="56"/>
      <c r="H125" s="56"/>
      <c r="I125" s="56"/>
    </row>
    <row r="126" spans="1:12" s="16" customFormat="1" ht="13.5" thickBot="1">
      <c r="A126" s="35"/>
      <c r="B126" s="1099">
        <f>'Adjust Inventory Year'!B79</f>
        <v>28</v>
      </c>
      <c r="C126" s="1704">
        <f>'Adjust Inventory Year'!C79</f>
        <v>265</v>
      </c>
      <c r="D126" s="1700" t="s">
        <v>992</v>
      </c>
      <c r="E126" s="35"/>
      <c r="F126" s="35"/>
      <c r="G126" s="234"/>
      <c r="H126" s="56"/>
      <c r="I126" s="45"/>
    </row>
    <row r="127" spans="1:12" s="16" customFormat="1" ht="13.5" thickBot="1">
      <c r="A127" s="35"/>
      <c r="B127" s="2169"/>
      <c r="C127" s="2170"/>
      <c r="D127" s="35"/>
      <c r="E127" s="35"/>
      <c r="F127" s="35"/>
      <c r="G127" s="56"/>
      <c r="H127" s="56"/>
      <c r="I127" s="56"/>
    </row>
    <row r="128" spans="1:12" s="16" customFormat="1" ht="15" thickBot="1">
      <c r="A128" s="35"/>
      <c r="B128" s="1905" t="s">
        <v>993</v>
      </c>
      <c r="C128" s="2165"/>
      <c r="D128" s="2165"/>
      <c r="E128" s="2165"/>
      <c r="F128" s="1908"/>
      <c r="G128" s="1908"/>
      <c r="H128" s="1909"/>
      <c r="I128" s="632"/>
      <c r="J128" s="24"/>
      <c r="K128" s="24"/>
      <c r="L128" s="24"/>
    </row>
    <row r="129" spans="1:14" s="16" customFormat="1" ht="15" customHeight="1">
      <c r="A129" s="35"/>
      <c r="B129" s="79" t="s">
        <v>287</v>
      </c>
      <c r="C129" s="269" t="s">
        <v>994</v>
      </c>
      <c r="D129" s="270" t="s">
        <v>995</v>
      </c>
      <c r="E129" s="269" t="s">
        <v>996</v>
      </c>
      <c r="F129" s="269" t="s">
        <v>997</v>
      </c>
      <c r="G129" s="80" t="s">
        <v>372</v>
      </c>
      <c r="H129" s="81" t="s">
        <v>464</v>
      </c>
      <c r="I129" s="45"/>
      <c r="J129" s="45"/>
      <c r="K129" s="45"/>
      <c r="L129" s="24"/>
      <c r="M129" s="24"/>
      <c r="N129" s="24"/>
    </row>
    <row r="130" spans="1:14" s="16" customFormat="1" ht="15" customHeight="1">
      <c r="A130" s="35"/>
      <c r="B130" s="674" t="s">
        <v>373</v>
      </c>
      <c r="C130" s="675" t="s">
        <v>998</v>
      </c>
      <c r="D130" s="1100">
        <f>'Adjust Inventory Year'!C84</f>
        <v>6.03411E-7</v>
      </c>
      <c r="E130" s="1102">
        <f>'Adjust Inventory Year'!D84</f>
        <v>1.021E-2</v>
      </c>
      <c r="F130" s="1100">
        <f>'Adjust Inventory Year'!E84</f>
        <v>3.6449699999999998E-7</v>
      </c>
      <c r="G130" s="675" t="s">
        <v>374</v>
      </c>
      <c r="H130" s="676" t="s">
        <v>915</v>
      </c>
      <c r="J130" s="45"/>
      <c r="K130" s="45"/>
      <c r="L130" s="24"/>
      <c r="M130" s="24"/>
      <c r="N130" s="24"/>
    </row>
    <row r="131" spans="1:14" s="16" customFormat="1" ht="15" customHeight="1">
      <c r="A131" s="35"/>
      <c r="B131" s="677" t="s">
        <v>375</v>
      </c>
      <c r="C131" s="678" t="s">
        <v>998</v>
      </c>
      <c r="D131" s="1101">
        <f>'Adjust Inventory Year'!C85</f>
        <v>5.1889799999999997E-7</v>
      </c>
      <c r="E131" s="1103">
        <f>'Adjust Inventory Year'!D85</f>
        <v>8.7799999999999996E-3</v>
      </c>
      <c r="F131" s="1101">
        <f>'Adjust Inventory Year'!E85</f>
        <v>3.1344599999999999E-7</v>
      </c>
      <c r="G131" s="678" t="s">
        <v>374</v>
      </c>
      <c r="H131" s="679" t="s">
        <v>915</v>
      </c>
      <c r="I131" s="45"/>
      <c r="J131" s="45"/>
      <c r="K131" s="45"/>
      <c r="L131" s="24"/>
      <c r="M131" s="24"/>
      <c r="N131" s="24"/>
    </row>
    <row r="132" spans="1:14" s="16" customFormat="1" ht="15" customHeight="1">
      <c r="A132" s="35"/>
      <c r="B132" s="677" t="s">
        <v>376</v>
      </c>
      <c r="C132" s="678" t="s">
        <v>999</v>
      </c>
      <c r="D132" s="913"/>
      <c r="E132" s="912">
        <f>E133/D147</f>
        <v>5.2941176470588228E-2</v>
      </c>
      <c r="F132" s="913"/>
      <c r="G132" s="678" t="s">
        <v>299</v>
      </c>
      <c r="H132" s="679" t="s">
        <v>915</v>
      </c>
      <c r="I132" s="45"/>
      <c r="J132" s="45"/>
      <c r="K132" s="45"/>
      <c r="L132" s="24"/>
      <c r="M132" s="24"/>
      <c r="N132" s="24"/>
    </row>
    <row r="133" spans="1:14" s="16" customFormat="1" ht="15" customHeight="1" thickBot="1">
      <c r="A133" s="35"/>
      <c r="B133" s="680" t="s">
        <v>376</v>
      </c>
      <c r="C133" s="681" t="s">
        <v>1000</v>
      </c>
      <c r="D133" s="914"/>
      <c r="E133" s="1104">
        <f>'Adjust Inventory Year'!D86*D139</f>
        <v>5.3999999999999998E-5</v>
      </c>
      <c r="F133" s="914"/>
      <c r="G133" s="681" t="s">
        <v>1001</v>
      </c>
      <c r="H133" s="682" t="s">
        <v>915</v>
      </c>
      <c r="I133" s="45"/>
      <c r="J133" s="45"/>
      <c r="K133" s="45"/>
      <c r="L133" s="24"/>
      <c r="M133" s="24"/>
      <c r="N133" s="24"/>
    </row>
    <row r="134" spans="1:14" s="16" customFormat="1" ht="15" customHeight="1" thickBot="1">
      <c r="A134" s="35"/>
      <c r="B134" s="45"/>
      <c r="C134" s="45"/>
      <c r="D134" s="45"/>
      <c r="E134" s="45"/>
      <c r="F134" s="45"/>
      <c r="G134" s="45"/>
      <c r="H134" s="45"/>
      <c r="I134" s="24"/>
      <c r="J134" s="24"/>
      <c r="K134" s="24"/>
    </row>
    <row r="135" spans="1:14" s="16" customFormat="1" ht="15" customHeight="1" thickBot="1">
      <c r="A135" s="35"/>
      <c r="B135" s="1961" t="s">
        <v>1002</v>
      </c>
      <c r="C135" s="2148"/>
      <c r="D135" s="2148"/>
      <c r="E135" s="2149"/>
      <c r="F135" s="632"/>
      <c r="G135" s="45"/>
      <c r="H135" s="45"/>
      <c r="I135" s="45"/>
      <c r="J135" s="24"/>
      <c r="K135" s="24"/>
      <c r="L135" s="24"/>
    </row>
    <row r="136" spans="1:14" s="16" customFormat="1" ht="15" customHeight="1">
      <c r="A136" s="35"/>
      <c r="B136" s="65" t="s">
        <v>1003</v>
      </c>
      <c r="C136" s="66" t="s">
        <v>1004</v>
      </c>
      <c r="D136" s="66" t="s">
        <v>1005</v>
      </c>
      <c r="E136" s="67" t="s">
        <v>464</v>
      </c>
      <c r="F136" s="45"/>
      <c r="G136" s="45"/>
      <c r="H136" s="45"/>
      <c r="I136" s="45"/>
      <c r="J136" s="24"/>
      <c r="K136" s="24"/>
      <c r="L136" s="24"/>
    </row>
    <row r="137" spans="1:14" s="16" customFormat="1" ht="15" customHeight="1">
      <c r="A137" s="35"/>
      <c r="B137" s="683" t="s">
        <v>1006</v>
      </c>
      <c r="C137" s="684" t="s">
        <v>999</v>
      </c>
      <c r="D137" s="684">
        <v>0.13800000000000001</v>
      </c>
      <c r="E137" s="676" t="s">
        <v>915</v>
      </c>
      <c r="F137" s="45"/>
      <c r="G137" s="45"/>
      <c r="H137" s="45"/>
      <c r="I137" s="45"/>
      <c r="J137" s="24"/>
      <c r="K137" s="24"/>
      <c r="L137" s="24"/>
    </row>
    <row r="138" spans="1:14" s="16" customFormat="1" ht="15" customHeight="1">
      <c r="A138" s="35"/>
      <c r="B138" s="685" t="s">
        <v>1007</v>
      </c>
      <c r="C138" s="686" t="s">
        <v>1008</v>
      </c>
      <c r="D138" s="678">
        <v>9.9999999999999995E-7</v>
      </c>
      <c r="E138" s="687" t="s">
        <v>921</v>
      </c>
      <c r="F138" s="45"/>
      <c r="G138" s="45"/>
      <c r="H138" s="45"/>
      <c r="I138" s="45"/>
      <c r="J138" s="24"/>
      <c r="K138" s="24"/>
      <c r="L138" s="24"/>
    </row>
    <row r="139" spans="1:14" s="16" customFormat="1" ht="15" customHeight="1">
      <c r="A139" s="35"/>
      <c r="B139" s="688" t="s">
        <v>1009</v>
      </c>
      <c r="C139" s="689" t="s">
        <v>1008</v>
      </c>
      <c r="D139" s="678">
        <v>1E-3</v>
      </c>
      <c r="E139" s="687" t="s">
        <v>921</v>
      </c>
      <c r="F139" s="45"/>
      <c r="G139" s="45"/>
      <c r="H139" s="45"/>
      <c r="I139" s="45"/>
      <c r="J139" s="24"/>
      <c r="K139" s="24"/>
      <c r="L139" s="24"/>
    </row>
    <row r="140" spans="1:14" s="16" customFormat="1" ht="15" customHeight="1">
      <c r="A140" s="35"/>
      <c r="B140" s="690" t="s">
        <v>1010</v>
      </c>
      <c r="C140" s="691" t="s">
        <v>999</v>
      </c>
      <c r="D140" s="1105">
        <v>3.4121399999999997E-3</v>
      </c>
      <c r="E140" s="687" t="s">
        <v>921</v>
      </c>
      <c r="F140" s="45"/>
      <c r="G140" s="45"/>
      <c r="I140" s="45"/>
      <c r="J140" s="24"/>
      <c r="K140" s="24"/>
      <c r="L140" s="24"/>
    </row>
    <row r="141" spans="1:14" s="16" customFormat="1">
      <c r="A141" s="35"/>
      <c r="B141" s="692" t="s">
        <v>1011</v>
      </c>
      <c r="C141" s="693" t="s">
        <v>1012</v>
      </c>
      <c r="D141" s="152">
        <v>1000</v>
      </c>
      <c r="E141" s="687" t="s">
        <v>921</v>
      </c>
      <c r="F141" s="45"/>
      <c r="G141" s="45"/>
      <c r="H141" s="45"/>
      <c r="I141" s="45"/>
      <c r="J141" s="24"/>
      <c r="K141" s="24"/>
      <c r="L141" s="24"/>
    </row>
    <row r="142" spans="1:14" s="16" customFormat="1">
      <c r="A142" s="35"/>
      <c r="B142" s="692" t="s">
        <v>1013</v>
      </c>
      <c r="C142" s="693" t="s">
        <v>1008</v>
      </c>
      <c r="D142" s="152">
        <v>1000000</v>
      </c>
      <c r="E142" s="687" t="s">
        <v>921</v>
      </c>
      <c r="F142" s="45"/>
      <c r="G142" s="45"/>
      <c r="H142" s="45"/>
      <c r="I142" s="45"/>
      <c r="J142" s="24"/>
      <c r="K142" s="24"/>
      <c r="L142" s="24"/>
    </row>
    <row r="143" spans="1:14" s="16" customFormat="1">
      <c r="A143" s="35"/>
      <c r="B143" s="692" t="s">
        <v>1014</v>
      </c>
      <c r="C143" s="693" t="s">
        <v>1008</v>
      </c>
      <c r="D143" s="1106">
        <v>4.53592E-4</v>
      </c>
      <c r="E143" s="687" t="s">
        <v>921</v>
      </c>
      <c r="F143" s="45"/>
      <c r="G143" s="45"/>
      <c r="H143" s="45"/>
      <c r="I143" s="45"/>
      <c r="J143" s="24"/>
      <c r="K143" s="24"/>
      <c r="L143" s="24"/>
    </row>
    <row r="144" spans="1:14" s="16" customFormat="1">
      <c r="A144" s="35"/>
      <c r="B144" s="690" t="s">
        <v>1015</v>
      </c>
      <c r="C144" s="691" t="s">
        <v>1016</v>
      </c>
      <c r="D144" s="1107">
        <v>0.90718500000000002</v>
      </c>
      <c r="E144" s="687" t="s">
        <v>921</v>
      </c>
      <c r="F144" s="45"/>
      <c r="G144" s="45"/>
      <c r="H144" s="45"/>
      <c r="I144" s="45"/>
      <c r="J144" s="24"/>
      <c r="K144" s="24"/>
      <c r="L144" s="24"/>
    </row>
    <row r="145" spans="1:12" s="16" customFormat="1">
      <c r="A145" s="35"/>
      <c r="B145" s="690" t="s">
        <v>1015</v>
      </c>
      <c r="C145" s="691" t="s">
        <v>1009</v>
      </c>
      <c r="D145" s="989">
        <v>907.18499999999995</v>
      </c>
      <c r="E145" s="687" t="s">
        <v>921</v>
      </c>
      <c r="F145" s="45"/>
      <c r="G145" s="45"/>
      <c r="H145" s="45"/>
      <c r="I145" s="45"/>
      <c r="J145" s="24"/>
      <c r="K145" s="24"/>
      <c r="L145" s="24"/>
    </row>
    <row r="146" spans="1:12" s="16" customFormat="1">
      <c r="A146" s="35"/>
      <c r="B146" s="690" t="s">
        <v>1015</v>
      </c>
      <c r="C146" s="691" t="s">
        <v>1017</v>
      </c>
      <c r="D146" s="1107">
        <v>9.0718500000000002E-4</v>
      </c>
      <c r="E146" s="687" t="s">
        <v>921</v>
      </c>
      <c r="F146" s="45"/>
      <c r="G146" s="45"/>
      <c r="H146" s="45"/>
      <c r="I146" s="45"/>
      <c r="J146" s="24"/>
      <c r="K146" s="24"/>
      <c r="L146" s="24"/>
    </row>
    <row r="147" spans="1:12" s="16" customFormat="1" ht="15" customHeight="1">
      <c r="A147" s="35"/>
      <c r="B147" s="685" t="s">
        <v>1018</v>
      </c>
      <c r="C147" s="694" t="s">
        <v>1019</v>
      </c>
      <c r="D147" s="678">
        <v>1.0200000000000001E-3</v>
      </c>
      <c r="E147" s="687" t="s">
        <v>921</v>
      </c>
      <c r="F147" s="45"/>
      <c r="G147" s="45"/>
      <c r="H147" s="45"/>
      <c r="I147" s="45"/>
      <c r="J147" s="24"/>
      <c r="K147" s="24"/>
      <c r="L147" s="24"/>
    </row>
    <row r="148" spans="1:12" s="16" customFormat="1" ht="15" customHeight="1">
      <c r="A148" s="35"/>
      <c r="B148" s="1503" t="s">
        <v>1020</v>
      </c>
      <c r="C148" s="1504" t="s">
        <v>1019</v>
      </c>
      <c r="D148" s="1505">
        <v>9.9976099999999998E-2</v>
      </c>
      <c r="E148" s="1506" t="s">
        <v>921</v>
      </c>
      <c r="F148" s="45"/>
      <c r="G148" s="45"/>
      <c r="H148" s="45"/>
      <c r="I148" s="45"/>
      <c r="J148" s="24"/>
      <c r="K148" s="24"/>
      <c r="L148" s="24"/>
    </row>
    <row r="149" spans="1:12" s="16" customFormat="1" ht="15" customHeight="1" thickBot="1">
      <c r="A149" s="35"/>
      <c r="B149" s="695" t="s">
        <v>1014</v>
      </c>
      <c r="C149" s="696" t="s">
        <v>1021</v>
      </c>
      <c r="D149" s="1502">
        <v>0.453592</v>
      </c>
      <c r="E149" s="697" t="s">
        <v>921</v>
      </c>
      <c r="F149" s="45"/>
      <c r="G149" s="45"/>
      <c r="H149" s="45"/>
      <c r="I149" s="45"/>
      <c r="J149" s="24"/>
      <c r="K149" s="24"/>
      <c r="L149" s="24"/>
    </row>
    <row r="150" spans="1:12" s="16" customFormat="1" ht="15" customHeight="1">
      <c r="A150" s="35"/>
      <c r="F150" s="45"/>
      <c r="G150" s="45"/>
      <c r="H150" s="45"/>
      <c r="I150" s="45"/>
      <c r="J150" s="24"/>
      <c r="K150" s="24"/>
      <c r="L150" s="24"/>
    </row>
    <row r="151" spans="1:12" s="16" customFormat="1"/>
    <row r="152" spans="1:12" s="16" customFormat="1"/>
    <row r="153" spans="1:12" s="16" customFormat="1">
      <c r="C153" s="1148"/>
    </row>
    <row r="154" spans="1:12" s="16" customFormat="1">
      <c r="C154" s="1148"/>
    </row>
    <row r="155" spans="1:12" s="16" customFormat="1"/>
    <row r="156" spans="1:12" s="16" customFormat="1"/>
    <row r="157" spans="1:12" s="16" customFormat="1" ht="19.5" customHeight="1">
      <c r="J157" s="456"/>
    </row>
    <row r="158" spans="1:12" s="16" customFormat="1" ht="67.5" customHeight="1"/>
    <row r="159" spans="1:12" s="16" customFormat="1"/>
    <row r="160" spans="1:12" s="16" customFormat="1"/>
    <row r="161" spans="5:9" s="16" customFormat="1"/>
    <row r="162" spans="5:9" s="16" customFormat="1"/>
    <row r="163" spans="5:9" s="16" customFormat="1"/>
    <row r="164" spans="5:9" s="16" customFormat="1"/>
    <row r="165" spans="5:9" s="16" customFormat="1"/>
    <row r="166" spans="5:9">
      <c r="E166" s="5"/>
      <c r="F166" s="5"/>
      <c r="G166" s="5"/>
      <c r="H166" s="5"/>
      <c r="I166" s="5"/>
    </row>
    <row r="167" spans="5:9">
      <c r="E167" s="5"/>
      <c r="F167" s="5"/>
      <c r="G167" s="5"/>
      <c r="H167" s="5"/>
      <c r="I167" s="5"/>
    </row>
    <row r="168" spans="5:9">
      <c r="E168" s="5"/>
      <c r="F168" s="5"/>
      <c r="G168" s="5"/>
      <c r="H168" s="5"/>
      <c r="I168" s="5"/>
    </row>
    <row r="169" spans="5:9">
      <c r="E169" s="5"/>
      <c r="F169" s="5"/>
      <c r="G169" s="5"/>
      <c r="H169" s="5"/>
      <c r="I169" s="5"/>
    </row>
    <row r="170" spans="5:9">
      <c r="E170" s="5"/>
      <c r="F170" s="5"/>
      <c r="G170" s="5"/>
      <c r="H170" s="5"/>
      <c r="I170" s="5"/>
    </row>
    <row r="171" spans="5:9">
      <c r="E171" s="5"/>
      <c r="F171" s="5"/>
      <c r="G171" s="5"/>
      <c r="H171" s="5"/>
      <c r="I171" s="5"/>
    </row>
    <row r="172" spans="5:9" ht="46.5" customHeight="1">
      <c r="E172" s="5"/>
      <c r="F172" s="5"/>
      <c r="G172" s="5"/>
      <c r="H172" s="5"/>
      <c r="I172" s="5"/>
    </row>
    <row r="173" spans="5:9">
      <c r="E173" s="5"/>
      <c r="F173" s="5"/>
      <c r="G173" s="5"/>
      <c r="H173" s="5"/>
      <c r="I173" s="5"/>
    </row>
    <row r="174" spans="5:9">
      <c r="E174" s="5"/>
      <c r="F174" s="5"/>
      <c r="G174" s="5"/>
      <c r="H174" s="5"/>
      <c r="I174" s="5"/>
    </row>
    <row r="175" spans="5:9">
      <c r="E175" s="5"/>
      <c r="F175" s="5"/>
      <c r="G175" s="5"/>
      <c r="H175" s="5"/>
      <c r="I175" s="5"/>
    </row>
    <row r="176" spans="5:9">
      <c r="E176" s="5"/>
      <c r="F176" s="5"/>
      <c r="G176" s="5"/>
      <c r="H176" s="5"/>
      <c r="I176" s="5"/>
    </row>
    <row r="177" spans="5:9">
      <c r="E177" s="5"/>
      <c r="F177" s="5"/>
      <c r="G177" s="5"/>
      <c r="H177" s="5"/>
      <c r="I177" s="5"/>
    </row>
    <row r="178" spans="5:9">
      <c r="E178" s="5"/>
      <c r="F178" s="5"/>
      <c r="G178" s="5"/>
      <c r="H178" s="5"/>
      <c r="I178" s="5"/>
    </row>
    <row r="179" spans="5:9">
      <c r="E179" s="5"/>
      <c r="F179" s="5"/>
      <c r="G179" s="5"/>
      <c r="H179" s="5"/>
      <c r="I179" s="5"/>
    </row>
    <row r="180" spans="5:9">
      <c r="E180" s="5"/>
      <c r="F180" s="5"/>
      <c r="G180" s="5"/>
      <c r="H180" s="5"/>
      <c r="I180" s="5"/>
    </row>
    <row r="181" spans="5:9">
      <c r="E181" s="5"/>
      <c r="F181" s="5"/>
      <c r="G181" s="5"/>
      <c r="H181" s="5"/>
      <c r="I181" s="5"/>
    </row>
    <row r="182" spans="5:9">
      <c r="E182" s="5"/>
      <c r="F182" s="5"/>
      <c r="G182" s="5"/>
      <c r="H182" s="5"/>
      <c r="I182" s="5"/>
    </row>
    <row r="183" spans="5:9">
      <c r="E183" s="5"/>
      <c r="F183" s="5"/>
      <c r="G183" s="5"/>
      <c r="H183" s="5"/>
      <c r="I183" s="5"/>
    </row>
    <row r="184" spans="5:9">
      <c r="E184" s="5"/>
      <c r="F184" s="5"/>
      <c r="G184" s="5"/>
      <c r="H184" s="5"/>
      <c r="I184" s="5"/>
    </row>
    <row r="185" spans="5:9">
      <c r="E185" s="5"/>
      <c r="F185" s="5"/>
      <c r="G185" s="5"/>
      <c r="H185" s="5"/>
      <c r="I185" s="5"/>
    </row>
    <row r="186" spans="5:9">
      <c r="E186" s="5"/>
      <c r="F186" s="5"/>
      <c r="G186" s="5"/>
      <c r="H186" s="5"/>
      <c r="I186" s="5"/>
    </row>
    <row r="187" spans="5:9">
      <c r="E187" s="5"/>
      <c r="F187" s="5"/>
      <c r="G187" s="5"/>
      <c r="H187" s="5"/>
      <c r="I187" s="5"/>
    </row>
    <row r="188" spans="5:9">
      <c r="E188" s="5"/>
      <c r="F188" s="5"/>
      <c r="G188" s="5"/>
      <c r="H188" s="5"/>
      <c r="I188" s="5"/>
    </row>
    <row r="189" spans="5:9">
      <c r="E189" s="5"/>
      <c r="F189" s="5"/>
      <c r="G189" s="5"/>
      <c r="H189" s="5"/>
      <c r="I189" s="5"/>
    </row>
    <row r="190" spans="5:9">
      <c r="E190" s="5"/>
      <c r="F190" s="5"/>
      <c r="G190" s="5"/>
      <c r="H190" s="5"/>
      <c r="I190" s="5"/>
    </row>
    <row r="191" spans="5:9">
      <c r="E191" s="5"/>
      <c r="F191" s="5"/>
      <c r="G191" s="5"/>
      <c r="H191" s="5"/>
      <c r="I191" s="5"/>
    </row>
    <row r="192" spans="5:9">
      <c r="E192" s="5"/>
      <c r="F192" s="5"/>
      <c r="G192" s="5"/>
      <c r="H192" s="5"/>
      <c r="I192" s="5"/>
    </row>
    <row r="193" spans="5:9">
      <c r="E193" s="5"/>
      <c r="F193" s="5"/>
      <c r="G193" s="5"/>
      <c r="H193" s="5"/>
      <c r="I193" s="5"/>
    </row>
    <row r="194" spans="5:9">
      <c r="E194" s="5"/>
      <c r="F194" s="5"/>
      <c r="G194" s="5"/>
      <c r="H194" s="5"/>
      <c r="I194" s="5"/>
    </row>
    <row r="195" spans="5:9">
      <c r="E195" s="5"/>
      <c r="F195" s="5"/>
      <c r="G195" s="5"/>
      <c r="H195" s="5"/>
      <c r="I195" s="5"/>
    </row>
    <row r="196" spans="5:9">
      <c r="E196" s="5"/>
      <c r="F196" s="5"/>
      <c r="G196" s="5"/>
      <c r="H196" s="5"/>
      <c r="I196" s="5"/>
    </row>
    <row r="197" spans="5:9">
      <c r="E197" s="5"/>
      <c r="F197" s="5"/>
      <c r="G197" s="5"/>
      <c r="H197" s="5"/>
      <c r="I197" s="5"/>
    </row>
    <row r="198" spans="5:9">
      <c r="E198" s="5"/>
      <c r="F198" s="5"/>
      <c r="G198" s="5"/>
      <c r="H198" s="5"/>
      <c r="I198" s="5"/>
    </row>
    <row r="199" spans="5:9">
      <c r="E199" s="5"/>
      <c r="F199" s="5"/>
      <c r="G199" s="5"/>
      <c r="H199" s="5"/>
      <c r="I199" s="5"/>
    </row>
    <row r="200" spans="5:9">
      <c r="E200" s="5"/>
      <c r="F200" s="5"/>
      <c r="G200" s="5"/>
      <c r="H200" s="5"/>
      <c r="I200" s="5"/>
    </row>
    <row r="201" spans="5:9">
      <c r="E201" s="5"/>
      <c r="F201" s="5"/>
      <c r="G201" s="5"/>
      <c r="H201" s="5"/>
      <c r="I201" s="5"/>
    </row>
    <row r="202" spans="5:9">
      <c r="E202" s="5"/>
      <c r="F202" s="5"/>
      <c r="G202" s="5"/>
      <c r="H202" s="5"/>
      <c r="I202" s="5"/>
    </row>
    <row r="203" spans="5:9">
      <c r="E203" s="5"/>
      <c r="F203" s="5"/>
      <c r="G203" s="5"/>
      <c r="H203" s="5"/>
      <c r="I203" s="5"/>
    </row>
    <row r="204" spans="5:9">
      <c r="E204" s="5"/>
      <c r="F204" s="5"/>
      <c r="G204" s="5"/>
      <c r="H204" s="5"/>
      <c r="I204" s="5"/>
    </row>
    <row r="205" spans="5:9">
      <c r="E205" s="5"/>
      <c r="F205" s="5"/>
      <c r="G205" s="5"/>
      <c r="H205" s="5"/>
      <c r="I205" s="5"/>
    </row>
    <row r="206" spans="5:9">
      <c r="E206" s="5"/>
      <c r="F206" s="5"/>
      <c r="G206" s="5"/>
      <c r="H206" s="5"/>
      <c r="I206" s="5"/>
    </row>
    <row r="207" spans="5:9">
      <c r="E207" s="5"/>
      <c r="F207" s="5"/>
      <c r="G207" s="5"/>
      <c r="H207" s="5"/>
      <c r="I207" s="5"/>
    </row>
    <row r="208" spans="5:9">
      <c r="E208" s="5"/>
      <c r="F208" s="5"/>
      <c r="G208" s="5"/>
      <c r="H208" s="5"/>
      <c r="I208" s="5"/>
    </row>
    <row r="209" spans="5:9">
      <c r="E209" s="5"/>
      <c r="F209" s="5"/>
      <c r="G209" s="5"/>
      <c r="H209" s="5"/>
      <c r="I209" s="5"/>
    </row>
    <row r="210" spans="5:9">
      <c r="E210" s="5"/>
      <c r="F210" s="5"/>
      <c r="G210" s="5"/>
      <c r="H210" s="5"/>
      <c r="I210" s="5"/>
    </row>
    <row r="211" spans="5:9">
      <c r="E211" s="5"/>
      <c r="F211" s="5"/>
      <c r="G211" s="5"/>
      <c r="H211" s="5"/>
      <c r="I211" s="5"/>
    </row>
    <row r="212" spans="5:9">
      <c r="E212" s="5"/>
      <c r="F212" s="5"/>
      <c r="G212" s="5"/>
      <c r="H212" s="5"/>
      <c r="I212" s="5"/>
    </row>
    <row r="213" spans="5:9">
      <c r="E213" s="5"/>
      <c r="F213" s="5"/>
      <c r="G213" s="5"/>
      <c r="H213" s="5"/>
      <c r="I213" s="5"/>
    </row>
    <row r="214" spans="5:9">
      <c r="E214" s="5"/>
      <c r="F214" s="5"/>
      <c r="G214" s="5"/>
      <c r="H214" s="5"/>
      <c r="I214" s="5"/>
    </row>
    <row r="215" spans="5:9">
      <c r="E215" s="5"/>
      <c r="F215" s="5"/>
      <c r="G215" s="5"/>
      <c r="H215" s="5"/>
      <c r="I215" s="5"/>
    </row>
    <row r="216" spans="5:9">
      <c r="E216" s="5"/>
      <c r="F216" s="5"/>
      <c r="G216" s="5"/>
      <c r="H216" s="5"/>
      <c r="I216" s="5"/>
    </row>
    <row r="217" spans="5:9" ht="26.25" customHeight="1">
      <c r="E217" s="5"/>
      <c r="F217" s="5"/>
      <c r="G217" s="5"/>
      <c r="H217" s="5"/>
      <c r="I217" s="5"/>
    </row>
    <row r="218" spans="5:9" ht="26.25" customHeight="1">
      <c r="E218" s="5"/>
      <c r="F218" s="5"/>
      <c r="G218" s="5"/>
      <c r="H218" s="5"/>
      <c r="I218" s="5"/>
    </row>
  </sheetData>
  <mergeCells count="36">
    <mergeCell ref="B13:E13"/>
    <mergeCell ref="B15:D15"/>
    <mergeCell ref="B135:E135"/>
    <mergeCell ref="B61:K61"/>
    <mergeCell ref="B62:K62"/>
    <mergeCell ref="B44:E44"/>
    <mergeCell ref="B53:C53"/>
    <mergeCell ref="B64:E64"/>
    <mergeCell ref="B69:E69"/>
    <mergeCell ref="B72:C72"/>
    <mergeCell ref="B128:H128"/>
    <mergeCell ref="B46:C46"/>
    <mergeCell ref="B70:E70"/>
    <mergeCell ref="B116:C116"/>
    <mergeCell ref="B127:C127"/>
    <mergeCell ref="B28:E28"/>
    <mergeCell ref="B2:D2"/>
    <mergeCell ref="B3:H3"/>
    <mergeCell ref="B5:E5"/>
    <mergeCell ref="B6:E6"/>
    <mergeCell ref="B8:G8"/>
    <mergeCell ref="B124:D124"/>
    <mergeCell ref="B63:E63"/>
    <mergeCell ref="B29:C29"/>
    <mergeCell ref="B30:C30"/>
    <mergeCell ref="B41:I41"/>
    <mergeCell ref="B31:C31"/>
    <mergeCell ref="B32:C32"/>
    <mergeCell ref="B33:C33"/>
    <mergeCell ref="B36:K36"/>
    <mergeCell ref="B34:E34"/>
    <mergeCell ref="B122:E122"/>
    <mergeCell ref="B118:I118"/>
    <mergeCell ref="B39:E39"/>
    <mergeCell ref="B66:M66"/>
    <mergeCell ref="B55:P55"/>
  </mergeCells>
  <hyperlinks>
    <hyperlink ref="H131" r:id="rId1" xr:uid="{00000000-0004-0000-0700-000000000000}"/>
    <hyperlink ref="H130" r:id="rId2" xr:uid="{00000000-0004-0000-0700-000001000000}"/>
    <hyperlink ref="H132" r:id="rId3" xr:uid="{00000000-0004-0000-0700-000002000000}"/>
    <hyperlink ref="D126" r:id="rId4" xr:uid="{00000000-0004-0000-0700-000003000000}"/>
    <hyperlink ref="G12" r:id="rId5" xr:uid="{00000000-0004-0000-0700-000004000000}"/>
    <hyperlink ref="H133" r:id="rId6" xr:uid="{00000000-0004-0000-0700-000005000000}"/>
    <hyperlink ref="E137" r:id="rId7" xr:uid="{00000000-0004-0000-0700-000006000000}"/>
    <hyperlink ref="D21" r:id="rId8" display="Annexes to the Iniventory of U.S. GHG Emissions and Sinks (2015)" xr:uid="{00000000-0004-0000-0700-000007000000}"/>
    <hyperlink ref="G10" r:id="rId9" xr:uid="{00000000-0004-0000-0700-000008000000}"/>
    <hyperlink ref="D22" r:id="rId10" display="Annexes to the Iniventory of U.S. GHG Emissions and Sinks (2015)" xr:uid="{00000000-0004-0000-0700-000009000000}"/>
    <hyperlink ref="F34" r:id="rId11" xr:uid="{00000000-0004-0000-0700-00000A000000}"/>
    <hyperlink ref="D53" r:id="rId12" display="MA DEP 2017 Source" xr:uid="{00000000-0004-0000-0700-00000B000000}"/>
    <hyperlink ref="F64" r:id="rId13" display="MA RFP Information" xr:uid="{00000000-0004-0000-0700-00000C000000}"/>
    <hyperlink ref="D116" r:id="rId14" display="MA DEP 2016 Source" xr:uid="{00000000-0004-0000-0700-00000E000000}"/>
    <hyperlink ref="D18" r:id="rId15" xr:uid="{00000000-0004-0000-0700-00000F000000}"/>
    <hyperlink ref="F63" r:id="rId16" display="MA DEP 2017 Source" xr:uid="{00000000-0004-0000-0700-000010000000}"/>
    <hyperlink ref="F69" r:id="rId17" display="MA DEP 2017 Source" xr:uid="{00000000-0004-0000-0700-000011000000}"/>
  </hyperlinks>
  <pageMargins left="0.7" right="0.7" top="0.75" bottom="0.75" header="0.3" footer="0.3"/>
  <pageSetup orientation="portrait" r:id="rId18"/>
  <drawing r:id="rId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A1:AD55"/>
  <sheetViews>
    <sheetView showGridLines="0" topLeftCell="G1" zoomScale="85" zoomScaleNormal="85" workbookViewId="0">
      <selection activeCell="Y31" sqref="Y31"/>
    </sheetView>
  </sheetViews>
  <sheetFormatPr defaultRowHeight="12.75"/>
  <cols>
    <col min="1" max="1" width="5.42578125" style="6" customWidth="1"/>
    <col min="2" max="2" width="17.28515625" style="6" customWidth="1"/>
    <col min="3" max="3" width="24.7109375" style="6" customWidth="1"/>
    <col min="4" max="20" width="13.5703125" style="6" customWidth="1"/>
    <col min="21" max="24" width="13.5703125" style="24" customWidth="1"/>
    <col min="25" max="27" width="13.5703125" style="6" customWidth="1"/>
    <col min="28" max="16384" width="9.140625" style="6"/>
  </cols>
  <sheetData>
    <row r="1" spans="1:30" s="24" customFormat="1"/>
    <row r="2" spans="1:30" s="24" customFormat="1" ht="23.25">
      <c r="B2" s="2136" t="s">
        <v>1022</v>
      </c>
      <c r="C2" s="2180"/>
      <c r="D2" s="2180"/>
      <c r="E2" s="2180"/>
      <c r="F2" s="2180"/>
      <c r="G2" s="2181"/>
      <c r="I2" s="227"/>
    </row>
    <row r="3" spans="1:30" s="24" customFormat="1" ht="13.5" customHeight="1">
      <c r="B3" s="228" t="s">
        <v>430</v>
      </c>
      <c r="C3" s="2182" t="s">
        <v>441</v>
      </c>
      <c r="D3" s="2183"/>
      <c r="E3" s="2183"/>
      <c r="F3" s="2183"/>
      <c r="G3" s="2184"/>
      <c r="H3" s="87"/>
    </row>
    <row r="4" spans="1:30" s="24" customFormat="1" ht="13.5" customHeight="1">
      <c r="B4" s="166" t="s">
        <v>432</v>
      </c>
      <c r="C4" s="2185" t="s">
        <v>1023</v>
      </c>
      <c r="D4" s="2172"/>
      <c r="E4" s="2172"/>
      <c r="F4" s="2172"/>
      <c r="G4" s="2173"/>
      <c r="H4" s="87"/>
    </row>
    <row r="5" spans="1:30" s="24" customFormat="1" ht="13.5" customHeight="1">
      <c r="B5" s="1873"/>
      <c r="C5" s="1873"/>
      <c r="D5" s="1873"/>
      <c r="E5" s="1873"/>
      <c r="F5" s="87"/>
      <c r="G5" s="87"/>
      <c r="H5" s="87"/>
    </row>
    <row r="6" spans="1:30" s="24" customFormat="1" ht="16.5" customHeight="1">
      <c r="B6" s="2174" t="s">
        <v>434</v>
      </c>
      <c r="C6" s="2175"/>
      <c r="D6" s="2175"/>
      <c r="E6" s="2175"/>
      <c r="F6" s="2175"/>
      <c r="G6" s="2175"/>
      <c r="H6" s="2175"/>
      <c r="I6" s="2175"/>
      <c r="J6" s="2175"/>
      <c r="K6" s="2175"/>
      <c r="L6" s="2176"/>
    </row>
    <row r="7" spans="1:30" s="24" customFormat="1" ht="45" customHeight="1">
      <c r="B7" s="2070" t="s">
        <v>1024</v>
      </c>
      <c r="C7" s="2172"/>
      <c r="D7" s="2172"/>
      <c r="E7" s="2172"/>
      <c r="F7" s="2172"/>
      <c r="G7" s="2172"/>
      <c r="H7" s="2172"/>
      <c r="I7" s="2172"/>
      <c r="J7" s="2172"/>
      <c r="K7" s="2172"/>
      <c r="L7" s="2173"/>
    </row>
    <row r="8" spans="1:30" s="24" customFormat="1"/>
    <row r="9" spans="1:30" s="24" customFormat="1" ht="17.25" customHeight="1">
      <c r="B9" s="2177" t="s">
        <v>1025</v>
      </c>
      <c r="C9" s="1908"/>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9"/>
    </row>
    <row r="10" spans="1:30" ht="88.5" customHeight="1">
      <c r="A10" s="24"/>
      <c r="B10" s="61" t="s">
        <v>453</v>
      </c>
      <c r="C10" s="785" t="s">
        <v>1026</v>
      </c>
      <c r="D10" s="806" t="s">
        <v>1027</v>
      </c>
      <c r="E10" s="271" t="s">
        <v>1028</v>
      </c>
      <c r="F10" s="807" t="s">
        <v>1029</v>
      </c>
      <c r="G10" s="796" t="s">
        <v>986</v>
      </c>
      <c r="H10" s="272" t="s">
        <v>1030</v>
      </c>
      <c r="I10" s="272" t="s">
        <v>1031</v>
      </c>
      <c r="J10" s="272" t="s">
        <v>1032</v>
      </c>
      <c r="K10" s="272" t="s">
        <v>1033</v>
      </c>
      <c r="L10" s="272" t="s">
        <v>1034</v>
      </c>
      <c r="M10" s="272" t="s">
        <v>1035</v>
      </c>
      <c r="N10" s="797" t="s">
        <v>1036</v>
      </c>
      <c r="O10" s="790" t="s">
        <v>1037</v>
      </c>
      <c r="P10" s="273" t="s">
        <v>1038</v>
      </c>
      <c r="Q10" s="273" t="s">
        <v>1039</v>
      </c>
      <c r="R10" s="771" t="s">
        <v>1040</v>
      </c>
      <c r="S10" s="754" t="s">
        <v>1041</v>
      </c>
      <c r="T10" s="1825" t="s">
        <v>1042</v>
      </c>
      <c r="U10" s="1832" t="s">
        <v>1043</v>
      </c>
      <c r="V10" s="1833" t="s">
        <v>1044</v>
      </c>
      <c r="W10" s="1833" t="s">
        <v>1045</v>
      </c>
      <c r="X10" s="1834" t="s">
        <v>1046</v>
      </c>
      <c r="Y10" s="1419" t="s">
        <v>1047</v>
      </c>
      <c r="Z10" s="1420" t="s">
        <v>1048</v>
      </c>
      <c r="AA10" s="1881" t="s">
        <v>1049</v>
      </c>
      <c r="AB10" s="24"/>
      <c r="AC10" s="24"/>
      <c r="AD10" s="24"/>
    </row>
    <row r="11" spans="1:30" s="24" customFormat="1">
      <c r="B11" s="2186" t="s">
        <v>454</v>
      </c>
      <c r="C11" s="786" t="s">
        <v>1050</v>
      </c>
      <c r="D11" s="798">
        <f>'Stationary Energy - Buildings'!E11</f>
        <v>0</v>
      </c>
      <c r="E11" s="743"/>
      <c r="F11" s="808">
        <f>'Stationary Energy - Buildings'!$I$11</f>
        <v>0</v>
      </c>
      <c r="G11" s="798">
        <f>'Stationary Energy - Buildings'!D11</f>
        <v>16926507</v>
      </c>
      <c r="H11" s="386">
        <f>'Stationary Energy - Buildings'!F11</f>
        <v>0.32277946652389367</v>
      </c>
      <c r="I11" s="387">
        <f>'Stationary Energy - Buildings'!G11</f>
        <v>3728.6593546725649</v>
      </c>
      <c r="J11" s="386">
        <f>'Stationary Energy - Buildings'!H11</f>
        <v>4.4521305727433604E-2</v>
      </c>
      <c r="K11" s="743"/>
      <c r="L11" s="743"/>
      <c r="M11" s="743"/>
      <c r="N11" s="772"/>
      <c r="O11" s="755"/>
      <c r="P11" s="743"/>
      <c r="Q11" s="743"/>
      <c r="R11" s="772"/>
      <c r="S11" s="755"/>
      <c r="T11" s="1826"/>
      <c r="U11" s="1820"/>
      <c r="V11" s="1820"/>
      <c r="W11" s="1820"/>
      <c r="X11" s="1821"/>
      <c r="Y11" s="764">
        <f>SUM(E11,H11,L11,P11,S11)</f>
        <v>0.32277946652389367</v>
      </c>
      <c r="Z11" s="387">
        <f>SUM(F11,I11,M11,Q11,T11)</f>
        <v>3728.6593546725649</v>
      </c>
      <c r="AA11" s="388">
        <f>SUM(J11,N11,R11)</f>
        <v>4.4521305727433604E-2</v>
      </c>
    </row>
    <row r="12" spans="1:30" s="24" customFormat="1">
      <c r="B12" s="2186"/>
      <c r="C12" s="787" t="s">
        <v>1051</v>
      </c>
      <c r="D12" s="773"/>
      <c r="E12" s="742"/>
      <c r="F12" s="774"/>
      <c r="G12" s="775">
        <f>'Stationary Energy - Buildings'!D12</f>
        <v>97582493</v>
      </c>
      <c r="H12" s="303">
        <f>'Stationary Energy - Buildings'!F12</f>
        <v>1.8973783875741386</v>
      </c>
      <c r="I12" s="306">
        <f>'Stationary Energy - Buildings'!G12</f>
        <v>21917.99171852884</v>
      </c>
      <c r="J12" s="303">
        <f>'Stationary Energy - Buildings'!H12</f>
        <v>0.26170736380332937</v>
      </c>
      <c r="K12" s="742"/>
      <c r="L12" s="742"/>
      <c r="M12" s="742"/>
      <c r="N12" s="774"/>
      <c r="O12" s="756"/>
      <c r="P12" s="742"/>
      <c r="Q12" s="742"/>
      <c r="R12" s="774"/>
      <c r="S12" s="756"/>
      <c r="T12" s="1826"/>
      <c r="U12" s="1820"/>
      <c r="V12" s="1820"/>
      <c r="W12" s="1820"/>
      <c r="X12" s="1821"/>
      <c r="Y12" s="344">
        <f t="shared" ref="Y12:Y29" si="0">SUM(E12,H12,L12,P12,S12)</f>
        <v>1.8973783875741386</v>
      </c>
      <c r="Z12" s="306">
        <f t="shared" ref="Z12:Z14" si="1">SUM(F12,I12,M12,Q12,T12)</f>
        <v>21917.99171852884</v>
      </c>
      <c r="AA12" s="308">
        <f t="shared" ref="AA12:AA14" si="2">SUM(J12,N12,R12)</f>
        <v>0.26170736380332937</v>
      </c>
    </row>
    <row r="13" spans="1:30" s="24" customFormat="1">
      <c r="B13" s="2186"/>
      <c r="C13" s="787" t="s">
        <v>1052</v>
      </c>
      <c r="D13" s="775">
        <f>'Stationary Energy - Buildings'!E13</f>
        <v>0</v>
      </c>
      <c r="E13" s="742"/>
      <c r="F13" s="510">
        <f>'Stationary Energy - Buildings'!I13</f>
        <v>0</v>
      </c>
      <c r="G13" s="775">
        <f>'Stationary Energy - Buildings'!D13</f>
        <v>0</v>
      </c>
      <c r="H13" s="303">
        <f>'Stationary Energy - Buildings'!F13</f>
        <v>0</v>
      </c>
      <c r="I13" s="303">
        <f>'Stationary Energy - Buildings'!G13</f>
        <v>0</v>
      </c>
      <c r="J13" s="303">
        <f>'Stationary Energy - Buildings'!H13</f>
        <v>0</v>
      </c>
      <c r="K13" s="742"/>
      <c r="L13" s="742"/>
      <c r="M13" s="742"/>
      <c r="N13" s="774"/>
      <c r="O13" s="756"/>
      <c r="P13" s="742"/>
      <c r="Q13" s="742"/>
      <c r="R13" s="774"/>
      <c r="S13" s="756"/>
      <c r="T13" s="1826"/>
      <c r="U13" s="1820"/>
      <c r="V13" s="1820"/>
      <c r="W13" s="1820"/>
      <c r="X13" s="1821"/>
      <c r="Y13" s="344">
        <f>SUM(E13,H13,L13,P13,S13)</f>
        <v>0</v>
      </c>
      <c r="Z13" s="306">
        <f>SUM(F13,I13,M13,Q13,T13)</f>
        <v>0</v>
      </c>
      <c r="AA13" s="308">
        <f t="shared" si="2"/>
        <v>0</v>
      </c>
    </row>
    <row r="14" spans="1:30" s="24" customFormat="1">
      <c r="B14" s="2186"/>
      <c r="C14" s="787" t="s">
        <v>1053</v>
      </c>
      <c r="D14" s="775">
        <f>'Stationary Energy - Buildings'!E222</f>
        <v>0</v>
      </c>
      <c r="E14" s="306">
        <f>'Stationary Energy - Buildings'!F222</f>
        <v>0</v>
      </c>
      <c r="F14" s="308">
        <f>'Stationary Energy - Buildings'!G222</f>
        <v>0</v>
      </c>
      <c r="G14" s="773"/>
      <c r="H14" s="742"/>
      <c r="I14" s="742"/>
      <c r="J14" s="742"/>
      <c r="K14" s="306">
        <f>'Stationary Energy - Buildings'!E216</f>
        <v>5586640.9457958229</v>
      </c>
      <c r="L14" s="303">
        <f>'Stationary Energy - Buildings'!F216</f>
        <v>0.10831659322703241</v>
      </c>
      <c r="M14" s="306">
        <f>'Stationary Energy - Buildings'!G216</f>
        <v>1242.0485103740159</v>
      </c>
      <c r="N14" s="308">
        <f>'Stationary Energy - Buildings'!H216</f>
        <v>1.4830429974615117E-2</v>
      </c>
      <c r="O14" s="756"/>
      <c r="P14" s="742"/>
      <c r="Q14" s="742"/>
      <c r="R14" s="774"/>
      <c r="S14" s="756"/>
      <c r="T14" s="1826"/>
      <c r="U14" s="1820"/>
      <c r="V14" s="1820"/>
      <c r="W14" s="1820"/>
      <c r="X14" s="1821"/>
      <c r="Y14" s="344">
        <f t="shared" si="0"/>
        <v>0.10831659322703241</v>
      </c>
      <c r="Z14" s="306">
        <f t="shared" si="1"/>
        <v>1242.0485103740159</v>
      </c>
      <c r="AA14" s="308">
        <f t="shared" si="2"/>
        <v>1.4830429974615117E-2</v>
      </c>
    </row>
    <row r="15" spans="1:30" s="24" customFormat="1">
      <c r="B15" s="2186"/>
      <c r="C15" s="787" t="s">
        <v>291</v>
      </c>
      <c r="D15" s="773"/>
      <c r="E15" s="742"/>
      <c r="F15" s="742"/>
      <c r="G15" s="773"/>
      <c r="H15" s="742"/>
      <c r="I15" s="742"/>
      <c r="J15" s="742"/>
      <c r="K15" s="773"/>
      <c r="L15" s="742"/>
      <c r="M15" s="773"/>
      <c r="N15" s="742"/>
      <c r="O15" s="742"/>
      <c r="P15" s="742"/>
      <c r="Q15" s="742"/>
      <c r="R15" s="774"/>
      <c r="S15" s="756"/>
      <c r="T15" s="1826"/>
      <c r="U15" s="1822">
        <f>'Stationary Energy - Propane'!C14</f>
        <v>5317638</v>
      </c>
      <c r="V15" s="1835">
        <f>'Stationary Energy - Propane'!D14</f>
        <v>1.43576226</v>
      </c>
      <c r="W15" s="1835">
        <f>'Stationary Energy - Propane'!E14</f>
        <v>30416.889360000001</v>
      </c>
      <c r="X15" s="1835">
        <f>'Stationary Energy - Propane'!F14</f>
        <v>0.2658819</v>
      </c>
      <c r="Y15" s="344">
        <f>V15</f>
        <v>1.43576226</v>
      </c>
      <c r="Z15" s="344">
        <f t="shared" ref="Z15:AA15" si="3">W15</f>
        <v>30416.889360000001</v>
      </c>
      <c r="AA15" s="344">
        <f t="shared" si="3"/>
        <v>0.2658819</v>
      </c>
    </row>
    <row r="16" spans="1:30" s="24" customFormat="1">
      <c r="B16" s="2186"/>
      <c r="C16" s="787" t="s">
        <v>469</v>
      </c>
      <c r="D16" s="773"/>
      <c r="E16" s="742"/>
      <c r="F16" s="774"/>
      <c r="G16" s="773"/>
      <c r="H16" s="742"/>
      <c r="I16" s="742"/>
      <c r="J16" s="742"/>
      <c r="K16" s="742"/>
      <c r="L16" s="742"/>
      <c r="M16" s="742"/>
      <c r="N16" s="774"/>
      <c r="O16" s="791">
        <f>'Stationary Energy - Buildings'!C32</f>
        <v>1000042.8961994501</v>
      </c>
      <c r="P16" s="303">
        <f>'Stationary Energy - Buildings'!E32</f>
        <v>0.41401775902657245</v>
      </c>
      <c r="Q16" s="303">
        <f>'Stationary Energy - Buildings'!F32</f>
        <v>10206.917819201764</v>
      </c>
      <c r="R16" s="308">
        <f>'Stationary Energy - Buildings'!G32</f>
        <v>8.2803551805314485E-2</v>
      </c>
      <c r="S16" s="756"/>
      <c r="T16" s="1826"/>
      <c r="U16" s="1820"/>
      <c r="V16" s="1820"/>
      <c r="W16" s="1820"/>
      <c r="X16" s="1821"/>
      <c r="Y16" s="1226">
        <f>SUM(E16,H16,L16,P16,S16)</f>
        <v>0.41401775902657245</v>
      </c>
      <c r="Z16" s="306">
        <f t="shared" ref="Z16" si="4">SUM(F16,I16,M16,Q16,T16)</f>
        <v>10206.917819201764</v>
      </c>
      <c r="AA16" s="308">
        <f t="shared" ref="AA16" si="5">SUM(J16,N16,R16)</f>
        <v>8.2803551805314485E-2</v>
      </c>
    </row>
    <row r="17" spans="1:30" s="24" customFormat="1">
      <c r="B17" s="2186"/>
      <c r="C17" s="243" t="s">
        <v>1054</v>
      </c>
      <c r="D17" s="776"/>
      <c r="E17" s="744"/>
      <c r="F17" s="777"/>
      <c r="G17" s="799">
        <f>'Stationary Energy - Buildings'!D14</f>
        <v>-11850.673048392859</v>
      </c>
      <c r="H17" s="626">
        <f>'Stationary Energy - Buildings'!F14</f>
        <v>-2.2976678553421367E-4</v>
      </c>
      <c r="I17" s="329">
        <f>'Stationary Energy - Buildings'!G14</f>
        <v>-2.6542025225503991</v>
      </c>
      <c r="J17" s="627">
        <f>'Stationary Energy - Buildings'!H14</f>
        <v>-3.1691970418512229E-5</v>
      </c>
      <c r="K17" s="744"/>
      <c r="L17" s="744"/>
      <c r="M17" s="744"/>
      <c r="N17" s="777"/>
      <c r="O17" s="757"/>
      <c r="P17" s="744"/>
      <c r="Q17" s="744"/>
      <c r="R17" s="777"/>
      <c r="S17" s="757"/>
      <c r="T17" s="1826"/>
      <c r="U17" s="1820"/>
      <c r="V17" s="1820"/>
      <c r="W17" s="1820"/>
      <c r="X17" s="1821"/>
      <c r="Y17" s="765">
        <f t="shared" si="0"/>
        <v>-2.2976678553421367E-4</v>
      </c>
      <c r="Z17" s="329">
        <f t="shared" ref="Z17" si="6">SUM(F17,I17,M17,Q17,T17)</f>
        <v>-2.6542025225503991</v>
      </c>
      <c r="AA17" s="625">
        <f t="shared" ref="AA17" si="7">SUM(J17,N17,R17)</f>
        <v>-3.1691970418512229E-5</v>
      </c>
    </row>
    <row r="18" spans="1:30" s="24" customFormat="1">
      <c r="B18" s="2187"/>
      <c r="C18" s="788" t="s">
        <v>1055</v>
      </c>
      <c r="D18" s="1191">
        <f>SUM(D11:D17)</f>
        <v>0</v>
      </c>
      <c r="E18" s="616">
        <f t="shared" ref="E18" si="8">SUM(E11:E17)</f>
        <v>0</v>
      </c>
      <c r="F18" s="778">
        <f>SUM(F11:F17)</f>
        <v>0</v>
      </c>
      <c r="G18" s="1191">
        <f>SUMIF(G11:G17,"&lt;&gt;#DIV/0!",G11:G17)</f>
        <v>114497149.32695161</v>
      </c>
      <c r="H18" s="616">
        <f>SUMIF(H11:H17,"&lt;&gt;#DIV/0!",H11:H17)</f>
        <v>2.219928087312498</v>
      </c>
      <c r="I18" s="616">
        <f t="shared" ref="I18:J18" si="9">SUMIF(I11:I17,"&lt;&gt;#DIV/0!",I11:I17)</f>
        <v>25643.996870678853</v>
      </c>
      <c r="J18" s="616">
        <f t="shared" si="9"/>
        <v>0.30619697756034447</v>
      </c>
      <c r="K18" s="616">
        <f>SUMIF(K11:K17,"&lt;&gt;#DIV/0!",K11:K17)</f>
        <v>5586640.9457958229</v>
      </c>
      <c r="L18" s="616">
        <f>SUMIF(L11:L17,"&lt;&gt;#DIV/0!",L11:L17)</f>
        <v>0.10831659322703241</v>
      </c>
      <c r="M18" s="616">
        <f t="shared" ref="M18:N18" si="10">SUMIF(M11:M17,"&lt;&gt;#DIV/0!",M11:M17)</f>
        <v>1242.0485103740159</v>
      </c>
      <c r="N18" s="616">
        <f t="shared" si="10"/>
        <v>1.4830429974615117E-2</v>
      </c>
      <c r="O18" s="758">
        <f>SUM(O11:O17)</f>
        <v>1000042.8961994501</v>
      </c>
      <c r="P18" s="616">
        <f t="shared" ref="P18:R18" si="11">SUM(P11:P17)</f>
        <v>0.41401775902657245</v>
      </c>
      <c r="Q18" s="616">
        <f t="shared" si="11"/>
        <v>10206.917819201764</v>
      </c>
      <c r="R18" s="778">
        <f t="shared" si="11"/>
        <v>8.2803551805314485E-2</v>
      </c>
      <c r="S18" s="758">
        <f>SUM(S11:S14)</f>
        <v>0</v>
      </c>
      <c r="T18" s="1827">
        <f>SUM(T11:T14)</f>
        <v>0</v>
      </c>
      <c r="U18" s="1822">
        <f>'Stationary Energy - Propane'!C14</f>
        <v>5317638</v>
      </c>
      <c r="V18" s="1835">
        <f>'Stationary Energy - Propane'!D14</f>
        <v>1.43576226</v>
      </c>
      <c r="W18" s="1835">
        <f>'Stationary Energy - Propane'!E14</f>
        <v>30416.889360000001</v>
      </c>
      <c r="X18" s="1835">
        <f>'Stationary Energy - Propane'!F14</f>
        <v>0.2658819</v>
      </c>
      <c r="Y18" s="766">
        <f>SUM(E18,H18,L18,P18,S18,V18)</f>
        <v>4.1780246995661026</v>
      </c>
      <c r="Z18" s="616">
        <f>SUM(F18,I18,M18,Q16,T18,W18)</f>
        <v>67509.852560254629</v>
      </c>
      <c r="AA18" s="617">
        <f>SUM(J18,N18,R16,X18)</f>
        <v>0.66971285934027414</v>
      </c>
    </row>
    <row r="19" spans="1:30">
      <c r="A19" s="24"/>
      <c r="B19" s="2188" t="s">
        <v>471</v>
      </c>
      <c r="C19" s="242" t="s">
        <v>1056</v>
      </c>
      <c r="D19" s="800">
        <f>'Stationary Energy - Buildings'!E16</f>
        <v>0</v>
      </c>
      <c r="E19" s="745"/>
      <c r="F19" s="809">
        <f>'Stationary Energy - Buildings'!I16</f>
        <v>0</v>
      </c>
      <c r="G19" s="800">
        <f>'Stationary Energy - Buildings'!D16</f>
        <v>26767164</v>
      </c>
      <c r="H19" s="127">
        <f>'Stationary Energy - Buildings'!F16</f>
        <v>0.51043555036355526</v>
      </c>
      <c r="I19" s="127">
        <f>'Stationary Energy - Buildings'!G16</f>
        <v>5896.4106679927945</v>
      </c>
      <c r="J19" s="624">
        <f>'Stationary Energy - Buildings'!H16</f>
        <v>7.040490349842142E-2</v>
      </c>
      <c r="K19" s="745"/>
      <c r="L19" s="745"/>
      <c r="M19" s="745"/>
      <c r="N19" s="779"/>
      <c r="O19" s="792"/>
      <c r="P19" s="745"/>
      <c r="Q19" s="745"/>
      <c r="R19" s="779"/>
      <c r="S19" s="759"/>
      <c r="T19" s="1826"/>
      <c r="U19" s="1820"/>
      <c r="V19" s="1820"/>
      <c r="W19" s="1820"/>
      <c r="X19" s="1821"/>
      <c r="Y19" s="767">
        <f t="shared" si="0"/>
        <v>0.51043555036355526</v>
      </c>
      <c r="Z19" s="307">
        <f t="shared" ref="Z19" si="12">SUM(F19,I19,M19,Q19,T19)</f>
        <v>5896.4106679927945</v>
      </c>
      <c r="AA19" s="309">
        <f t="shared" ref="AA19" si="13">SUM(J19,N19,R19)</f>
        <v>7.040490349842142E-2</v>
      </c>
      <c r="AB19" s="24"/>
      <c r="AC19" s="24"/>
      <c r="AD19" s="244"/>
    </row>
    <row r="20" spans="1:30">
      <c r="A20" s="24"/>
      <c r="B20" s="2186"/>
      <c r="C20" s="787" t="s">
        <v>1057</v>
      </c>
      <c r="D20" s="780"/>
      <c r="E20" s="746"/>
      <c r="F20" s="781"/>
      <c r="G20" s="725">
        <f>'Stationary Energy - Buildings'!D17</f>
        <v>31329836</v>
      </c>
      <c r="H20" s="129">
        <f>'Stationary Energy - Buildings'!F17</f>
        <v>0.60770061854598367</v>
      </c>
      <c r="I20" s="129">
        <f>'Stationary Energy - Buildings'!G17</f>
        <v>7019.989903893259</v>
      </c>
      <c r="J20" s="620">
        <f>'Stationary Energy - Buildings'!H17</f>
        <v>8.3820774971859802E-2</v>
      </c>
      <c r="K20" s="746"/>
      <c r="L20" s="746"/>
      <c r="M20" s="746"/>
      <c r="N20" s="781"/>
      <c r="O20" s="760"/>
      <c r="P20" s="746"/>
      <c r="Q20" s="746"/>
      <c r="R20" s="781"/>
      <c r="S20" s="760"/>
      <c r="T20" s="1828"/>
      <c r="U20" s="1823"/>
      <c r="V20" s="1823"/>
      <c r="W20" s="1823"/>
      <c r="X20" s="1824"/>
      <c r="Y20" s="344">
        <f t="shared" si="0"/>
        <v>0.60770061854598367</v>
      </c>
      <c r="Z20" s="306">
        <f t="shared" ref="Z20:Z26" si="14">SUM(F20,I20,M20,Q20,T20)</f>
        <v>7019.989903893259</v>
      </c>
      <c r="AA20" s="308">
        <f t="shared" ref="AA20:AA26" si="15">SUM(J20,N20,R20)</f>
        <v>8.3820774971859802E-2</v>
      </c>
      <c r="AB20" s="24"/>
      <c r="AC20" s="24"/>
      <c r="AD20" s="244"/>
    </row>
    <row r="21" spans="1:30" s="24" customFormat="1">
      <c r="B21" s="2186"/>
      <c r="C21" s="787" t="s">
        <v>1058</v>
      </c>
      <c r="D21" s="725">
        <f>'Stationary Energy - Buildings'!E18</f>
        <v>0</v>
      </c>
      <c r="E21" s="742"/>
      <c r="F21" s="1192">
        <f>'Stationary Energy - Buildings'!I18</f>
        <v>0</v>
      </c>
      <c r="G21" s="725">
        <f>'Stationary Energy - Buildings'!D18</f>
        <v>0</v>
      </c>
      <c r="H21" s="129">
        <f>'Stationary Energy - Buildings'!F18</f>
        <v>0</v>
      </c>
      <c r="I21" s="129">
        <f>'Stationary Energy - Buildings'!G18</f>
        <v>0</v>
      </c>
      <c r="J21" s="620">
        <f>'Stationary Energy - Buildings'!H18</f>
        <v>0</v>
      </c>
      <c r="K21" s="746"/>
      <c r="L21" s="746"/>
      <c r="M21" s="746"/>
      <c r="N21" s="781"/>
      <c r="O21" s="756"/>
      <c r="P21" s="742"/>
      <c r="Q21" s="742"/>
      <c r="R21" s="774"/>
      <c r="S21" s="756"/>
      <c r="T21" s="1826"/>
      <c r="U21" s="1820"/>
      <c r="V21" s="1820"/>
      <c r="W21" s="1820"/>
      <c r="X21" s="1821"/>
      <c r="Y21" s="344">
        <f t="shared" si="0"/>
        <v>0</v>
      </c>
      <c r="Z21" s="306">
        <f>SUM(F21,I21,M21,Q21,T21)</f>
        <v>0</v>
      </c>
      <c r="AA21" s="308">
        <f t="shared" si="15"/>
        <v>0</v>
      </c>
      <c r="AD21" s="245"/>
    </row>
    <row r="22" spans="1:30" s="24" customFormat="1">
      <c r="B22" s="2186"/>
      <c r="C22" s="787" t="s">
        <v>1059</v>
      </c>
      <c r="D22" s="725">
        <f>'Stationary Energy - Buildings'!E223</f>
        <v>0</v>
      </c>
      <c r="E22" s="129">
        <f>'Stationary Energy - Buildings'!F223</f>
        <v>0</v>
      </c>
      <c r="F22" s="1192">
        <f>'Stationary Energy - Buildings'!G223</f>
        <v>0</v>
      </c>
      <c r="G22" s="780"/>
      <c r="H22" s="746"/>
      <c r="I22" s="746"/>
      <c r="J22" s="746"/>
      <c r="K22" s="129">
        <f>'Stationary Energy - Buildings'!E217</f>
        <v>2834717.5535443635</v>
      </c>
      <c r="L22" s="620">
        <f>'Stationary Energy - Buildings'!F217</f>
        <v>5.4557037803341236E-2</v>
      </c>
      <c r="M22" s="129">
        <f>'Stationary Energy - Buildings'!G217</f>
        <v>630.22785048687285</v>
      </c>
      <c r="N22" s="314">
        <f>'Stationary Energy - Buildings'!H217</f>
        <v>7.5251086625298252E-3</v>
      </c>
      <c r="O22" s="756"/>
      <c r="P22" s="742"/>
      <c r="Q22" s="742"/>
      <c r="R22" s="774"/>
      <c r="S22" s="756"/>
      <c r="T22" s="1826"/>
      <c r="U22" s="1820"/>
      <c r="V22" s="1820"/>
      <c r="W22" s="1820"/>
      <c r="X22" s="1821"/>
      <c r="Y22" s="344">
        <f t="shared" si="0"/>
        <v>5.4557037803341236E-2</v>
      </c>
      <c r="Z22" s="306">
        <f t="shared" si="14"/>
        <v>630.22785048687285</v>
      </c>
      <c r="AA22" s="308">
        <f t="shared" si="15"/>
        <v>7.5251086625298252E-3</v>
      </c>
    </row>
    <row r="23" spans="1:30" s="24" customFormat="1">
      <c r="B23" s="2186"/>
      <c r="C23" s="787" t="s">
        <v>291</v>
      </c>
      <c r="D23" s="773"/>
      <c r="E23" s="742"/>
      <c r="F23" s="742"/>
      <c r="G23" s="773"/>
      <c r="H23" s="742"/>
      <c r="I23" s="742"/>
      <c r="J23" s="742"/>
      <c r="K23" s="773"/>
      <c r="L23" s="742"/>
      <c r="M23" s="773"/>
      <c r="N23" s="742"/>
      <c r="O23" s="742"/>
      <c r="P23" s="742"/>
      <c r="Q23" s="742"/>
      <c r="R23" s="774"/>
      <c r="S23" s="756"/>
      <c r="T23" s="1826"/>
      <c r="U23" s="1822">
        <f>'Stationary Energy - Propane'!C15</f>
        <v>53357</v>
      </c>
      <c r="V23" s="1835">
        <f>'Stationary Energy - Propane'!D15</f>
        <v>1.440639E-2</v>
      </c>
      <c r="W23" s="1835">
        <f>'Stationary Energy - Propane'!E15</f>
        <v>305.20204000000001</v>
      </c>
      <c r="X23" s="1835">
        <f>'Stationary Energy - Propane'!F15</f>
        <v>2.6678499999999998E-3</v>
      </c>
      <c r="Y23" s="344"/>
      <c r="Z23" s="306"/>
      <c r="AA23" s="308"/>
    </row>
    <row r="24" spans="1:30" s="24" customFormat="1">
      <c r="B24" s="2186"/>
      <c r="C24" s="787" t="s">
        <v>469</v>
      </c>
      <c r="D24" s="780"/>
      <c r="E24" s="746"/>
      <c r="F24" s="781"/>
      <c r="G24" s="780"/>
      <c r="H24" s="746"/>
      <c r="I24" s="746"/>
      <c r="J24" s="746"/>
      <c r="K24" s="746"/>
      <c r="L24" s="746"/>
      <c r="M24" s="746"/>
      <c r="N24" s="781"/>
      <c r="O24" s="791">
        <f>SUM('Stationary Energy - Buildings'!C33:C35)</f>
        <v>535933.9774757406</v>
      </c>
      <c r="P24" s="303">
        <f>SUM('Stationary Energy - Buildings'!E33:E35)</f>
        <v>0.22187666667495659</v>
      </c>
      <c r="Q24" s="303">
        <f>SUM('Stationary Energy - Buildings'!F33:F35)</f>
        <v>5469.9994224265956</v>
      </c>
      <c r="R24" s="308">
        <f>SUM('Stationary Energy - Buildings'!G33:G35)</f>
        <v>4.4375333334991322E-2</v>
      </c>
      <c r="S24" s="756"/>
      <c r="T24" s="1826"/>
      <c r="U24" s="1820"/>
      <c r="V24" s="1820"/>
      <c r="W24" s="1820"/>
      <c r="X24" s="1821"/>
      <c r="Y24" s="344">
        <f t="shared" ref="Y24" si="16">SUM(E24,H24,L24,P24,S24)</f>
        <v>0.22187666667495659</v>
      </c>
      <c r="Z24" s="306">
        <f t="shared" ref="Z24" si="17">SUM(F24,I24,M24,Q24,T24)</f>
        <v>5469.9994224265956</v>
      </c>
      <c r="AA24" s="308">
        <f t="shared" ref="AA24" si="18">SUM(J24,N24,R24)</f>
        <v>4.4375333334991322E-2</v>
      </c>
    </row>
    <row r="25" spans="1:30" s="24" customFormat="1">
      <c r="B25" s="2186"/>
      <c r="C25" s="787" t="s">
        <v>1054</v>
      </c>
      <c r="D25" s="780"/>
      <c r="E25" s="746"/>
      <c r="F25" s="781"/>
      <c r="G25" s="725">
        <f>'Stationary Energy - Buildings'!D19</f>
        <v>-6270.0981280357137</v>
      </c>
      <c r="H25" s="623">
        <f>'Stationary Energy - Buildings'!F19</f>
        <v>-1.21567803447099E-4</v>
      </c>
      <c r="I25" s="129">
        <f>'Stationary Energy - Buildings'!G19</f>
        <v>-1.404317729475109</v>
      </c>
      <c r="J25" s="623">
        <f>'Stationary Energy - Buildings'!H19</f>
        <v>-1.6767972889255032E-5</v>
      </c>
      <c r="K25" s="746"/>
      <c r="L25" s="746"/>
      <c r="M25" s="746"/>
      <c r="N25" s="781"/>
      <c r="O25" s="756"/>
      <c r="P25" s="742"/>
      <c r="Q25" s="742"/>
      <c r="R25" s="774"/>
      <c r="S25" s="756"/>
      <c r="T25" s="1826"/>
      <c r="U25" s="1820"/>
      <c r="V25" s="1820"/>
      <c r="W25" s="1820"/>
      <c r="X25" s="1821"/>
      <c r="Y25" s="344">
        <f t="shared" si="0"/>
        <v>-1.21567803447099E-4</v>
      </c>
      <c r="Z25" s="306">
        <f t="shared" si="14"/>
        <v>-1.404317729475109</v>
      </c>
      <c r="AA25" s="308">
        <f t="shared" si="15"/>
        <v>-1.6767972889255032E-5</v>
      </c>
    </row>
    <row r="26" spans="1:30" s="24" customFormat="1">
      <c r="B26" s="2186"/>
      <c r="C26" s="243" t="s">
        <v>1060</v>
      </c>
      <c r="D26" s="801"/>
      <c r="E26" s="747"/>
      <c r="F26" s="802"/>
      <c r="G26" s="801"/>
      <c r="H26" s="747"/>
      <c r="I26" s="747"/>
      <c r="J26" s="747"/>
      <c r="K26" s="747"/>
      <c r="L26" s="747"/>
      <c r="M26" s="747"/>
      <c r="N26" s="802"/>
      <c r="O26" s="757"/>
      <c r="P26" s="744"/>
      <c r="Q26" s="744"/>
      <c r="R26" s="777"/>
      <c r="S26" s="761">
        <f>SUM('Stationary Energy - Off Road'!N16:N17)</f>
        <v>5.6009540160000002</v>
      </c>
      <c r="T26" s="1829">
        <f>SUM('Stationary Energy - Off Road'!O16:O17)</f>
        <v>8323.5914616560003</v>
      </c>
      <c r="U26" s="1820"/>
      <c r="V26" s="1820"/>
      <c r="W26" s="1820"/>
      <c r="X26" s="1821"/>
      <c r="Y26" s="765">
        <f t="shared" si="0"/>
        <v>5.6009540160000002</v>
      </c>
      <c r="Z26" s="329">
        <f t="shared" si="14"/>
        <v>8323.5914616560003</v>
      </c>
      <c r="AA26" s="625">
        <f t="shared" si="15"/>
        <v>0</v>
      </c>
    </row>
    <row r="27" spans="1:30" s="24" customFormat="1">
      <c r="B27" s="2179"/>
      <c r="C27" s="240" t="s">
        <v>1061</v>
      </c>
      <c r="D27" s="1187">
        <f>SUM(D19:D26)</f>
        <v>0</v>
      </c>
      <c r="E27" s="1705">
        <f t="shared" ref="E27:R27" si="19">SUM(E19:E26)</f>
        <v>0</v>
      </c>
      <c r="F27" s="1706">
        <f>SUM(F19:F26)</f>
        <v>0</v>
      </c>
      <c r="G27" s="1187">
        <f>SUMIF(G19:G26,"&lt;&gt;#DIV/0!",G19:G26)</f>
        <v>58090729.901871964</v>
      </c>
      <c r="H27" s="1705">
        <f>SUMIF(H19:H26,"&lt;&gt;#DIV/0!",H19:H26)</f>
        <v>1.1180146011060919</v>
      </c>
      <c r="I27" s="1705">
        <f t="shared" ref="I27:L27" si="20">SUMIF(I19:I26,"&lt;&gt;#DIV/0!",I19:I26)</f>
        <v>12914.996254156578</v>
      </c>
      <c r="J27" s="1705">
        <f t="shared" si="20"/>
        <v>0.15420891049739199</v>
      </c>
      <c r="K27" s="1705">
        <f>SUMIF(K19:K26,"&lt;&gt;#DIV/0!",K19:K26)</f>
        <v>2834717.5535443635</v>
      </c>
      <c r="L27" s="1705">
        <f t="shared" si="20"/>
        <v>5.4557037803341236E-2</v>
      </c>
      <c r="M27" s="1705">
        <f t="shared" ref="M27" si="21">SUMIF(M19:M26,"&lt;&gt;#DIV/0!",M19:M26)</f>
        <v>630.22785048687285</v>
      </c>
      <c r="N27" s="1705">
        <f t="shared" ref="N27" si="22">SUMIF(N19:N26,"&lt;&gt;#DIV/0!",N19:N26)</f>
        <v>7.5251086625298252E-3</v>
      </c>
      <c r="O27" s="1188">
        <f t="shared" si="19"/>
        <v>535933.9774757406</v>
      </c>
      <c r="P27" s="1707">
        <f t="shared" si="19"/>
        <v>0.22187666667495659</v>
      </c>
      <c r="Q27" s="1705">
        <f t="shared" si="19"/>
        <v>5469.9994224265956</v>
      </c>
      <c r="R27" s="1706">
        <f t="shared" si="19"/>
        <v>4.4375333334991322E-2</v>
      </c>
      <c r="S27" s="1189">
        <f t="shared" ref="S27:T27" si="23">SUM(S19:S26)</f>
        <v>5.6009540160000002</v>
      </c>
      <c r="T27" s="1827">
        <f t="shared" si="23"/>
        <v>8323.5914616560003</v>
      </c>
      <c r="U27" s="1820"/>
      <c r="V27" s="1820"/>
      <c r="W27" s="1820"/>
      <c r="X27" s="1821"/>
      <c r="Y27" s="768">
        <f>SUM(E27,H27,L27,P24,S27)</f>
        <v>6.9954023215843897</v>
      </c>
      <c r="Z27" s="614">
        <f>SUM(F27,I27,M27,Q24,T27)</f>
        <v>27338.814988726048</v>
      </c>
      <c r="AA27" s="437">
        <f>SUM(J27,N27,R24)</f>
        <v>0.20610935249491313</v>
      </c>
    </row>
    <row r="28" spans="1:30" s="24" customFormat="1">
      <c r="B28" s="2178" t="s">
        <v>126</v>
      </c>
      <c r="C28" s="789" t="s">
        <v>1060</v>
      </c>
      <c r="D28" s="803"/>
      <c r="E28" s="748"/>
      <c r="F28" s="804"/>
      <c r="G28" s="803"/>
      <c r="H28" s="748"/>
      <c r="I28" s="748"/>
      <c r="J28" s="748"/>
      <c r="K28" s="748"/>
      <c r="L28" s="748"/>
      <c r="M28" s="748"/>
      <c r="N28" s="804"/>
      <c r="O28" s="793"/>
      <c r="P28" s="749"/>
      <c r="Q28" s="749"/>
      <c r="R28" s="782"/>
      <c r="S28" s="762">
        <f>'Stationary Energy - Off Road'!N18</f>
        <v>0</v>
      </c>
      <c r="T28" s="1829">
        <f>'Stationary Energy - Off Road'!O18</f>
        <v>0</v>
      </c>
      <c r="U28" s="1820"/>
      <c r="V28" s="1820"/>
      <c r="W28" s="1820"/>
      <c r="X28" s="1821"/>
      <c r="Y28" s="769">
        <f t="shared" ref="Y28" si="24">SUM(E28,H28,L28,P28,S28)</f>
        <v>0</v>
      </c>
      <c r="Z28" s="618">
        <f t="shared" ref="Z28" si="25">SUM(F28,I28,M28,Q28,T28)</f>
        <v>0</v>
      </c>
      <c r="AA28" s="619">
        <f t="shared" ref="AA28" si="26">SUM(J28,N28,R28)</f>
        <v>0</v>
      </c>
    </row>
    <row r="29" spans="1:30" s="24" customFormat="1">
      <c r="B29" s="2179"/>
      <c r="C29" s="240" t="s">
        <v>1062</v>
      </c>
      <c r="D29" s="1122"/>
      <c r="E29" s="1708"/>
      <c r="F29" s="1709"/>
      <c r="G29" s="1122"/>
      <c r="H29" s="1708"/>
      <c r="I29" s="1708"/>
      <c r="J29" s="1708"/>
      <c r="K29" s="1708"/>
      <c r="L29" s="1708"/>
      <c r="M29" s="1708"/>
      <c r="N29" s="1709"/>
      <c r="O29" s="1123"/>
      <c r="P29" s="1708"/>
      <c r="Q29" s="1708"/>
      <c r="R29" s="1709"/>
      <c r="S29" s="1189">
        <f t="shared" ref="S29:T29" si="27">SUM(S28:S28)</f>
        <v>0</v>
      </c>
      <c r="T29" s="1830">
        <f t="shared" si="27"/>
        <v>0</v>
      </c>
      <c r="U29" s="1820"/>
      <c r="V29" s="1820"/>
      <c r="W29" s="1820"/>
      <c r="X29" s="1821"/>
      <c r="Y29" s="326">
        <f t="shared" si="0"/>
        <v>0</v>
      </c>
      <c r="Z29" s="1705">
        <f t="shared" ref="Z29:Z30" si="28">SUM(F29,I29,M29,Q29,T29)</f>
        <v>0</v>
      </c>
      <c r="AA29" s="1710">
        <f t="shared" ref="AA29:AA30" si="29">SUM(J29,N29,R29)</f>
        <v>0</v>
      </c>
    </row>
    <row r="30" spans="1:30">
      <c r="A30" s="24"/>
      <c r="B30" s="2196" t="s">
        <v>1023</v>
      </c>
      <c r="C30" s="2197"/>
      <c r="D30" s="783">
        <f>SUM(D18,D27,D29)</f>
        <v>0</v>
      </c>
      <c r="E30" s="621">
        <f>SUM(E18,E27,E29)</f>
        <v>0</v>
      </c>
      <c r="F30" s="805">
        <f>SUM(F18,F27,F29)</f>
        <v>0</v>
      </c>
      <c r="G30" s="783">
        <f t="shared" ref="G30:N30" si="30">SUM(G18,G27,G29)</f>
        <v>172587879.22882357</v>
      </c>
      <c r="H30" s="621">
        <f t="shared" si="30"/>
        <v>3.3379426884185897</v>
      </c>
      <c r="I30" s="621">
        <f t="shared" si="30"/>
        <v>38558.993124835433</v>
      </c>
      <c r="J30" s="622">
        <f t="shared" si="30"/>
        <v>0.46040588805773647</v>
      </c>
      <c r="K30" s="621">
        <f t="shared" si="30"/>
        <v>8421358.4993401859</v>
      </c>
      <c r="L30" s="621">
        <f t="shared" si="30"/>
        <v>0.16287363103037364</v>
      </c>
      <c r="M30" s="621">
        <f t="shared" si="30"/>
        <v>1872.2763608608889</v>
      </c>
      <c r="N30" s="805">
        <f t="shared" si="30"/>
        <v>2.2355538637144942E-2</v>
      </c>
      <c r="O30" s="794">
        <f>SUM(O16,O24,O29)</f>
        <v>1535976.8736751908</v>
      </c>
      <c r="P30" s="622">
        <f>SUM(P16,P24,P29)</f>
        <v>0.6358944257015291</v>
      </c>
      <c r="Q30" s="621">
        <f>SUM(Q16,Q24,Q29)</f>
        <v>15676.91724162836</v>
      </c>
      <c r="R30" s="784">
        <f>SUM(R16,R24,R29)</f>
        <v>0.12717888514030581</v>
      </c>
      <c r="S30" s="763">
        <f>SUM(S18,S27,S29)</f>
        <v>5.6009540160000002</v>
      </c>
      <c r="T30" s="1831">
        <f>SUM(T18,T27,T29)</f>
        <v>8323.5914616560003</v>
      </c>
      <c r="U30" s="1836">
        <f>U23</f>
        <v>53357</v>
      </c>
      <c r="V30" s="1836">
        <f t="shared" ref="V30:X30" si="31">V23</f>
        <v>1.440639E-2</v>
      </c>
      <c r="W30" s="1836">
        <f t="shared" si="31"/>
        <v>305.20204000000001</v>
      </c>
      <c r="X30" s="1836">
        <f t="shared" si="31"/>
        <v>2.6678499999999998E-3</v>
      </c>
      <c r="Y30" s="770">
        <f>SUM(E30,H30,L30,P30,S30,V30)</f>
        <v>9.7520711511504921</v>
      </c>
      <c r="Z30" s="613">
        <f>SUM(F30,I30,M30,Q30,T30,W30)</f>
        <v>64736.980228980676</v>
      </c>
      <c r="AA30" s="421">
        <f>SUM(J30,N30,R30,X30)</f>
        <v>0.61260816183518729</v>
      </c>
      <c r="AB30" s="24"/>
      <c r="AC30" s="24"/>
      <c r="AD30" s="24"/>
    </row>
    <row r="31" spans="1:30" s="24" customFormat="1">
      <c r="Y31" s="1228"/>
    </row>
    <row r="32" spans="1:30" ht="18.75" customHeight="1">
      <c r="A32" s="24"/>
      <c r="B32" s="2192" t="s">
        <v>1063</v>
      </c>
      <c r="C32" s="2193"/>
      <c r="D32" s="1932"/>
      <c r="E32" s="1933"/>
      <c r="F32" s="24"/>
      <c r="G32" s="24"/>
      <c r="H32" s="24"/>
      <c r="I32" s="24"/>
      <c r="J32" s="24"/>
      <c r="K32" s="24"/>
      <c r="L32" s="24"/>
      <c r="M32" s="24"/>
      <c r="N32" s="24"/>
      <c r="O32" s="24"/>
      <c r="P32" s="24"/>
      <c r="Q32" s="24"/>
      <c r="R32" s="24"/>
      <c r="S32" s="24"/>
      <c r="T32" s="24"/>
      <c r="Y32" s="615"/>
      <c r="Z32" s="615"/>
      <c r="AA32" s="615"/>
      <c r="AB32" s="24"/>
      <c r="AC32" s="24"/>
      <c r="AD32" s="24"/>
    </row>
    <row r="33" spans="1:30" ht="25.5">
      <c r="A33" s="24"/>
      <c r="B33" s="2189" t="s">
        <v>453</v>
      </c>
      <c r="C33" s="2190"/>
      <c r="D33" s="2190"/>
      <c r="E33" s="1884" t="s">
        <v>466</v>
      </c>
      <c r="F33" s="24"/>
      <c r="G33" s="24"/>
      <c r="H33" s="24"/>
      <c r="I33" s="24"/>
      <c r="J33" s="24"/>
      <c r="K33" s="24"/>
      <c r="L33" s="24"/>
      <c r="M33" s="24"/>
      <c r="N33" s="24"/>
      <c r="O33" s="24"/>
      <c r="P33" s="24"/>
      <c r="Q33" s="24"/>
      <c r="R33" s="24"/>
      <c r="S33" s="24"/>
      <c r="T33" s="24"/>
      <c r="Y33" s="615"/>
      <c r="Z33" s="615"/>
      <c r="AA33" s="615"/>
      <c r="AB33" s="24"/>
      <c r="AC33" s="24"/>
      <c r="AD33" s="24"/>
    </row>
    <row r="34" spans="1:30">
      <c r="A34" s="24"/>
      <c r="B34" s="1996" t="s">
        <v>1064</v>
      </c>
      <c r="C34" s="2191"/>
      <c r="D34" s="2191"/>
      <c r="E34" s="1711">
        <f>'Stationary Energy - E. Indus.'!C11</f>
        <v>0</v>
      </c>
      <c r="F34" s="24"/>
      <c r="G34" s="24"/>
      <c r="H34" s="24"/>
      <c r="I34" s="24"/>
      <c r="J34" s="24"/>
      <c r="K34" s="24"/>
      <c r="L34" s="24"/>
      <c r="M34" s="24"/>
      <c r="N34" s="24"/>
      <c r="O34" s="24"/>
      <c r="P34" s="24"/>
      <c r="Q34" s="24"/>
      <c r="R34" s="24"/>
      <c r="S34" s="24"/>
      <c r="T34" s="24"/>
      <c r="Y34" s="615"/>
      <c r="Z34" s="24"/>
      <c r="AA34" s="24"/>
      <c r="AB34" s="24"/>
      <c r="AC34" s="24"/>
      <c r="AD34" s="24"/>
    </row>
    <row r="35" spans="1:30" ht="51.75" customHeight="1">
      <c r="A35" s="24"/>
      <c r="B35" s="2194" t="s">
        <v>1065</v>
      </c>
      <c r="C35" s="2195"/>
      <c r="D35" s="2195"/>
      <c r="E35" s="1909"/>
      <c r="F35" s="24"/>
      <c r="G35" s="24"/>
      <c r="H35" s="24"/>
      <c r="I35" s="24"/>
      <c r="J35" s="24"/>
      <c r="K35" s="24"/>
      <c r="L35" s="24"/>
      <c r="M35" s="24"/>
      <c r="N35" s="24"/>
      <c r="O35" s="24"/>
      <c r="P35" s="24"/>
      <c r="Q35" s="24"/>
      <c r="R35" s="24"/>
      <c r="S35" s="24"/>
      <c r="T35" s="24"/>
      <c r="Y35" s="24"/>
      <c r="Z35" s="24"/>
      <c r="AA35" s="24"/>
      <c r="AB35" s="24"/>
      <c r="AC35" s="24"/>
      <c r="AD35" s="24"/>
    </row>
    <row r="49" spans="1:30">
      <c r="A49" s="24"/>
      <c r="B49" s="24"/>
      <c r="C49" s="24"/>
      <c r="D49" s="24"/>
      <c r="E49" s="24"/>
      <c r="F49" s="24"/>
      <c r="G49" s="24"/>
      <c r="H49" s="24"/>
      <c r="I49" s="24"/>
      <c r="J49" s="24"/>
      <c r="K49" s="24"/>
      <c r="L49" s="24"/>
      <c r="M49" s="24"/>
      <c r="N49" s="24"/>
      <c r="O49" s="24"/>
      <c r="P49" s="24"/>
      <c r="Q49" s="24"/>
      <c r="R49" s="24"/>
      <c r="S49" s="24"/>
      <c r="T49" s="24"/>
      <c r="Y49" s="24"/>
      <c r="Z49" s="24"/>
      <c r="AA49" s="24"/>
      <c r="AB49" s="24"/>
      <c r="AC49" s="24"/>
      <c r="AD49" s="24"/>
    </row>
    <row r="50" spans="1:30">
      <c r="A50" s="24"/>
      <c r="B50" s="24"/>
      <c r="C50" s="24"/>
      <c r="D50" s="24"/>
      <c r="E50" s="24"/>
      <c r="F50" s="24"/>
      <c r="G50" s="24"/>
      <c r="H50" s="24"/>
      <c r="I50" s="24"/>
      <c r="J50" s="24"/>
      <c r="K50" s="24"/>
      <c r="L50" s="24"/>
      <c r="M50" s="24"/>
      <c r="N50" s="24"/>
      <c r="O50" s="24"/>
      <c r="P50" s="24"/>
      <c r="Q50" s="24"/>
      <c r="R50" s="24"/>
      <c r="S50" s="24"/>
      <c r="T50" s="24"/>
      <c r="Y50" s="24"/>
      <c r="Z50" s="24"/>
      <c r="AA50" s="24"/>
      <c r="AB50" s="24"/>
      <c r="AC50" s="24"/>
      <c r="AD50" s="24"/>
    </row>
    <row r="55" spans="1:30">
      <c r="A55" s="24"/>
      <c r="B55" s="24"/>
      <c r="C55" s="24"/>
      <c r="D55" s="24"/>
      <c r="E55" s="24"/>
      <c r="F55" s="24"/>
      <c r="G55" s="24"/>
      <c r="H55" s="24"/>
      <c r="I55" s="24"/>
      <c r="J55" s="24"/>
      <c r="K55" s="24"/>
      <c r="L55" s="24"/>
      <c r="M55" s="24"/>
      <c r="N55" s="1228"/>
      <c r="O55" s="24"/>
      <c r="P55" s="24"/>
      <c r="Q55" s="24"/>
      <c r="R55" s="24"/>
      <c r="S55" s="24"/>
      <c r="T55" s="24"/>
      <c r="Y55" s="24"/>
      <c r="Z55" s="24"/>
      <c r="AA55" s="24"/>
      <c r="AB55" s="24"/>
      <c r="AC55" s="24"/>
      <c r="AD55" s="24"/>
    </row>
  </sheetData>
  <mergeCells count="14">
    <mergeCell ref="B33:D33"/>
    <mergeCell ref="B34:D34"/>
    <mergeCell ref="B32:E32"/>
    <mergeCell ref="B35:E35"/>
    <mergeCell ref="B30:C30"/>
    <mergeCell ref="B7:L7"/>
    <mergeCell ref="B6:L6"/>
    <mergeCell ref="B9:AA9"/>
    <mergeCell ref="B28:B29"/>
    <mergeCell ref="B2:G2"/>
    <mergeCell ref="C3:G3"/>
    <mergeCell ref="C4:G4"/>
    <mergeCell ref="B11:B18"/>
    <mergeCell ref="B19:B27"/>
  </mergeCells>
  <pageMargins left="0.7" right="0.7" top="0.75" bottom="0.75" header="0.3" footer="0.3"/>
  <pageSetup orientation="portrait" r:id="rId1"/>
  <ignoredErrors>
    <ignoredError sqref="Y27:AA2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CE598"/>
  <sheetViews>
    <sheetView showGridLines="0" topLeftCell="I224" zoomScaleNormal="100" workbookViewId="0">
      <selection activeCell="I225" sqref="I225"/>
    </sheetView>
  </sheetViews>
  <sheetFormatPr defaultRowHeight="12.75"/>
  <cols>
    <col min="1" max="1" width="2.5703125" style="1" customWidth="1"/>
    <col min="2" max="2" width="40" style="1" customWidth="1"/>
    <col min="3" max="3" width="37.28515625" style="1" customWidth="1"/>
    <col min="4" max="4" width="39.85546875" style="1" customWidth="1"/>
    <col min="5" max="5" width="40.85546875" style="1" customWidth="1"/>
    <col min="6" max="9" width="20.5703125" style="1" customWidth="1"/>
    <col min="10" max="10" width="22.85546875" style="1" bestFit="1" customWidth="1"/>
    <col min="11" max="11" width="17.42578125" style="1" customWidth="1"/>
    <col min="12" max="15" width="14" style="1" customWidth="1"/>
    <col min="16" max="16" width="12.140625" style="1" customWidth="1"/>
    <col min="17" max="17" width="10.85546875" style="1" customWidth="1"/>
    <col min="18" max="18" width="16" style="1" customWidth="1"/>
    <col min="19" max="19" width="14.85546875" style="1" customWidth="1"/>
    <col min="20" max="20" width="9.28515625" style="1" customWidth="1"/>
    <col min="21" max="21" width="14" style="1" customWidth="1"/>
    <col min="22" max="22" width="9.28515625" style="1" customWidth="1"/>
    <col min="23" max="23" width="14.28515625" style="1" hidden="1" customWidth="1"/>
    <col min="24" max="24" width="12.5703125" style="1" customWidth="1"/>
    <col min="25" max="25" width="16" style="1" customWidth="1"/>
    <col min="26" max="26" width="10.140625" style="1" customWidth="1"/>
    <col min="27" max="28" width="9.140625" style="1" customWidth="1"/>
    <col min="29" max="29" width="12.42578125" style="1" customWidth="1"/>
    <col min="30" max="30" width="9.28515625" style="1" customWidth="1"/>
    <col min="31" max="33" width="9.140625" style="1" customWidth="1"/>
    <col min="34" max="34" width="12" style="1" customWidth="1"/>
    <col min="35" max="35" width="10.85546875" style="1" customWidth="1"/>
    <col min="36" max="36" width="10.5703125" style="1" customWidth="1"/>
    <col min="37" max="37" width="10.7109375" style="1" customWidth="1"/>
    <col min="38" max="38" width="9.140625" style="1" customWidth="1"/>
    <col min="39" max="42" width="9.140625" style="13"/>
    <col min="43" max="43" width="31.7109375" style="13" customWidth="1"/>
    <col min="44" max="44" width="14" style="13" customWidth="1"/>
    <col min="45" max="45" width="16.140625" style="13" customWidth="1"/>
    <col min="46" max="46" width="16.5703125" style="13" customWidth="1"/>
    <col min="47" max="49" width="14.85546875" style="13" customWidth="1"/>
    <col min="50" max="50" width="13.28515625" style="13" customWidth="1"/>
    <col min="51" max="51" width="14.85546875" style="13" customWidth="1"/>
    <col min="52" max="83" width="9.140625" style="13"/>
    <col min="84" max="16384" width="9.140625" style="1"/>
  </cols>
  <sheetData>
    <row r="1" spans="1:12" ht="15.75" thickBot="1">
      <c r="A1" s="63"/>
      <c r="B1" s="63"/>
      <c r="C1" s="37"/>
      <c r="D1" s="37"/>
      <c r="E1" s="37"/>
      <c r="F1" s="45"/>
      <c r="G1" s="45"/>
      <c r="H1" s="45"/>
      <c r="I1" s="45"/>
      <c r="J1" s="45"/>
      <c r="K1" s="45"/>
      <c r="L1" s="1254"/>
    </row>
    <row r="2" spans="1:12" s="13" customFormat="1" ht="24" thickBot="1">
      <c r="A2" s="45"/>
      <c r="B2" s="2136" t="s">
        <v>1066</v>
      </c>
      <c r="C2" s="2137"/>
      <c r="D2" s="2137"/>
      <c r="E2" s="1909"/>
      <c r="F2" s="60"/>
      <c r="G2" s="60"/>
      <c r="H2" s="59"/>
      <c r="I2" s="59"/>
      <c r="J2" s="85"/>
      <c r="K2" s="45"/>
      <c r="L2" s="45"/>
    </row>
    <row r="3" spans="1:12" s="13" customFormat="1" ht="13.5" customHeight="1">
      <c r="A3" s="45"/>
      <c r="B3" s="165" t="s">
        <v>430</v>
      </c>
      <c r="C3" s="2182" t="s">
        <v>441</v>
      </c>
      <c r="D3" s="2231"/>
      <c r="E3" s="2232"/>
      <c r="F3" s="60"/>
      <c r="G3" s="60"/>
      <c r="H3" s="59"/>
      <c r="I3" s="59"/>
      <c r="J3" s="85"/>
      <c r="K3" s="45"/>
      <c r="L3" s="45"/>
    </row>
    <row r="4" spans="1:12" s="13" customFormat="1" ht="13.5" customHeight="1" thickBot="1">
      <c r="A4" s="45"/>
      <c r="B4" s="166" t="s">
        <v>1067</v>
      </c>
      <c r="C4" s="2233" t="s">
        <v>1068</v>
      </c>
      <c r="D4" s="2048"/>
      <c r="E4" s="2049"/>
      <c r="F4" s="60"/>
      <c r="G4" s="60"/>
      <c r="H4" s="59"/>
      <c r="I4" s="59"/>
      <c r="J4" s="85"/>
      <c r="K4" s="45"/>
      <c r="L4" s="45"/>
    </row>
    <row r="5" spans="1:12" s="13" customFormat="1" ht="17.25" customHeight="1" thickBot="1">
      <c r="A5" s="45"/>
      <c r="B5" s="60"/>
      <c r="C5" s="60"/>
      <c r="D5" s="60"/>
      <c r="E5" s="60"/>
      <c r="F5" s="60"/>
      <c r="G5" s="60"/>
      <c r="H5" s="59"/>
      <c r="I5" s="59"/>
      <c r="J5" s="85"/>
      <c r="K5" s="45"/>
      <c r="L5" s="45"/>
    </row>
    <row r="6" spans="1:12" s="13" customFormat="1" ht="19.5" customHeight="1" thickBot="1">
      <c r="A6" s="45"/>
      <c r="B6" s="1936" t="s">
        <v>434</v>
      </c>
      <c r="C6" s="2225"/>
      <c r="D6" s="2225"/>
      <c r="E6" s="2226"/>
      <c r="F6" s="60"/>
      <c r="G6" s="60"/>
      <c r="H6" s="59"/>
      <c r="I6" s="59"/>
      <c r="J6" s="85"/>
      <c r="K6" s="45"/>
      <c r="L6" s="45"/>
    </row>
    <row r="7" spans="1:12" s="13" customFormat="1" ht="69" customHeight="1" thickBot="1">
      <c r="A7" s="45"/>
      <c r="B7" s="2070" t="s">
        <v>1069</v>
      </c>
      <c r="C7" s="2223"/>
      <c r="D7" s="2223"/>
      <c r="E7" s="2224"/>
      <c r="F7" s="62"/>
      <c r="G7" s="62"/>
      <c r="H7" s="43"/>
      <c r="I7" s="43"/>
      <c r="J7" s="36"/>
      <c r="K7" s="36"/>
      <c r="L7" s="36"/>
    </row>
    <row r="8" spans="1:12" s="13" customFormat="1" ht="13.5" customHeight="1" thickBot="1">
      <c r="A8" s="45"/>
      <c r="B8" s="14"/>
      <c r="C8" s="14"/>
      <c r="D8" s="14"/>
      <c r="E8" s="14"/>
      <c r="F8" s="14"/>
      <c r="G8" s="14"/>
      <c r="H8" s="14"/>
      <c r="I8" s="14"/>
      <c r="J8" s="45"/>
      <c r="K8" s="45"/>
      <c r="L8" s="45"/>
    </row>
    <row r="9" spans="1:12" s="13" customFormat="1" ht="15" customHeight="1" thickBot="1">
      <c r="A9" s="45"/>
      <c r="B9" s="1931" t="s">
        <v>1070</v>
      </c>
      <c r="C9" s="1932"/>
      <c r="D9" s="1932"/>
      <c r="E9" s="1932"/>
      <c r="F9" s="1932"/>
      <c r="G9" s="1932"/>
      <c r="H9" s="1932"/>
      <c r="I9" s="1933"/>
      <c r="J9" s="45"/>
      <c r="K9" s="45"/>
      <c r="L9" s="45"/>
    </row>
    <row r="10" spans="1:12" s="13" customFormat="1" ht="48" customHeight="1" thickBot="1">
      <c r="A10" s="45"/>
      <c r="B10" s="71" t="s">
        <v>453</v>
      </c>
      <c r="C10" s="72" t="s">
        <v>1071</v>
      </c>
      <c r="D10" s="103" t="s">
        <v>986</v>
      </c>
      <c r="E10" s="103" t="s">
        <v>1072</v>
      </c>
      <c r="F10" s="99" t="s">
        <v>987</v>
      </c>
      <c r="G10" s="103" t="s">
        <v>1073</v>
      </c>
      <c r="H10" s="103" t="s">
        <v>989</v>
      </c>
      <c r="I10" s="104" t="s">
        <v>1074</v>
      </c>
      <c r="J10" s="45"/>
      <c r="K10" s="45"/>
      <c r="L10" s="45"/>
    </row>
    <row r="11" spans="1:12" s="13" customFormat="1">
      <c r="A11" s="45"/>
      <c r="B11" s="2227" t="s">
        <v>454</v>
      </c>
      <c r="C11" s="69" t="s">
        <v>1050</v>
      </c>
      <c r="D11" s="810">
        <f>(Inputs!C32*'Emission Factors'!$D$141)-'Stationary Energy - Buildings'!D12</f>
        <v>16926507</v>
      </c>
      <c r="E11" s="810">
        <f>Inputs!D32</f>
        <v>0</v>
      </c>
      <c r="F11" s="703">
        <f>D11*'Emission Factors'!$G$38</f>
        <v>0.32277946652389367</v>
      </c>
      <c r="G11" s="515">
        <f>D11*'Emission Factors'!$H$38</f>
        <v>3728.6593546725649</v>
      </c>
      <c r="H11" s="703">
        <f>D11*'Emission Factors'!$I$38</f>
        <v>4.4521305727433604E-2</v>
      </c>
      <c r="I11" s="711">
        <f>E11*'Emission Factors'!$D$10</f>
        <v>0</v>
      </c>
      <c r="J11" s="45"/>
      <c r="K11" s="45"/>
      <c r="L11" s="45"/>
    </row>
    <row r="12" spans="1:12" s="13" customFormat="1">
      <c r="A12" s="45"/>
      <c r="B12" s="2228"/>
      <c r="C12" s="513" t="s">
        <v>1051</v>
      </c>
      <c r="D12" s="811">
        <f>Inputs!D50</f>
        <v>97582493</v>
      </c>
      <c r="E12" s="818"/>
      <c r="F12" s="704">
        <f>D12*'Emission Factors'!$L$61</f>
        <v>1.8973783875741386</v>
      </c>
      <c r="G12" s="513">
        <f>D12*'Emission Factors'!$M$61</f>
        <v>21917.99171852884</v>
      </c>
      <c r="H12" s="704">
        <f>D12*'Emission Factors'!$N$61</f>
        <v>0.26170736380332937</v>
      </c>
      <c r="I12" s="814"/>
      <c r="J12" s="45"/>
      <c r="K12" s="45"/>
      <c r="L12" s="45"/>
    </row>
    <row r="13" spans="1:12" s="13" customFormat="1">
      <c r="A13" s="45"/>
      <c r="B13" s="2229"/>
      <c r="C13" s="276" t="s">
        <v>1052</v>
      </c>
      <c r="D13" s="812">
        <f>Inputs!C61</f>
        <v>0</v>
      </c>
      <c r="E13" s="812">
        <f>Inputs!D61</f>
        <v>0</v>
      </c>
      <c r="F13" s="705">
        <f>D13*'Emission Factors'!$I$68</f>
        <v>0</v>
      </c>
      <c r="G13" s="276">
        <f>D13*'Emission Factors'!$J$68</f>
        <v>0</v>
      </c>
      <c r="H13" s="705">
        <f>D13*'Emission Factors'!$K$68</f>
        <v>0</v>
      </c>
      <c r="I13" s="1253">
        <f>E13*'Emission Factors'!$D$10</f>
        <v>0</v>
      </c>
      <c r="J13" s="45"/>
      <c r="K13" s="45"/>
      <c r="L13" s="45"/>
    </row>
    <row r="14" spans="1:12" s="13" customFormat="1">
      <c r="A14" s="45"/>
      <c r="B14" s="2229"/>
      <c r="C14" s="276" t="s">
        <v>1054</v>
      </c>
      <c r="D14" s="276">
        <f>-F231</f>
        <v>-11850.673048392859</v>
      </c>
      <c r="E14" s="817"/>
      <c r="F14" s="706">
        <f>$D14*'Emission Factors'!G120</f>
        <v>-2.2976678553421367E-4</v>
      </c>
      <c r="G14" s="707">
        <f>$D14*'Emission Factors'!H120</f>
        <v>-2.6542025225503991</v>
      </c>
      <c r="H14" s="706">
        <f>$D14*'Emission Factors'!I120</f>
        <v>-3.1691970418512229E-5</v>
      </c>
      <c r="I14" s="815"/>
      <c r="J14" s="45"/>
      <c r="K14" s="45"/>
      <c r="L14" s="45"/>
    </row>
    <row r="15" spans="1:12" s="13" customFormat="1" ht="13.5" thickBot="1">
      <c r="A15" s="45"/>
      <c r="B15" s="2230"/>
      <c r="C15" s="1712" t="s">
        <v>1075</v>
      </c>
      <c r="D15" s="1712">
        <f>SUM(D11:D14)</f>
        <v>114497149.32695161</v>
      </c>
      <c r="E15" s="1712">
        <f>SUM(E11:E14)</f>
        <v>0</v>
      </c>
      <c r="F15" s="1713">
        <f>SUMIF(F11:F14,"&lt;&gt;#DIV/0!",F11:F14)</f>
        <v>2.219928087312498</v>
      </c>
      <c r="G15" s="1713">
        <f>SUMIF(G11:G14,"&lt;&gt;#DIV/0!",G11:G14)</f>
        <v>25643.996870678853</v>
      </c>
      <c r="H15" s="1713">
        <f>SUMIF(H11:H14,"&lt;&gt;#DIV/0!",H11:H14)</f>
        <v>0.30619697756034447</v>
      </c>
      <c r="I15" s="1714">
        <f>SUM(I11:I14)</f>
        <v>0</v>
      </c>
      <c r="J15" s="45"/>
      <c r="K15" s="45"/>
      <c r="L15" s="45"/>
    </row>
    <row r="16" spans="1:12" s="13" customFormat="1">
      <c r="A16" s="45"/>
      <c r="B16" s="2227" t="s">
        <v>471</v>
      </c>
      <c r="C16" s="69" t="s">
        <v>1056</v>
      </c>
      <c r="D16" s="813">
        <f>(Inputs!C33*'Emission Factors'!$D$141)-'Stationary Energy - Buildings'!D17</f>
        <v>26767164</v>
      </c>
      <c r="E16" s="811">
        <f>Inputs!D33</f>
        <v>0</v>
      </c>
      <c r="F16" s="708">
        <f>D16*'Emission Factors'!$G$38</f>
        <v>0.51043555036355526</v>
      </c>
      <c r="G16" s="512">
        <f>D16*'Emission Factors'!$H$38</f>
        <v>5896.4106679927945</v>
      </c>
      <c r="H16" s="708">
        <f>D16*'Emission Factors'!$I$38</f>
        <v>7.040490349842142E-2</v>
      </c>
      <c r="I16" s="711">
        <f>E16*'Emission Factors'!$D$10</f>
        <v>0</v>
      </c>
      <c r="J16" s="45"/>
      <c r="K16" s="45"/>
      <c r="L16" s="45"/>
    </row>
    <row r="17" spans="2:12" s="13" customFormat="1">
      <c r="B17" s="2228"/>
      <c r="C17" s="70" t="s">
        <v>1057</v>
      </c>
      <c r="D17" s="812">
        <f>Inputs!D55</f>
        <v>31329836</v>
      </c>
      <c r="E17" s="817"/>
      <c r="F17" s="705">
        <f>D17*'Emission Factors'!$L$62</f>
        <v>0.60770061854598367</v>
      </c>
      <c r="G17" s="276">
        <f>D17*'Emission Factors'!$M$62</f>
        <v>7019.989903893259</v>
      </c>
      <c r="H17" s="705">
        <f>D17*'Emission Factors'!$N$62</f>
        <v>8.3820774971859802E-2</v>
      </c>
      <c r="I17" s="814"/>
      <c r="J17" s="45"/>
      <c r="K17" s="45"/>
      <c r="L17" s="45"/>
    </row>
    <row r="18" spans="2:12" s="13" customFormat="1">
      <c r="B18" s="2229"/>
      <c r="C18" s="514" t="s">
        <v>1058</v>
      </c>
      <c r="D18" s="811">
        <f>Inputs!C62</f>
        <v>0</v>
      </c>
      <c r="E18" s="811">
        <f>Inputs!D62</f>
        <v>0</v>
      </c>
      <c r="F18" s="704">
        <f>D18*'Emission Factors'!$I$68</f>
        <v>0</v>
      </c>
      <c r="G18" s="513">
        <f>D18*'Emission Factors'!$J$68</f>
        <v>0</v>
      </c>
      <c r="H18" s="704">
        <f>D18*'Emission Factors'!$K$68</f>
        <v>0</v>
      </c>
      <c r="I18" s="1253">
        <f>E18*'Emission Factors'!$D$10</f>
        <v>0</v>
      </c>
      <c r="J18" s="45"/>
      <c r="K18" s="45"/>
      <c r="L18" s="45"/>
    </row>
    <row r="19" spans="2:12" s="13" customFormat="1">
      <c r="B19" s="2229"/>
      <c r="C19" s="516" t="s">
        <v>1054</v>
      </c>
      <c r="D19" s="517">
        <f>-G231</f>
        <v>-6270.0981280357137</v>
      </c>
      <c r="E19" s="819"/>
      <c r="F19" s="709">
        <f>$D19*'Emission Factors'!G120</f>
        <v>-1.21567803447099E-4</v>
      </c>
      <c r="G19" s="710">
        <f>$D19*'Emission Factors'!H120</f>
        <v>-1.404317729475109</v>
      </c>
      <c r="H19" s="709">
        <f>$D19*'Emission Factors'!I120</f>
        <v>-1.6767972889255032E-5</v>
      </c>
      <c r="I19" s="816"/>
      <c r="J19" s="45"/>
      <c r="K19" s="45"/>
      <c r="L19" s="45"/>
    </row>
    <row r="20" spans="2:12" s="13" customFormat="1" ht="13.5" thickBot="1">
      <c r="B20" s="2230"/>
      <c r="C20" s="1715" t="s">
        <v>1076</v>
      </c>
      <c r="D20" s="1712">
        <f>SUM(D16:D18)</f>
        <v>58097000</v>
      </c>
      <c r="E20" s="1712">
        <f>SUM(E16:E19)</f>
        <v>0</v>
      </c>
      <c r="F20" s="1713">
        <f>SUMIF(F16:F19,"&lt;&gt;#DIV/0!",F16:F19)</f>
        <v>1.1180146011060919</v>
      </c>
      <c r="G20" s="1713">
        <f>SUMIF(G16:G19,"&lt;&gt;#DIV/0!",G16:G19)</f>
        <v>12914.996254156578</v>
      </c>
      <c r="H20" s="1713">
        <f>SUMIF(H16:H19,"&lt;&gt;#DIV/0!",H16:H19)</f>
        <v>0.15420891049739199</v>
      </c>
      <c r="I20" s="1714">
        <f>SUM(I16:I19)</f>
        <v>0</v>
      </c>
      <c r="J20" s="45"/>
      <c r="K20" s="45"/>
      <c r="L20" s="45"/>
    </row>
    <row r="21" spans="2:12" s="13" customFormat="1" ht="15.75" thickBot="1">
      <c r="B21" s="2215" t="s">
        <v>1077</v>
      </c>
      <c r="C21" s="2216"/>
      <c r="D21" s="64">
        <f>SUM(D15,D20)</f>
        <v>172594149.32695162</v>
      </c>
      <c r="E21" s="64">
        <f>SUM(E15,E20)</f>
        <v>0</v>
      </c>
      <c r="F21" s="518">
        <f>SUM(F15,F20)</f>
        <v>3.3379426884185897</v>
      </c>
      <c r="G21" s="68">
        <f t="shared" ref="G21:H21" si="0">SUM(G15,G20)</f>
        <v>38558.993124835433</v>
      </c>
      <c r="H21" s="518">
        <f t="shared" si="0"/>
        <v>0.46040588805773647</v>
      </c>
      <c r="I21" s="68">
        <f>SUM(I15,I20)</f>
        <v>0</v>
      </c>
      <c r="J21" s="37"/>
      <c r="K21" s="45"/>
      <c r="L21" s="45"/>
    </row>
    <row r="22" spans="2:12" s="13" customFormat="1" ht="51.75" customHeight="1">
      <c r="B22" s="2217" t="s">
        <v>1078</v>
      </c>
      <c r="C22" s="2218"/>
      <c r="D22" s="2218"/>
      <c r="E22" s="2219"/>
      <c r="F22" s="63"/>
      <c r="G22" s="63"/>
      <c r="H22" s="37"/>
      <c r="I22" s="37"/>
      <c r="J22" s="37"/>
      <c r="K22" s="45"/>
      <c r="L22" s="45"/>
    </row>
    <row r="23" spans="2:12" s="13" customFormat="1" ht="26.25" customHeight="1" thickBot="1">
      <c r="B23" s="2220" t="s">
        <v>1079</v>
      </c>
      <c r="C23" s="2221"/>
      <c r="D23" s="2221"/>
      <c r="E23" s="2222"/>
      <c r="F23" s="63"/>
      <c r="G23" s="63"/>
      <c r="H23" s="37"/>
      <c r="I23" s="37"/>
      <c r="J23" s="37"/>
      <c r="K23" s="45"/>
      <c r="L23" s="45"/>
    </row>
    <row r="24" spans="2:12" s="13" customFormat="1" ht="15.75" customHeight="1" thickBot="1">
      <c r="B24" s="1487"/>
      <c r="C24" s="1488"/>
      <c r="D24" s="1488"/>
      <c r="E24" s="1488"/>
      <c r="F24" s="63"/>
      <c r="G24" s="63"/>
      <c r="H24" s="37"/>
      <c r="I24" s="37"/>
      <c r="J24" s="37"/>
      <c r="K24" s="45"/>
      <c r="L24" s="45"/>
    </row>
    <row r="25" spans="2:12" s="13" customFormat="1" ht="15.75" customHeight="1" thickBot="1">
      <c r="B25" s="2201" t="s">
        <v>1080</v>
      </c>
      <c r="C25" s="2202"/>
      <c r="D25" s="2202"/>
      <c r="E25" s="2202"/>
      <c r="F25" s="2202"/>
      <c r="G25" s="2202"/>
      <c r="H25" s="2202"/>
      <c r="I25" s="2203"/>
      <c r="J25" s="37"/>
      <c r="K25" s="45"/>
      <c r="L25" s="45"/>
    </row>
    <row r="26" spans="2:12" s="13" customFormat="1" ht="26.25" customHeight="1">
      <c r="B26" s="1489" t="s">
        <v>453</v>
      </c>
      <c r="C26" s="1490" t="s">
        <v>986</v>
      </c>
      <c r="D26" s="1490" t="s">
        <v>1072</v>
      </c>
      <c r="E26" s="1491" t="s">
        <v>987</v>
      </c>
      <c r="F26" s="1259" t="s">
        <v>1073</v>
      </c>
      <c r="G26" s="1259" t="s">
        <v>989</v>
      </c>
      <c r="H26" s="1290" t="s">
        <v>1081</v>
      </c>
      <c r="I26" s="1260" t="s">
        <v>1074</v>
      </c>
      <c r="J26" s="37"/>
      <c r="K26" s="37"/>
      <c r="L26" s="45"/>
    </row>
    <row r="27" spans="2:12" s="13" customFormat="1" ht="14.25" customHeight="1" thickBot="1">
      <c r="B27" s="1864" t="s">
        <v>509</v>
      </c>
      <c r="C27" s="1716">
        <f>Inputs!C39</f>
        <v>12852013</v>
      </c>
      <c r="D27" s="1716">
        <f>Inputs!D39</f>
        <v>0</v>
      </c>
      <c r="E27" s="1717">
        <f>C27*'Emission Factors'!$G$38</f>
        <v>0.24508103768238457</v>
      </c>
      <c r="F27" s="1718">
        <f>C27*'Emission Factors'!$H$38</f>
        <v>2831.1085387447874</v>
      </c>
      <c r="G27" s="1717">
        <f>C27*'Emission Factors'!$I$38</f>
        <v>3.380428105963925E-2</v>
      </c>
      <c r="H27" s="1719">
        <f>(E27*'Emission Factors'!$B$126)+F27+(G27*'Emission Factors'!$C$126)</f>
        <v>2846.9289422806987</v>
      </c>
      <c r="I27" s="1720">
        <f>D27*'Emission Factors'!$D$10</f>
        <v>0</v>
      </c>
      <c r="J27" s="37"/>
      <c r="K27" s="37"/>
      <c r="L27" s="45"/>
    </row>
    <row r="28" spans="2:12" s="13" customFormat="1" ht="28.5" customHeight="1" thickBot="1">
      <c r="B28" s="2198" t="s">
        <v>1082</v>
      </c>
      <c r="C28" s="2199"/>
      <c r="D28" s="2199"/>
      <c r="E28" s="2199"/>
      <c r="F28" s="2199"/>
      <c r="G28" s="2199"/>
      <c r="H28" s="2200"/>
      <c r="I28" s="37"/>
      <c r="J28" s="37"/>
      <c r="K28" s="45"/>
      <c r="L28" s="45"/>
    </row>
    <row r="29" spans="2:12" s="13" customFormat="1" ht="18" customHeight="1" thickBot="1">
      <c r="B29" s="63"/>
      <c r="C29" s="63"/>
      <c r="D29" s="63"/>
      <c r="E29" s="63"/>
      <c r="F29" s="63"/>
      <c r="G29" s="63"/>
      <c r="H29" s="37"/>
      <c r="I29" s="37"/>
      <c r="J29" s="37"/>
      <c r="K29" s="45"/>
      <c r="L29" s="45"/>
    </row>
    <row r="30" spans="2:12" s="13" customFormat="1" ht="15.75" customHeight="1" thickBot="1">
      <c r="B30" s="2122" t="s">
        <v>1083</v>
      </c>
      <c r="C30" s="2123"/>
      <c r="D30" s="2123"/>
      <c r="E30" s="2123"/>
      <c r="F30" s="2123"/>
      <c r="G30" s="2123"/>
      <c r="H30" s="2128"/>
      <c r="I30" s="37"/>
      <c r="J30" s="37"/>
      <c r="K30" s="45"/>
      <c r="L30" s="45"/>
    </row>
    <row r="31" spans="2:12" s="13" customFormat="1" ht="25.5">
      <c r="B31" s="1419" t="s">
        <v>453</v>
      </c>
      <c r="C31" s="1420" t="s">
        <v>1084</v>
      </c>
      <c r="D31" s="1420" t="s">
        <v>1085</v>
      </c>
      <c r="E31" s="1862" t="s">
        <v>1086</v>
      </c>
      <c r="F31" s="1862" t="s">
        <v>1087</v>
      </c>
      <c r="G31" s="1862" t="s">
        <v>1088</v>
      </c>
      <c r="H31" s="1498" t="s">
        <v>1089</v>
      </c>
      <c r="I31" s="63"/>
      <c r="J31" s="37"/>
      <c r="K31" s="37"/>
      <c r="L31" s="37"/>
    </row>
    <row r="32" spans="2:12" s="13" customFormat="1" ht="15">
      <c r="B32" s="153" t="s">
        <v>454</v>
      </c>
      <c r="C32" s="387">
        <f>J45</f>
        <v>1000042.8961994501</v>
      </c>
      <c r="D32" s="407">
        <f>K45</f>
        <v>138005.91967552414</v>
      </c>
      <c r="E32" s="712">
        <f>L45</f>
        <v>0.41401775902657245</v>
      </c>
      <c r="F32" s="713">
        <f>M45</f>
        <v>10206.917819201764</v>
      </c>
      <c r="G32" s="1492">
        <f>N45</f>
        <v>8.2803551805314485E-2</v>
      </c>
      <c r="H32" s="1495">
        <f>(E32*'Emission Factors'!$B$126)+F32+(G32*'Emission Factors'!$C$126)</f>
        <v>10240.453257682917</v>
      </c>
      <c r="I32" s="63"/>
      <c r="J32" s="37"/>
      <c r="K32" s="37"/>
      <c r="L32" s="37"/>
    </row>
    <row r="33" spans="2:14" s="13" customFormat="1" ht="15">
      <c r="B33" s="154" t="s">
        <v>1090</v>
      </c>
      <c r="C33" s="306">
        <f>K72</f>
        <v>383816.65192916978</v>
      </c>
      <c r="D33" s="306">
        <f>L72</f>
        <v>52966.697966225409</v>
      </c>
      <c r="E33" s="714">
        <f>M72</f>
        <v>0.15890009389867626</v>
      </c>
      <c r="F33" s="715">
        <f>N72</f>
        <v>3917.416981582031</v>
      </c>
      <c r="G33" s="1493">
        <f>O72</f>
        <v>3.1780018779735256E-2</v>
      </c>
      <c r="H33" s="1495">
        <f>(E33*'Emission Factors'!$B$126)+F33+(G33*'Emission Factors'!$C$126)</f>
        <v>3930.2878891878236</v>
      </c>
      <c r="I33" s="63"/>
      <c r="J33" s="37"/>
      <c r="K33" s="37"/>
      <c r="L33" s="37"/>
      <c r="M33" s="45"/>
      <c r="N33" s="45"/>
    </row>
    <row r="34" spans="2:14" s="13" customFormat="1" ht="15">
      <c r="B34" s="1411" t="s">
        <v>1091</v>
      </c>
      <c r="C34" s="1412">
        <f>I100</f>
        <v>1867.3255465708294</v>
      </c>
      <c r="D34" s="306">
        <f>J100</f>
        <v>257.69092542677447</v>
      </c>
      <c r="E34" s="1413">
        <f>K100</f>
        <v>7.7307277628032342E-4</v>
      </c>
      <c r="F34" s="1413">
        <f t="shared" ref="F34:G34" si="1">L100</f>
        <v>19.058820844564238</v>
      </c>
      <c r="G34" s="1493">
        <f t="shared" si="1"/>
        <v>1.5461455525606467E-4</v>
      </c>
      <c r="H34" s="1495">
        <f>(E34*'Emission Factors'!$B$126)+F34+(G34*'Emission Factors'!$C$126)</f>
        <v>19.121439739442945</v>
      </c>
      <c r="I34" s="63"/>
      <c r="J34" s="37"/>
      <c r="K34" s="37"/>
      <c r="L34" s="37"/>
      <c r="M34" s="45"/>
      <c r="N34" s="45"/>
    </row>
    <row r="35" spans="2:14" s="13" customFormat="1" ht="15">
      <c r="B35" s="155" t="s">
        <v>509</v>
      </c>
      <c r="C35" s="1414">
        <f>Inputs!E39</f>
        <v>150250</v>
      </c>
      <c r="D35" s="1217">
        <f>C35*'Emission Factors'!$D$137</f>
        <v>20734.5</v>
      </c>
      <c r="E35" s="1022">
        <f>D35*'Emission Factors'!$E$12</f>
        <v>6.2203500000000002E-2</v>
      </c>
      <c r="F35" s="1022">
        <f>D35*'Emission Factors'!$D$12</f>
        <v>1533.5236199999999</v>
      </c>
      <c r="G35" s="1494">
        <f>D35*'Emission Factors'!$F$12</f>
        <v>1.2440699999999999E-2</v>
      </c>
      <c r="H35" s="1496">
        <f>(E35*'Emission Factors'!$B$126)+F35+(G35*'Emission Factors'!$C$126)</f>
        <v>1538.5621034999999</v>
      </c>
      <c r="I35" s="23"/>
      <c r="J35" s="37"/>
      <c r="K35" s="37"/>
      <c r="L35" s="37"/>
      <c r="M35" s="45"/>
      <c r="N35" s="45"/>
    </row>
    <row r="36" spans="2:14" s="13" customFormat="1" ht="15.75" thickBot="1">
      <c r="B36" s="148" t="s">
        <v>1092</v>
      </c>
      <c r="C36" s="1721">
        <f t="shared" ref="C36:H36" si="2">SUM(C32:C35)</f>
        <v>1535976.8736751906</v>
      </c>
      <c r="D36" s="1721">
        <f t="shared" si="2"/>
        <v>211964.80856717634</v>
      </c>
      <c r="E36" s="1722">
        <f t="shared" si="2"/>
        <v>0.6358944257015291</v>
      </c>
      <c r="F36" s="1721">
        <f t="shared" si="2"/>
        <v>15676.91724162836</v>
      </c>
      <c r="G36" s="1497">
        <f t="shared" si="2"/>
        <v>0.12717888514030579</v>
      </c>
      <c r="H36" s="1723">
        <f t="shared" si="2"/>
        <v>15728.424690110183</v>
      </c>
      <c r="I36" s="63"/>
      <c r="J36" s="37"/>
      <c r="K36" s="37"/>
      <c r="L36" s="37"/>
      <c r="M36" s="45"/>
      <c r="N36" s="45"/>
    </row>
    <row r="37" spans="2:14" s="13" customFormat="1" ht="15.75" thickBot="1">
      <c r="B37" s="63"/>
      <c r="C37" s="63"/>
      <c r="D37" s="63"/>
      <c r="E37" s="63"/>
      <c r="F37" s="63"/>
      <c r="G37" s="63"/>
      <c r="H37" s="37"/>
      <c r="I37" s="37"/>
      <c r="J37" s="37"/>
      <c r="K37" s="45"/>
      <c r="L37" s="45"/>
      <c r="M37" s="45"/>
      <c r="N37" s="45"/>
    </row>
    <row r="38" spans="2:14" s="13" customFormat="1" ht="15.75" thickBot="1">
      <c r="B38" s="1905" t="s">
        <v>1093</v>
      </c>
      <c r="C38" s="2114"/>
      <c r="D38" s="2114"/>
      <c r="E38" s="2114"/>
      <c r="F38" s="2114"/>
      <c r="G38" s="2114"/>
      <c r="H38" s="2114"/>
      <c r="I38" s="2114"/>
      <c r="J38" s="2114"/>
      <c r="K38" s="2114"/>
      <c r="L38" s="2114"/>
      <c r="M38" s="2114"/>
      <c r="N38" s="2142"/>
    </row>
    <row r="39" spans="2:14" s="13" customFormat="1" ht="51">
      <c r="B39" s="115" t="s">
        <v>89</v>
      </c>
      <c r="C39" s="75" t="s">
        <v>1094</v>
      </c>
      <c r="D39" s="75" t="s">
        <v>1095</v>
      </c>
      <c r="E39" s="75" t="s">
        <v>1096</v>
      </c>
      <c r="F39" s="75" t="s">
        <v>1097</v>
      </c>
      <c r="G39" s="75" t="s">
        <v>1098</v>
      </c>
      <c r="H39" s="75" t="s">
        <v>90</v>
      </c>
      <c r="I39" s="75" t="s">
        <v>1099</v>
      </c>
      <c r="J39" s="1881" t="s">
        <v>1100</v>
      </c>
      <c r="K39" s="508" t="s">
        <v>1085</v>
      </c>
      <c r="L39" s="158" t="s">
        <v>1086</v>
      </c>
      <c r="M39" s="158" t="s">
        <v>1087</v>
      </c>
      <c r="N39" s="1884" t="s">
        <v>1088</v>
      </c>
    </row>
    <row r="40" spans="2:14" s="13" customFormat="1">
      <c r="B40" s="480" t="s">
        <v>1101</v>
      </c>
      <c r="C40" s="1059">
        <v>571</v>
      </c>
      <c r="D40" s="1060">
        <f>73.9/118.2</f>
        <v>0.6252115059221659</v>
      </c>
      <c r="E40" s="1057">
        <v>1.2</v>
      </c>
      <c r="F40" s="473">
        <f>E40/$E$45</f>
        <v>0.48</v>
      </c>
      <c r="G40" s="474">
        <f>C40*$C$48</f>
        <v>866.11059465327025</v>
      </c>
      <c r="H40" s="820">
        <f>Inputs!C180</f>
        <v>3022</v>
      </c>
      <c r="I40" s="821">
        <f>Inputs!$C$189</f>
        <v>0.33339999999999997</v>
      </c>
      <c r="J40" s="475">
        <f>(G40*H40*I40)</f>
        <v>872636.56476186356</v>
      </c>
      <c r="K40" s="795">
        <f>J40*'Emission Factors'!$D$137</f>
        <v>120423.84593713719</v>
      </c>
      <c r="L40" s="726">
        <f>K40*'Emission Factors'!$E$12</f>
        <v>0.36127153781141158</v>
      </c>
      <c r="M40" s="727">
        <f>K40*'Emission Factors'!$D$12</f>
        <v>8906.5476455106655</v>
      </c>
      <c r="N40" s="320">
        <f>K40*'Emission Factors'!$F$12</f>
        <v>7.2254307562282308E-2</v>
      </c>
    </row>
    <row r="41" spans="2:14" s="13" customFormat="1">
      <c r="B41" s="480" t="s">
        <v>1102</v>
      </c>
      <c r="C41" s="1059">
        <f>C40*0.9205</f>
        <v>525.60550000000001</v>
      </c>
      <c r="D41" s="1060">
        <f>7/118.2</f>
        <v>5.9221658206429779E-2</v>
      </c>
      <c r="E41" s="1057">
        <v>0.1</v>
      </c>
      <c r="F41" s="473">
        <f>E41/$E$45</f>
        <v>0.04</v>
      </c>
      <c r="G41" s="474">
        <f>C41*$C$48</f>
        <v>797.25480237833528</v>
      </c>
      <c r="H41" s="820">
        <f>Inputs!C181</f>
        <v>183</v>
      </c>
      <c r="I41" s="821">
        <f>Inputs!$C$189</f>
        <v>0.33339999999999997</v>
      </c>
      <c r="J41" s="475">
        <f t="shared" ref="J41:J44" si="3">(G41*H41*I41)</f>
        <v>48642.269453667461</v>
      </c>
      <c r="K41" s="795">
        <f>J41*'Emission Factors'!$D$137</f>
        <v>6712.6331846061103</v>
      </c>
      <c r="L41" s="726">
        <f>K41*'Emission Factors'!$E$12</f>
        <v>2.0137899553818332E-2</v>
      </c>
      <c r="M41" s="727">
        <f>K41*'Emission Factors'!$D$12</f>
        <v>496.46635033346791</v>
      </c>
      <c r="N41" s="320">
        <f>K41*'Emission Factors'!$F$12</f>
        <v>4.0275799107636658E-3</v>
      </c>
    </row>
    <row r="42" spans="2:14" s="13" customFormat="1">
      <c r="B42" s="480" t="s">
        <v>1103</v>
      </c>
      <c r="C42" s="1059">
        <v>325</v>
      </c>
      <c r="D42" s="1060">
        <f>9.4/118.2</f>
        <v>7.952622673434856E-2</v>
      </c>
      <c r="E42" s="1057">
        <v>0.6</v>
      </c>
      <c r="F42" s="473">
        <f>E42/$E$45</f>
        <v>0.24</v>
      </c>
      <c r="G42" s="474">
        <f>C42*$C$48</f>
        <v>492.97012830527638</v>
      </c>
      <c r="H42" s="820">
        <f>SUM(Inputs!C182:C183)</f>
        <v>421</v>
      </c>
      <c r="I42" s="821">
        <f>Inputs!$C$189</f>
        <v>0.33339999999999997</v>
      </c>
      <c r="J42" s="475">
        <f t="shared" si="3"/>
        <v>69193.977367108208</v>
      </c>
      <c r="K42" s="795">
        <f>J42*'Emission Factors'!$D$137</f>
        <v>9548.7688766609335</v>
      </c>
      <c r="L42" s="726">
        <f>K42*'Emission Factors'!$E$12</f>
        <v>2.8646306629982802E-2</v>
      </c>
      <c r="M42" s="727">
        <f>K42*'Emission Factors'!$D$12</f>
        <v>706.22694611784266</v>
      </c>
      <c r="N42" s="320">
        <f>K42*'Emission Factors'!$F$12</f>
        <v>5.7292613259965599E-3</v>
      </c>
    </row>
    <row r="43" spans="2:14" s="13" customFormat="1">
      <c r="B43" s="480" t="s">
        <v>1104</v>
      </c>
      <c r="C43" s="1059">
        <v>228</v>
      </c>
      <c r="D43" s="1060">
        <f>21.1/118.2</f>
        <v>0.17851099830795264</v>
      </c>
      <c r="E43" s="1057">
        <v>0.5</v>
      </c>
      <c r="F43" s="473">
        <f>E43/$E$45</f>
        <v>0.2</v>
      </c>
      <c r="G43" s="474">
        <f>C43*$C$48</f>
        <v>345.83750539570161</v>
      </c>
      <c r="H43" s="820">
        <f>SUM(Inputs!C184:C186)</f>
        <v>83</v>
      </c>
      <c r="I43" s="821">
        <f>Inputs!$C$189</f>
        <v>0.33339999999999997</v>
      </c>
      <c r="J43" s="475">
        <f t="shared" si="3"/>
        <v>9570.0846168109347</v>
      </c>
      <c r="K43" s="795">
        <f>J43*'Emission Factors'!$D$137</f>
        <v>1320.6716771199092</v>
      </c>
      <c r="L43" s="726">
        <f>K43*'Emission Factors'!$E$12</f>
        <v>3.9620150313597275E-3</v>
      </c>
      <c r="M43" s="727">
        <f>K43*'Emission Factors'!$D$12</f>
        <v>97.676877239788482</v>
      </c>
      <c r="N43" s="320">
        <f>K43*'Emission Factors'!$F$12</f>
        <v>7.9240300627194543E-4</v>
      </c>
    </row>
    <row r="44" spans="2:14" s="13" customFormat="1">
      <c r="B44" s="505" t="s">
        <v>1105</v>
      </c>
      <c r="C44" s="1061">
        <v>262</v>
      </c>
      <c r="D44" s="1062">
        <f>6.8/118.2</f>
        <v>5.7529610829103212E-2</v>
      </c>
      <c r="E44" s="1058">
        <f>F44*E45</f>
        <v>0.10000000000000009</v>
      </c>
      <c r="F44" s="485">
        <f>F45-SUM(F40:F43)</f>
        <v>4.0000000000000036E-2</v>
      </c>
      <c r="G44" s="486">
        <f>C44*$C$48</f>
        <v>397.40976497225358</v>
      </c>
      <c r="H44" s="822">
        <f>Inputs!C187</f>
        <v>0</v>
      </c>
      <c r="I44" s="821">
        <f>Inputs!$C$189</f>
        <v>0.33339999999999997</v>
      </c>
      <c r="J44" s="487">
        <f t="shared" si="3"/>
        <v>0</v>
      </c>
      <c r="K44" s="823">
        <f>J44*'Emission Factors'!$D$137</f>
        <v>0</v>
      </c>
      <c r="L44" s="824">
        <f>K44*'Emission Factors'!$E$12</f>
        <v>0</v>
      </c>
      <c r="M44" s="825">
        <f>K44*'Emission Factors'!$D$12</f>
        <v>0</v>
      </c>
      <c r="N44" s="826">
        <f>K44*'Emission Factors'!$F$12</f>
        <v>0</v>
      </c>
    </row>
    <row r="45" spans="2:14" s="13" customFormat="1" ht="13.5" thickBot="1">
      <c r="B45" s="148" t="s">
        <v>1106</v>
      </c>
      <c r="C45" s="1708"/>
      <c r="D45" s="1708"/>
      <c r="E45" s="1724">
        <v>2.5</v>
      </c>
      <c r="F45" s="1725">
        <f>E45/$E$45</f>
        <v>1</v>
      </c>
      <c r="G45" s="1726"/>
      <c r="H45" s="1726"/>
      <c r="I45" s="1726"/>
      <c r="J45" s="1727">
        <f>SUM(J40:J44)</f>
        <v>1000042.8961994501</v>
      </c>
      <c r="K45" s="488">
        <f>SUM(K40:K44)</f>
        <v>138005.91967552414</v>
      </c>
      <c r="L45" s="1728">
        <f>SUM(L40:L44)</f>
        <v>0.41401775902657245</v>
      </c>
      <c r="M45" s="1729">
        <f>SUM(M40:M44)</f>
        <v>10206.917819201764</v>
      </c>
      <c r="N45" s="1730">
        <f t="shared" ref="N45" si="4">SUM(N40:N44)</f>
        <v>8.2803551805314485E-2</v>
      </c>
    </row>
    <row r="46" spans="2:14" s="13" customFormat="1" ht="47.25" customHeight="1">
      <c r="B46" s="506" t="s">
        <v>1107</v>
      </c>
      <c r="C46" s="507">
        <f>SUMPRODUCT(C40:C44,F40:F44)</f>
        <v>429.18422000000004</v>
      </c>
      <c r="D46" s="459"/>
      <c r="E46" s="471"/>
      <c r="F46" s="460"/>
      <c r="G46" s="461"/>
      <c r="H46" s="462"/>
      <c r="I46" s="463"/>
      <c r="J46" s="1585"/>
      <c r="K46" s="45"/>
      <c r="L46" s="45"/>
      <c r="M46" s="45"/>
      <c r="N46" s="45"/>
    </row>
    <row r="47" spans="2:14" s="13" customFormat="1" ht="38.25">
      <c r="B47" s="469" t="s">
        <v>1108</v>
      </c>
      <c r="C47" s="1063">
        <v>651</v>
      </c>
      <c r="D47" s="459"/>
      <c r="E47" s="471"/>
      <c r="F47" s="460"/>
      <c r="G47" s="461"/>
      <c r="H47" s="462"/>
      <c r="I47" s="463"/>
      <c r="J47" s="1586"/>
      <c r="K47" s="45"/>
      <c r="L47" s="45"/>
      <c r="M47" s="45"/>
      <c r="N47" s="45"/>
    </row>
    <row r="48" spans="2:14" s="13" customFormat="1" ht="13.5" thickBot="1">
      <c r="B48" s="470" t="s">
        <v>1109</v>
      </c>
      <c r="C48" s="1731">
        <f>C47/C46</f>
        <v>1.5168311640162351</v>
      </c>
      <c r="D48" s="459"/>
      <c r="E48" s="472"/>
      <c r="F48" s="460"/>
      <c r="G48" s="461"/>
      <c r="H48" s="45"/>
      <c r="I48" s="463"/>
      <c r="J48" s="1585"/>
      <c r="K48" s="45"/>
      <c r="L48" s="45"/>
      <c r="M48" s="45"/>
      <c r="N48" s="45"/>
    </row>
    <row r="49" spans="2:15" s="13" customFormat="1" ht="44.25" customHeight="1">
      <c r="B49" s="1959" t="s">
        <v>1110</v>
      </c>
      <c r="C49" s="2207"/>
      <c r="D49" s="2207"/>
      <c r="E49" s="2207"/>
      <c r="F49" s="465" t="s">
        <v>1111</v>
      </c>
      <c r="G49" s="466"/>
      <c r="H49" s="462"/>
      <c r="I49" s="464"/>
      <c r="J49" s="1585"/>
      <c r="K49" s="45"/>
      <c r="L49" s="45"/>
      <c r="M49" s="45"/>
      <c r="N49" s="45"/>
      <c r="O49" s="45"/>
    </row>
    <row r="50" spans="2:15" s="13" customFormat="1" ht="28.5" customHeight="1">
      <c r="B50" s="2208" t="s">
        <v>1112</v>
      </c>
      <c r="C50" s="2209"/>
      <c r="D50" s="2209"/>
      <c r="E50" s="2209"/>
      <c r="F50" s="467" t="s">
        <v>1113</v>
      </c>
      <c r="G50" s="466"/>
      <c r="H50" s="458"/>
      <c r="I50" s="458"/>
      <c r="J50" s="45"/>
      <c r="K50" s="45"/>
      <c r="L50" s="45"/>
      <c r="M50" s="45"/>
      <c r="N50" s="45"/>
      <c r="O50" s="45"/>
    </row>
    <row r="51" spans="2:15" s="13" customFormat="1" ht="30" customHeight="1">
      <c r="B51" s="2210" t="s">
        <v>1114</v>
      </c>
      <c r="C51" s="2211"/>
      <c r="D51" s="2211"/>
      <c r="E51" s="2211"/>
      <c r="F51" s="468" t="s">
        <v>1115</v>
      </c>
      <c r="G51" s="466"/>
      <c r="H51" s="458"/>
      <c r="I51" s="458"/>
      <c r="J51" s="45"/>
      <c r="K51" s="45"/>
      <c r="L51" s="45"/>
      <c r="M51" s="45"/>
      <c r="N51" s="45"/>
      <c r="O51" s="45"/>
    </row>
    <row r="52" spans="2:15" s="13" customFormat="1" ht="29.25" customHeight="1">
      <c r="B52" s="2210" t="s">
        <v>1116</v>
      </c>
      <c r="C52" s="2211"/>
      <c r="D52" s="2211"/>
      <c r="E52" s="2211"/>
      <c r="F52" s="468" t="s">
        <v>1117</v>
      </c>
      <c r="G52" s="466"/>
      <c r="H52" s="458"/>
      <c r="I52" s="458"/>
      <c r="J52" s="45"/>
      <c r="K52" s="45"/>
      <c r="L52" s="45"/>
      <c r="M52" s="45"/>
      <c r="N52" s="45"/>
      <c r="O52" s="45"/>
    </row>
    <row r="53" spans="2:15" s="13" customFormat="1" ht="33" customHeight="1" thickBot="1">
      <c r="B53" s="2213" t="s">
        <v>1118</v>
      </c>
      <c r="C53" s="2214"/>
      <c r="D53" s="2214"/>
      <c r="E53" s="2214"/>
      <c r="F53" s="1732" t="s">
        <v>1117</v>
      </c>
      <c r="G53" s="461"/>
      <c r="H53" s="458"/>
      <c r="I53" s="458"/>
      <c r="J53" s="45"/>
      <c r="K53" s="45"/>
      <c r="L53" s="45"/>
      <c r="M53" s="45"/>
      <c r="N53" s="45"/>
      <c r="O53" s="45"/>
    </row>
    <row r="54" spans="2:15" s="13" customFormat="1" ht="13.5" thickBot="1">
      <c r="B54" s="458"/>
      <c r="C54" s="458"/>
      <c r="D54" s="458"/>
      <c r="E54" s="45"/>
      <c r="F54" s="458"/>
      <c r="G54" s="458"/>
      <c r="H54" s="458"/>
      <c r="I54" s="458"/>
      <c r="J54" s="45"/>
      <c r="K54" s="45"/>
      <c r="L54" s="45"/>
      <c r="M54" s="45"/>
      <c r="N54" s="45"/>
      <c r="O54" s="45"/>
    </row>
    <row r="55" spans="2:15" s="13" customFormat="1" ht="15.75" thickBot="1">
      <c r="B55" s="1905" t="s">
        <v>1119</v>
      </c>
      <c r="C55" s="2114"/>
      <c r="D55" s="2114"/>
      <c r="E55" s="2114"/>
      <c r="F55" s="2114"/>
      <c r="G55" s="2114"/>
      <c r="H55" s="2114"/>
      <c r="I55" s="2114"/>
      <c r="J55" s="2234"/>
      <c r="K55" s="2235"/>
      <c r="L55" s="2235"/>
      <c r="M55" s="2235"/>
      <c r="N55" s="2235"/>
      <c r="O55" s="2236"/>
    </row>
    <row r="56" spans="2:15" s="13" customFormat="1" ht="76.5">
      <c r="B56" s="115" t="s">
        <v>1120</v>
      </c>
      <c r="C56" s="75" t="s">
        <v>1121</v>
      </c>
      <c r="D56" s="75" t="s">
        <v>1122</v>
      </c>
      <c r="E56" s="75" t="s">
        <v>1123</v>
      </c>
      <c r="F56" s="75" t="s">
        <v>1124</v>
      </c>
      <c r="G56" s="75" t="s">
        <v>1125</v>
      </c>
      <c r="H56" s="75" t="s">
        <v>1126</v>
      </c>
      <c r="I56" s="75" t="s">
        <v>1127</v>
      </c>
      <c r="J56" s="75" t="s">
        <v>1128</v>
      </c>
      <c r="K56" s="1884" t="s">
        <v>1100</v>
      </c>
      <c r="L56" s="75" t="s">
        <v>1085</v>
      </c>
      <c r="M56" s="158" t="s">
        <v>1086</v>
      </c>
      <c r="N56" s="158" t="s">
        <v>1087</v>
      </c>
      <c r="O56" s="1884" t="s">
        <v>1088</v>
      </c>
    </row>
    <row r="57" spans="2:15" s="13" customFormat="1">
      <c r="B57" s="476" t="s">
        <v>1129</v>
      </c>
      <c r="C57" s="496">
        <f>SUMIF($C$108:$C$206,"Education",$F$108:$F$206)</f>
        <v>0</v>
      </c>
      <c r="D57" s="496">
        <f>SUMIF($C$108:$C$206,"Education",$E$108:$E$206)</f>
        <v>0</v>
      </c>
      <c r="E57" s="477" t="str">
        <f>IFERROR(C57/D57,"N/A")</f>
        <v>N/A</v>
      </c>
      <c r="F57" s="281">
        <v>6763</v>
      </c>
      <c r="G57" s="1064">
        <v>124</v>
      </c>
      <c r="H57" s="478"/>
      <c r="I57" s="479"/>
      <c r="J57" s="1066">
        <f t="shared" ref="J57:J62" si="5">115/287</f>
        <v>0.40069686411149824</v>
      </c>
      <c r="K57" s="475">
        <f>(C57*G57*J57)</f>
        <v>0</v>
      </c>
      <c r="L57" s="725">
        <f>K57*'Emission Factors'!$D$137</f>
        <v>0</v>
      </c>
      <c r="M57" s="726">
        <f>L57*'Emission Factors'!$E$12</f>
        <v>0</v>
      </c>
      <c r="N57" s="727">
        <f>L57*'Emission Factors'!$D$12</f>
        <v>0</v>
      </c>
      <c r="O57" s="320">
        <f>L57*'Emission Factors'!$F$12</f>
        <v>0</v>
      </c>
    </row>
    <row r="58" spans="2:15" s="13" customFormat="1">
      <c r="B58" s="476" t="s">
        <v>1130</v>
      </c>
      <c r="C58" s="496">
        <f>SUMIF($C$108:$C$206,"Food Sales",$F$108:$F$206)</f>
        <v>313</v>
      </c>
      <c r="D58" s="496">
        <f>SUMIF($C$108:$C$206,"Food Sales",$E$108:$E$206)</f>
        <v>20</v>
      </c>
      <c r="E58" s="477">
        <f t="shared" ref="E58:E71" si="6">IFERROR(C58/D58,"N/A")</f>
        <v>15.65</v>
      </c>
      <c r="F58" s="281">
        <f>$F$65+($F$65*I58)</f>
        <v>2099.1835853131752</v>
      </c>
      <c r="G58" s="281">
        <f>F58/E58</f>
        <v>134.13313644173644</v>
      </c>
      <c r="H58" s="281">
        <v>634</v>
      </c>
      <c r="I58" s="473">
        <f>(H58-$H$65)/$H$65</f>
        <v>0.36933045356371491</v>
      </c>
      <c r="J58" s="1066">
        <f t="shared" si="5"/>
        <v>0.40069686411149824</v>
      </c>
      <c r="K58" s="475">
        <f>(C58*G58*J58)</f>
        <v>16822.725596586421</v>
      </c>
      <c r="L58" s="725">
        <f>K58*'Emission Factors'!$D$137</f>
        <v>2321.5361323289262</v>
      </c>
      <c r="M58" s="726">
        <f>L58*'Emission Factors'!$E$12</f>
        <v>6.9646083969867791E-3</v>
      </c>
      <c r="N58" s="727">
        <f>L58*'Emission Factors'!$D$12</f>
        <v>171.70081234704739</v>
      </c>
      <c r="O58" s="320">
        <f>L58*'Emission Factors'!$F$12</f>
        <v>1.3929216793973557E-3</v>
      </c>
    </row>
    <row r="59" spans="2:15" s="13" customFormat="1">
      <c r="B59" s="476" t="s">
        <v>1131</v>
      </c>
      <c r="C59" s="496">
        <f>SUMIF($C$108:$C$206,"Food Service",$F$108:$F$206)</f>
        <v>1301</v>
      </c>
      <c r="D59" s="496">
        <f>SUMIF($C$108:$C$206,"Food Service",$E$108:$E$206)</f>
        <v>100</v>
      </c>
      <c r="E59" s="477">
        <f t="shared" si="6"/>
        <v>13.01</v>
      </c>
      <c r="F59" s="281">
        <f>$F$65+($F$65*I59)</f>
        <v>2592.5248380129588</v>
      </c>
      <c r="G59" s="281">
        <f>F59/E59</f>
        <v>199.27170161513902</v>
      </c>
      <c r="H59" s="281">
        <v>783</v>
      </c>
      <c r="I59" s="473">
        <f>(H59-$H$65)/$H$65</f>
        <v>0.69114470842332609</v>
      </c>
      <c r="J59" s="1066">
        <f t="shared" si="5"/>
        <v>0.40069686411149824</v>
      </c>
      <c r="K59" s="475">
        <f>(C59*G59*J59)</f>
        <v>103881.65727229624</v>
      </c>
      <c r="L59" s="725">
        <f>K59*'Emission Factors'!$D$137</f>
        <v>14335.668703576883</v>
      </c>
      <c r="M59" s="726">
        <f>L59*'Emission Factors'!$E$12</f>
        <v>4.3007006110730647E-2</v>
      </c>
      <c r="N59" s="727">
        <f>L59*'Emission Factors'!$D$12</f>
        <v>1060.2660573165463</v>
      </c>
      <c r="O59" s="320">
        <f>L59*'Emission Factors'!$F$12</f>
        <v>8.6014012221461295E-3</v>
      </c>
    </row>
    <row r="60" spans="2:15" s="13" customFormat="1">
      <c r="B60" s="476" t="s">
        <v>1132</v>
      </c>
      <c r="C60" s="496">
        <f>SUMIF($C$108:$C$206,"Inpatient Health Care",$F$108:$F$206)</f>
        <v>0</v>
      </c>
      <c r="D60" s="496">
        <f>SUMIF($C$108:$C$206,"Inpatient Health Care",$E$108:$E$206)</f>
        <v>0</v>
      </c>
      <c r="E60" s="477" t="str">
        <f t="shared" si="6"/>
        <v>N/A</v>
      </c>
      <c r="F60" s="281">
        <v>13711</v>
      </c>
      <c r="G60" s="1064">
        <v>29</v>
      </c>
      <c r="H60" s="478"/>
      <c r="I60" s="479"/>
      <c r="J60" s="1066">
        <f t="shared" si="5"/>
        <v>0.40069686411149824</v>
      </c>
      <c r="K60" s="475">
        <f t="shared" ref="K60:K71" si="7">(C60*G60*J60)</f>
        <v>0</v>
      </c>
      <c r="L60" s="725">
        <f>K60*'Emission Factors'!$D$137</f>
        <v>0</v>
      </c>
      <c r="M60" s="726">
        <f>L60*'Emission Factors'!$E$12</f>
        <v>0</v>
      </c>
      <c r="N60" s="727">
        <f>L60*'Emission Factors'!$D$12</f>
        <v>0</v>
      </c>
      <c r="O60" s="320">
        <f>L60*'Emission Factors'!$F$12</f>
        <v>0</v>
      </c>
    </row>
    <row r="61" spans="2:15" s="13" customFormat="1">
      <c r="B61" s="476" t="s">
        <v>1133</v>
      </c>
      <c r="C61" s="496">
        <f>SUMIF($C$108:$C$206,"Outpatient Health Care",$F$108:$F$206)</f>
        <v>144</v>
      </c>
      <c r="D61" s="496">
        <f>SUMIF($C$108:$C$206,"Outpatient Health Care",$E$108:$E$206)</f>
        <v>18</v>
      </c>
      <c r="E61" s="477">
        <f t="shared" si="6"/>
        <v>8</v>
      </c>
      <c r="F61" s="281">
        <f>$F$65+($F$65*I61)</f>
        <v>1701.8617710583153</v>
      </c>
      <c r="G61" s="281">
        <f>F61/E61</f>
        <v>212.73272138228941</v>
      </c>
      <c r="H61" s="281">
        <v>514</v>
      </c>
      <c r="I61" s="473">
        <f>(H61-$H$65)/$H$65</f>
        <v>0.1101511879049676</v>
      </c>
      <c r="J61" s="1066">
        <f t="shared" si="5"/>
        <v>0.40069686411149824</v>
      </c>
      <c r="K61" s="475">
        <f>(C61*G61*J61)</f>
        <v>12274.752146657534</v>
      </c>
      <c r="L61" s="725">
        <f>K61*'Emission Factors'!$D$137</f>
        <v>1693.9157962387399</v>
      </c>
      <c r="M61" s="726">
        <f>L61*'Emission Factors'!$E$12</f>
        <v>5.08174738871622E-3</v>
      </c>
      <c r="N61" s="727">
        <f>L61*'Emission Factors'!$D$12</f>
        <v>125.2820122898172</v>
      </c>
      <c r="O61" s="320">
        <f>L61*'Emission Factors'!$F$12</f>
        <v>1.0163494777432438E-3</v>
      </c>
    </row>
    <row r="62" spans="2:15" s="13" customFormat="1">
      <c r="B62" s="476" t="s">
        <v>1134</v>
      </c>
      <c r="C62" s="496">
        <f>SUMIF($C$108:$C$206,"Lodging",$F$108:$F$206)</f>
        <v>317</v>
      </c>
      <c r="D62" s="496">
        <f>SUMIF($C$108:$C$206,"Lodging",$E$108:$E$206)</f>
        <v>29</v>
      </c>
      <c r="E62" s="477">
        <f t="shared" si="6"/>
        <v>10.931034482758621</v>
      </c>
      <c r="F62" s="281">
        <v>2206</v>
      </c>
      <c r="G62" s="1064">
        <v>50</v>
      </c>
      <c r="H62" s="478"/>
      <c r="I62" s="479"/>
      <c r="J62" s="1066">
        <f t="shared" si="5"/>
        <v>0.40069686411149824</v>
      </c>
      <c r="K62" s="475">
        <f t="shared" si="7"/>
        <v>6351.0452961672472</v>
      </c>
      <c r="L62" s="725">
        <f>K62*'Emission Factors'!$D$137</f>
        <v>876.44425087108016</v>
      </c>
      <c r="M62" s="726">
        <f>L62*'Emission Factors'!$E$12</f>
        <v>2.6293327526132407E-3</v>
      </c>
      <c r="N62" s="727">
        <f>L62*'Emission Factors'!$D$12</f>
        <v>64.821816794425089</v>
      </c>
      <c r="O62" s="320">
        <f>L62*'Emission Factors'!$F$12</f>
        <v>5.2586655052264803E-4</v>
      </c>
    </row>
    <row r="63" spans="2:15" s="13" customFormat="1">
      <c r="B63" s="476" t="s">
        <v>1135</v>
      </c>
      <c r="C63" s="496">
        <f>SUMIF($C$108:$C$206,"Retail (non-mall)",$F$108:$F$206)</f>
        <v>511</v>
      </c>
      <c r="D63" s="496">
        <f>SUMIF($C$108:$C$206,"Retail (non-mall)",$E$108:$E$206)</f>
        <v>75</v>
      </c>
      <c r="E63" s="477">
        <f t="shared" si="6"/>
        <v>6.8133333333333335</v>
      </c>
      <c r="F63" s="281">
        <v>1434</v>
      </c>
      <c r="G63" s="281">
        <f>F63/E63</f>
        <v>210.46966731898237</v>
      </c>
      <c r="H63" s="281">
        <v>312</v>
      </c>
      <c r="I63" s="473">
        <f>(H63-$H$65)/$H$65</f>
        <v>-0.326133909287257</v>
      </c>
      <c r="J63" s="1066">
        <f t="shared" ref="J63:J71" si="8">115/287</f>
        <v>0.40069686411149824</v>
      </c>
      <c r="K63" s="475">
        <f t="shared" si="7"/>
        <v>43094.947735191636</v>
      </c>
      <c r="L63" s="725">
        <f>K63*'Emission Factors'!$D$137</f>
        <v>5947.1027874564461</v>
      </c>
      <c r="M63" s="726">
        <f>L63*'Emission Factors'!$E$12</f>
        <v>1.784130836236934E-2</v>
      </c>
      <c r="N63" s="727">
        <f>L63*'Emission Factors'!$D$12</f>
        <v>439.84772216027875</v>
      </c>
      <c r="O63" s="320">
        <f>L63*'Emission Factors'!$F$12</f>
        <v>3.5682616724738675E-3</v>
      </c>
    </row>
    <row r="64" spans="2:15" s="13" customFormat="1">
      <c r="B64" s="476" t="s">
        <v>1136</v>
      </c>
      <c r="C64" s="496">
        <f>SUMIF($C$108:$C$206,"Retail (mall)",$F$108:$F$206)</f>
        <v>253</v>
      </c>
      <c r="D64" s="496">
        <f>SUMIF($C$108:$C$206,"Retail (mall)",$E$108:$E$206)</f>
        <v>65</v>
      </c>
      <c r="E64" s="477">
        <f t="shared" si="6"/>
        <v>3.8923076923076922</v>
      </c>
      <c r="F64" s="281">
        <f>$F$65+($F$65*I64)</f>
        <v>5675.0799136069108</v>
      </c>
      <c r="G64" s="281">
        <f>F64/E64</f>
        <v>1458.0244837330008</v>
      </c>
      <c r="H64" s="281">
        <v>1714</v>
      </c>
      <c r="I64" s="473">
        <f>(H64-$H$65)/$H$65</f>
        <v>2.7019438444924404</v>
      </c>
      <c r="J64" s="1066">
        <f t="shared" si="8"/>
        <v>0.40069686411149824</v>
      </c>
      <c r="K64" s="475">
        <f t="shared" si="7"/>
        <v>147809.1371226887</v>
      </c>
      <c r="L64" s="725">
        <f>K64*'Emission Factors'!$D$137</f>
        <v>20397.660922931042</v>
      </c>
      <c r="M64" s="726">
        <f>L64*'Emission Factors'!$E$12</f>
        <v>6.1192982768793126E-2</v>
      </c>
      <c r="N64" s="727">
        <f>L64*'Emission Factors'!$D$12</f>
        <v>1508.6110018599798</v>
      </c>
      <c r="O64" s="320">
        <f>L64*'Emission Factors'!$F$12</f>
        <v>1.2238596553758625E-2</v>
      </c>
    </row>
    <row r="65" spans="2:15" s="13" customFormat="1">
      <c r="B65" s="476" t="s">
        <v>1137</v>
      </c>
      <c r="C65" s="496">
        <f>SUMIF($C$108:$C$206,"Office",$F$108:$F$206)</f>
        <v>1223</v>
      </c>
      <c r="D65" s="496">
        <f>SUMIF($C$108:$C$206,"Office",$E$108:$E$206)</f>
        <v>303</v>
      </c>
      <c r="E65" s="477">
        <f t="shared" si="6"/>
        <v>4.0363036303630366</v>
      </c>
      <c r="F65" s="281">
        <v>1533</v>
      </c>
      <c r="G65" s="1064">
        <v>11</v>
      </c>
      <c r="H65" s="1064">
        <v>463</v>
      </c>
      <c r="I65" s="479"/>
      <c r="J65" s="1066">
        <f t="shared" si="8"/>
        <v>0.40069686411149824</v>
      </c>
      <c r="K65" s="475">
        <f t="shared" si="7"/>
        <v>5390.5749128919861</v>
      </c>
      <c r="L65" s="725">
        <f>K65*'Emission Factors'!$D$137</f>
        <v>743.89933797909418</v>
      </c>
      <c r="M65" s="726">
        <f>L65*'Emission Factors'!$E$12</f>
        <v>2.2316980139372826E-3</v>
      </c>
      <c r="N65" s="727">
        <f>L65*'Emission Factors'!$D$12</f>
        <v>55.018795036933803</v>
      </c>
      <c r="O65" s="320">
        <f>L65*'Emission Factors'!$F$12</f>
        <v>4.4633960278745648E-4</v>
      </c>
    </row>
    <row r="66" spans="2:15" s="13" customFormat="1">
      <c r="B66" s="476" t="s">
        <v>1138</v>
      </c>
      <c r="C66" s="496">
        <f>SUMIF($C$108:$C$206,"Public Assembly",$F$108:$F$206)</f>
        <v>583</v>
      </c>
      <c r="D66" s="496">
        <f>SUMIF($C$108:$C$206,"Public Assembly",$E$108:$E$206)</f>
        <v>37</v>
      </c>
      <c r="E66" s="477">
        <f t="shared" si="6"/>
        <v>15.756756756756756</v>
      </c>
      <c r="F66" s="281">
        <v>1758</v>
      </c>
      <c r="G66" s="1064">
        <v>50</v>
      </c>
      <c r="H66" s="478"/>
      <c r="I66" s="479"/>
      <c r="J66" s="1066">
        <f t="shared" si="8"/>
        <v>0.40069686411149824</v>
      </c>
      <c r="K66" s="475">
        <f t="shared" si="7"/>
        <v>11680.313588850173</v>
      </c>
      <c r="L66" s="725">
        <f>K66*'Emission Factors'!$D$137</f>
        <v>1611.8832752613239</v>
      </c>
      <c r="M66" s="726">
        <f>L66*'Emission Factors'!$E$12</f>
        <v>4.8356498257839716E-3</v>
      </c>
      <c r="N66" s="727">
        <f>L66*'Emission Factors'!$D$12</f>
        <v>119.21488703832752</v>
      </c>
      <c r="O66" s="320">
        <f>L66*'Emission Factors'!$F$12</f>
        <v>9.6712996515679428E-4</v>
      </c>
    </row>
    <row r="67" spans="2:15" s="13" customFormat="1">
      <c r="B67" s="480" t="s">
        <v>1139</v>
      </c>
      <c r="C67" s="496">
        <f>SUMIF($C$108:$C$206,"Public Order/ Safety",$F$108:$F$206)</f>
        <v>0</v>
      </c>
      <c r="D67" s="496">
        <f>SUMIF($C$108:$C$206,"Public Order/ Safety",$E$108:$E$206)</f>
        <v>0</v>
      </c>
      <c r="E67" s="477" t="str">
        <f t="shared" si="6"/>
        <v>N/A</v>
      </c>
      <c r="F67" s="281">
        <v>497</v>
      </c>
      <c r="G67" s="1064">
        <v>14</v>
      </c>
      <c r="H67" s="478"/>
      <c r="I67" s="479"/>
      <c r="J67" s="1066">
        <f t="shared" si="8"/>
        <v>0.40069686411149824</v>
      </c>
      <c r="K67" s="475">
        <f t="shared" si="7"/>
        <v>0</v>
      </c>
      <c r="L67" s="725">
        <f>K67*'Emission Factors'!$D$137</f>
        <v>0</v>
      </c>
      <c r="M67" s="726">
        <f>L67*'Emission Factors'!$E$12</f>
        <v>0</v>
      </c>
      <c r="N67" s="727">
        <f>L67*'Emission Factors'!$D$12</f>
        <v>0</v>
      </c>
      <c r="O67" s="320">
        <f>L67*'Emission Factors'!$F$12</f>
        <v>0</v>
      </c>
    </row>
    <row r="68" spans="2:15" s="13" customFormat="1">
      <c r="B68" s="480" t="s">
        <v>1140</v>
      </c>
      <c r="C68" s="496">
        <f>SUMIF($C$108:$C$206,"Religious Worship",$F$108:$F$206)</f>
        <v>94</v>
      </c>
      <c r="D68" s="496">
        <f>SUMIF($C$108:$C$206,"Religious Worship",$E$108:$E$206)</f>
        <v>18</v>
      </c>
      <c r="E68" s="477">
        <f t="shared" si="6"/>
        <v>5.2222222222222223</v>
      </c>
      <c r="F68" s="281">
        <v>1656</v>
      </c>
      <c r="G68" s="1064">
        <v>238</v>
      </c>
      <c r="H68" s="478"/>
      <c r="I68" s="479"/>
      <c r="J68" s="1066">
        <f t="shared" si="8"/>
        <v>0.40069686411149824</v>
      </c>
      <c r="K68" s="475">
        <f t="shared" si="7"/>
        <v>8964.3902439024387</v>
      </c>
      <c r="L68" s="725">
        <f>K68*'Emission Factors'!$D$137</f>
        <v>1237.0858536585367</v>
      </c>
      <c r="M68" s="726">
        <f>L68*'Emission Factors'!$E$12</f>
        <v>3.7112575609756105E-3</v>
      </c>
      <c r="N68" s="727">
        <f>L68*'Emission Factors'!$D$12</f>
        <v>91.494869736585372</v>
      </c>
      <c r="O68" s="320">
        <f>L68*'Emission Factors'!$F$12</f>
        <v>7.4225151219512201E-4</v>
      </c>
    </row>
    <row r="69" spans="2:15" s="13" customFormat="1">
      <c r="B69" s="480" t="s">
        <v>1141</v>
      </c>
      <c r="C69" s="496">
        <f>SUMIF($C$108:$C$206,"Service",$F$108:$F$206)</f>
        <v>281</v>
      </c>
      <c r="D69" s="496">
        <f>SUMIF($C$108:$C$206,"Service",$E$108:$E$206)</f>
        <v>45</v>
      </c>
      <c r="E69" s="477">
        <f t="shared" si="6"/>
        <v>6.2444444444444445</v>
      </c>
      <c r="F69" s="281">
        <v>1385</v>
      </c>
      <c r="G69" s="1064">
        <v>220</v>
      </c>
      <c r="H69" s="478"/>
      <c r="I69" s="479"/>
      <c r="J69" s="1066">
        <f t="shared" si="8"/>
        <v>0.40069686411149824</v>
      </c>
      <c r="K69" s="475">
        <f t="shared" si="7"/>
        <v>24771.080139372822</v>
      </c>
      <c r="L69" s="725">
        <f>K69*'Emission Factors'!$D$137</f>
        <v>3418.4090592334496</v>
      </c>
      <c r="M69" s="726">
        <f>L69*'Emission Factors'!$E$12</f>
        <v>1.025522717770035E-2</v>
      </c>
      <c r="N69" s="727">
        <f>L69*'Emission Factors'!$D$12</f>
        <v>252.82553402090593</v>
      </c>
      <c r="O69" s="320">
        <f>L69*'Emission Factors'!$F$12</f>
        <v>2.0510454355400698E-3</v>
      </c>
    </row>
    <row r="70" spans="2:15" s="13" customFormat="1">
      <c r="B70" s="480" t="s">
        <v>1142</v>
      </c>
      <c r="C70" s="496">
        <f>SUMIF($C$108:$C$206,"Warehouse/ Storage",$F$108:$F$206)</f>
        <v>28</v>
      </c>
      <c r="D70" s="496">
        <f>SUMIF($C$108:$C$206,"Warehouse/ Storage",$E$108:$E$206)</f>
        <v>6</v>
      </c>
      <c r="E70" s="477">
        <f t="shared" si="6"/>
        <v>4.666666666666667</v>
      </c>
      <c r="F70" s="281">
        <v>1474</v>
      </c>
      <c r="G70" s="1064">
        <v>51</v>
      </c>
      <c r="H70" s="478"/>
      <c r="I70" s="479"/>
      <c r="J70" s="1066">
        <f t="shared" si="8"/>
        <v>0.40069686411149824</v>
      </c>
      <c r="K70" s="475">
        <f t="shared" si="7"/>
        <v>572.19512195121945</v>
      </c>
      <c r="L70" s="725">
        <f>K70*'Emission Factors'!$D$137</f>
        <v>78.962926829268284</v>
      </c>
      <c r="M70" s="726">
        <f>L70*'Emission Factors'!$E$12</f>
        <v>2.3688878048780485E-4</v>
      </c>
      <c r="N70" s="727">
        <f>L70*'Emission Factors'!$D$12</f>
        <v>5.840098068292682</v>
      </c>
      <c r="O70" s="320">
        <f>L70*'Emission Factors'!$F$12</f>
        <v>4.7377756097560969E-5</v>
      </c>
    </row>
    <row r="71" spans="2:15" s="13" customFormat="1" ht="13.5" thickBot="1">
      <c r="B71" s="481" t="s">
        <v>1143</v>
      </c>
      <c r="C71" s="496">
        <f>SUMIF($C$108:$C$206,"Other",$F$108:$F$206)</f>
        <v>50</v>
      </c>
      <c r="D71" s="496">
        <f>SUMIF($C$108:$C$206,"Other",$E$108:$E$206)</f>
        <v>5</v>
      </c>
      <c r="E71" s="477">
        <f t="shared" si="6"/>
        <v>10</v>
      </c>
      <c r="F71" s="285">
        <v>2545</v>
      </c>
      <c r="G71" s="1065">
        <v>110</v>
      </c>
      <c r="H71" s="482"/>
      <c r="I71" s="483"/>
      <c r="J71" s="1067">
        <f t="shared" si="8"/>
        <v>0.40069686411149824</v>
      </c>
      <c r="K71" s="475">
        <f t="shared" si="7"/>
        <v>2203.8327526132402</v>
      </c>
      <c r="L71" s="728">
        <f>K71*'Emission Factors'!$D$137</f>
        <v>304.12891986062721</v>
      </c>
      <c r="M71" s="729">
        <f>L71*'Emission Factors'!$E$12</f>
        <v>9.1238675958188161E-4</v>
      </c>
      <c r="N71" s="730">
        <f>L71*'Emission Factors'!$D$12</f>
        <v>22.493374912891987</v>
      </c>
      <c r="O71" s="731">
        <f>L71*'Emission Factors'!$F$12</f>
        <v>1.8247735191637631E-4</v>
      </c>
    </row>
    <row r="72" spans="2:15" s="13" customFormat="1" ht="13.5" thickBot="1">
      <c r="B72" s="148" t="s">
        <v>1144</v>
      </c>
      <c r="C72" s="489"/>
      <c r="D72" s="489"/>
      <c r="E72" s="490"/>
      <c r="F72" s="489"/>
      <c r="G72" s="490"/>
      <c r="H72" s="490"/>
      <c r="I72" s="490"/>
      <c r="J72" s="490"/>
      <c r="K72" s="491">
        <f>SUMIF(K57:K71,"&lt;&gt;#VALUE!",K57:K71)</f>
        <v>383816.65192916978</v>
      </c>
      <c r="L72" s="1521">
        <f>SUMIF(L57:L71,"&lt;&gt;#VALUE!",L57:L71)</f>
        <v>52966.697966225409</v>
      </c>
      <c r="M72" s="83">
        <f t="shared" ref="M72:O72" si="9">SUMIF(M57:M71,"&lt;&gt;#VALUE!",M57:M71)</f>
        <v>0.15890009389867626</v>
      </c>
      <c r="N72" s="1522">
        <f t="shared" si="9"/>
        <v>3917.416981582031</v>
      </c>
      <c r="O72" s="491">
        <f t="shared" si="9"/>
        <v>3.1780018779735256E-2</v>
      </c>
    </row>
    <row r="73" spans="2:15" s="13" customFormat="1" ht="53.25" customHeight="1">
      <c r="B73" s="2237" t="s">
        <v>1145</v>
      </c>
      <c r="C73" s="2238"/>
      <c r="D73" s="2238"/>
      <c r="E73" s="2238"/>
      <c r="F73" s="484" t="s">
        <v>79</v>
      </c>
      <c r="G73" s="45"/>
      <c r="H73" s="45"/>
      <c r="I73" s="45"/>
      <c r="J73" s="45"/>
      <c r="K73" s="45"/>
      <c r="L73" s="45"/>
      <c r="M73" s="45"/>
      <c r="N73" s="45"/>
      <c r="O73" s="45"/>
    </row>
    <row r="74" spans="2:15" s="13" customFormat="1" ht="69.75" customHeight="1">
      <c r="B74" s="2208" t="s">
        <v>1146</v>
      </c>
      <c r="C74" s="2209"/>
      <c r="D74" s="2209"/>
      <c r="E74" s="2209"/>
      <c r="F74" s="467" t="s">
        <v>1147</v>
      </c>
      <c r="G74" s="1587"/>
      <c r="H74" s="45"/>
      <c r="I74" s="45"/>
      <c r="J74" s="45"/>
      <c r="K74" s="45"/>
      <c r="L74" s="45"/>
      <c r="M74" s="45"/>
      <c r="N74" s="45"/>
      <c r="O74" s="45"/>
    </row>
    <row r="75" spans="2:15" s="13" customFormat="1" ht="31.5" customHeight="1" thickBot="1">
      <c r="B75" s="2213" t="s">
        <v>1148</v>
      </c>
      <c r="C75" s="2214"/>
      <c r="D75" s="2214"/>
      <c r="E75" s="2214"/>
      <c r="F75" s="1732" t="s">
        <v>1149</v>
      </c>
      <c r="G75" s="45"/>
      <c r="H75" s="45"/>
      <c r="I75" s="45"/>
      <c r="J75" s="45"/>
      <c r="K75" s="45"/>
      <c r="L75" s="45"/>
      <c r="M75" s="45"/>
      <c r="N75" s="45"/>
      <c r="O75" s="45"/>
    </row>
    <row r="76" spans="2:15" s="13" customFormat="1" ht="13.5" thickBot="1">
      <c r="B76" s="458"/>
      <c r="C76" s="458"/>
      <c r="D76" s="458"/>
      <c r="E76" s="45"/>
      <c r="F76" s="458"/>
      <c r="G76" s="458"/>
      <c r="H76" s="458"/>
      <c r="I76" s="458"/>
      <c r="J76" s="45"/>
      <c r="K76" s="45"/>
      <c r="L76" s="45"/>
      <c r="M76" s="45"/>
      <c r="N76" s="45"/>
      <c r="O76" s="45"/>
    </row>
    <row r="77" spans="2:15" s="13" customFormat="1" ht="15.75" customHeight="1" thickBot="1">
      <c r="B77" s="1905" t="s">
        <v>1150</v>
      </c>
      <c r="C77" s="1908"/>
      <c r="D77" s="1908"/>
      <c r="E77" s="1908"/>
      <c r="F77" s="1908"/>
      <c r="G77" s="1908"/>
      <c r="H77" s="1908"/>
      <c r="I77" s="1908"/>
      <c r="J77" s="1908"/>
      <c r="K77" s="1908"/>
      <c r="L77" s="1908"/>
      <c r="M77" s="1909"/>
      <c r="N77" s="45"/>
      <c r="O77" s="45"/>
    </row>
    <row r="78" spans="2:15" s="13" customFormat="1" ht="51">
      <c r="B78" s="115" t="s">
        <v>1151</v>
      </c>
      <c r="C78" s="75" t="s">
        <v>1121</v>
      </c>
      <c r="D78" s="75" t="s">
        <v>1152</v>
      </c>
      <c r="E78" s="75" t="s">
        <v>1153</v>
      </c>
      <c r="F78" s="75" t="s">
        <v>1154</v>
      </c>
      <c r="G78" s="75" t="s">
        <v>1155</v>
      </c>
      <c r="H78" s="75" t="s">
        <v>1156</v>
      </c>
      <c r="I78" s="1881" t="s">
        <v>1157</v>
      </c>
      <c r="J78" s="508" t="s">
        <v>1085</v>
      </c>
      <c r="K78" s="158" t="s">
        <v>1086</v>
      </c>
      <c r="L78" s="158" t="s">
        <v>1087</v>
      </c>
      <c r="M78" s="1884" t="s">
        <v>1088</v>
      </c>
      <c r="N78" s="45"/>
      <c r="O78" s="45"/>
    </row>
    <row r="79" spans="2:15" s="13" customFormat="1">
      <c r="B79" s="476" t="s">
        <v>201</v>
      </c>
      <c r="C79" s="496">
        <f>SUMIF($C$108:$C$206,"Food",$F$108:$F$206)</f>
        <v>29</v>
      </c>
      <c r="D79" s="496">
        <f>SUMIF($C$108:$C$206,"Food",$E$108:$E$206)</f>
        <v>5</v>
      </c>
      <c r="E79" s="477">
        <v>494.5</v>
      </c>
      <c r="F79" s="477">
        <v>1113</v>
      </c>
      <c r="G79" s="477">
        <v>20</v>
      </c>
      <c r="H79" s="497">
        <f>G79/F79</f>
        <v>1.7969451931716084E-2</v>
      </c>
      <c r="I79" s="510">
        <f>J79/'Emission Factors'!$D$137</f>
        <v>1867.3255465708294</v>
      </c>
      <c r="J79" s="732">
        <f t="shared" ref="J79:J99" si="10">C79*E79*H79</f>
        <v>257.69092542677447</v>
      </c>
      <c r="K79" s="733">
        <f>$J79*'Emission Factors'!$E$12</f>
        <v>7.7307277628032342E-4</v>
      </c>
      <c r="L79" s="734">
        <f>J79*'Emission Factors'!$D$12</f>
        <v>19.058820844564238</v>
      </c>
      <c r="M79" s="735">
        <f>J79*'Emission Factors'!$F$12</f>
        <v>1.5461455525606467E-4</v>
      </c>
      <c r="N79" s="45"/>
      <c r="O79" s="45"/>
    </row>
    <row r="80" spans="2:15" s="13" customFormat="1">
      <c r="B80" s="476" t="s">
        <v>1158</v>
      </c>
      <c r="C80" s="496">
        <f>SUMIF($C$108:$C$206,"Beverage and Tobacco Products",$F$108:$F$206)</f>
        <v>0</v>
      </c>
      <c r="D80" s="496">
        <f>SUMIF($C$108:$C$206,"Beverage and Tobacco Products",$E$108:$E$206)</f>
        <v>0</v>
      </c>
      <c r="E80" s="477">
        <v>604.79999999999995</v>
      </c>
      <c r="F80" s="477">
        <v>95</v>
      </c>
      <c r="G80" s="477">
        <v>1</v>
      </c>
      <c r="H80" s="497">
        <f t="shared" ref="H80:H99" si="11">G80/F80</f>
        <v>1.0526315789473684E-2</v>
      </c>
      <c r="I80" s="510">
        <f>J80/'Emission Factors'!$D$137</f>
        <v>0</v>
      </c>
      <c r="J80" s="736">
        <f t="shared" si="10"/>
        <v>0</v>
      </c>
      <c r="K80" s="737">
        <f>$J80*'Emission Factors'!$E$12</f>
        <v>0</v>
      </c>
      <c r="L80" s="727">
        <f>J80*'Emission Factors'!$D$12</f>
        <v>0</v>
      </c>
      <c r="M80" s="738">
        <f>J80*'Emission Factors'!$F$12</f>
        <v>0</v>
      </c>
      <c r="N80" s="45"/>
      <c r="O80" s="45"/>
    </row>
    <row r="81" spans="2:13" s="13" customFormat="1">
      <c r="B81" s="476" t="s">
        <v>1159</v>
      </c>
      <c r="C81" s="496">
        <f>SUMIF($C$108:$C$206,"Textile Mills",$F$108:$F$206)</f>
        <v>0</v>
      </c>
      <c r="D81" s="496">
        <f>SUMIF($C$108:$C$206,"Textile Mills",$E$108:$E$206)</f>
        <v>0</v>
      </c>
      <c r="E81" s="477">
        <v>893.8</v>
      </c>
      <c r="F81" s="477">
        <v>97</v>
      </c>
      <c r="G81" s="477">
        <v>0</v>
      </c>
      <c r="H81" s="497">
        <f t="shared" si="11"/>
        <v>0</v>
      </c>
      <c r="I81" s="510">
        <f>J81/'Emission Factors'!$D$137</f>
        <v>0</v>
      </c>
      <c r="J81" s="736">
        <f t="shared" si="10"/>
        <v>0</v>
      </c>
      <c r="K81" s="737">
        <f>$J81*'Emission Factors'!$E$12</f>
        <v>0</v>
      </c>
      <c r="L81" s="727">
        <f>J81*'Emission Factors'!$D$12</f>
        <v>0</v>
      </c>
      <c r="M81" s="738">
        <f>J81*'Emission Factors'!$F$12</f>
        <v>0</v>
      </c>
    </row>
    <row r="82" spans="2:13" s="13" customFormat="1">
      <c r="B82" s="476" t="s">
        <v>1160</v>
      </c>
      <c r="C82" s="496">
        <f>SUMIF($C$108:$C$206,"Textile Product Mills",$F$108:$F$206)</f>
        <v>0</v>
      </c>
      <c r="D82" s="496">
        <f>SUMIF($C$108:$C$206,"Textile Product Mills",$E$108:$E$206)</f>
        <v>0</v>
      </c>
      <c r="E82" s="477">
        <v>230.8</v>
      </c>
      <c r="F82" s="477">
        <v>28</v>
      </c>
      <c r="G82" s="477">
        <v>0</v>
      </c>
      <c r="H82" s="497">
        <f t="shared" si="11"/>
        <v>0</v>
      </c>
      <c r="I82" s="510">
        <f>J82/'Emission Factors'!$D$137</f>
        <v>0</v>
      </c>
      <c r="J82" s="736">
        <f t="shared" si="10"/>
        <v>0</v>
      </c>
      <c r="K82" s="737">
        <f>$J82*'Emission Factors'!$E$12</f>
        <v>0</v>
      </c>
      <c r="L82" s="727">
        <f>J82*'Emission Factors'!$D$12</f>
        <v>0</v>
      </c>
      <c r="M82" s="738">
        <f>J82*'Emission Factors'!$F$12</f>
        <v>0</v>
      </c>
    </row>
    <row r="83" spans="2:13" s="13" customFormat="1">
      <c r="B83" s="476" t="s">
        <v>1161</v>
      </c>
      <c r="C83" s="496">
        <f>SUMIF($C$108:$C$206,"Apparel",$F$108:$F$206)</f>
        <v>0</v>
      </c>
      <c r="D83" s="496">
        <f>SUMIF($C$108:$C$206,"Apparel",$E$108:$E$206)</f>
        <v>0</v>
      </c>
      <c r="E83" s="477">
        <v>38.799999999999997</v>
      </c>
      <c r="F83" s="477">
        <v>5</v>
      </c>
      <c r="G83" s="477">
        <v>0</v>
      </c>
      <c r="H83" s="497">
        <f t="shared" si="11"/>
        <v>0</v>
      </c>
      <c r="I83" s="510">
        <f>J83/'Emission Factors'!$D$137</f>
        <v>0</v>
      </c>
      <c r="J83" s="736">
        <f t="shared" si="10"/>
        <v>0</v>
      </c>
      <c r="K83" s="737">
        <f>$J83*'Emission Factors'!$E$12</f>
        <v>0</v>
      </c>
      <c r="L83" s="727">
        <f>J83*'Emission Factors'!$D$12</f>
        <v>0</v>
      </c>
      <c r="M83" s="738">
        <f>J83*'Emission Factors'!$F$12</f>
        <v>0</v>
      </c>
    </row>
    <row r="84" spans="2:13" s="13" customFormat="1">
      <c r="B84" s="476" t="s">
        <v>1162</v>
      </c>
      <c r="C84" s="496">
        <f>SUMIF($C$108:$C$206,"Leather and Allied Products",$F$108:$F$206)</f>
        <v>0</v>
      </c>
      <c r="D84" s="496">
        <f>SUMIF($C$108:$C$206,"Leather and Allied Products",$E$108:$E$206)</f>
        <v>0</v>
      </c>
      <c r="E84" s="477">
        <v>96.1</v>
      </c>
      <c r="F84" s="477">
        <v>3</v>
      </c>
      <c r="G84" s="477">
        <v>0</v>
      </c>
      <c r="H84" s="497">
        <f t="shared" si="11"/>
        <v>0</v>
      </c>
      <c r="I84" s="510">
        <f>J84/'Emission Factors'!$D$137</f>
        <v>0</v>
      </c>
      <c r="J84" s="736">
        <f t="shared" si="10"/>
        <v>0</v>
      </c>
      <c r="K84" s="737">
        <f>$J84*'Emission Factors'!$E$12</f>
        <v>0</v>
      </c>
      <c r="L84" s="727">
        <f>J84*'Emission Factors'!$D$12</f>
        <v>0</v>
      </c>
      <c r="M84" s="738">
        <f>J84*'Emission Factors'!$F$12</f>
        <v>0</v>
      </c>
    </row>
    <row r="85" spans="2:13" s="13" customFormat="1">
      <c r="B85" s="476" t="s">
        <v>1163</v>
      </c>
      <c r="C85" s="496">
        <f>SUMIF($C$108:$C$206,"Wood Products",$F$108:$F$206)</f>
        <v>0</v>
      </c>
      <c r="D85" s="496">
        <f>SUMIF($C$108:$C$206,"Wood Products",$E$108:$E$206)</f>
        <v>0</v>
      </c>
      <c r="E85" s="477">
        <v>1459.7</v>
      </c>
      <c r="F85" s="477">
        <v>386</v>
      </c>
      <c r="G85" s="477">
        <v>10</v>
      </c>
      <c r="H85" s="497">
        <f t="shared" si="11"/>
        <v>2.5906735751295335E-2</v>
      </c>
      <c r="I85" s="510">
        <f>J85/'Emission Factors'!$D$137</f>
        <v>0</v>
      </c>
      <c r="J85" s="736">
        <f t="shared" si="10"/>
        <v>0</v>
      </c>
      <c r="K85" s="737">
        <f>$J85*'Emission Factors'!$E$12</f>
        <v>0</v>
      </c>
      <c r="L85" s="727">
        <f>J85*'Emission Factors'!$D$12</f>
        <v>0</v>
      </c>
      <c r="M85" s="738">
        <f>J85*'Emission Factors'!$F$12</f>
        <v>0</v>
      </c>
    </row>
    <row r="86" spans="2:13" s="13" customFormat="1">
      <c r="B86" s="476" t="s">
        <v>203</v>
      </c>
      <c r="C86" s="496">
        <f>SUMIF($C$108:$C$206,"Paper",$F$108:$F$206)</f>
        <v>0</v>
      </c>
      <c r="D86" s="496">
        <f>SUMIF($C$108:$C$206,"Paper",$E$108:$E$206)</f>
        <v>0</v>
      </c>
      <c r="E86" s="477">
        <v>3980.6</v>
      </c>
      <c r="F86" s="477">
        <v>2087</v>
      </c>
      <c r="G86" s="477">
        <v>5</v>
      </c>
      <c r="H86" s="497">
        <f t="shared" si="11"/>
        <v>2.3957834211787254E-3</v>
      </c>
      <c r="I86" s="510">
        <f>J86/'Emission Factors'!$D$137</f>
        <v>0</v>
      </c>
      <c r="J86" s="736">
        <f t="shared" si="10"/>
        <v>0</v>
      </c>
      <c r="K86" s="737">
        <f>$J86*'Emission Factors'!$E$12</f>
        <v>0</v>
      </c>
      <c r="L86" s="727">
        <f>J86*'Emission Factors'!$D$12</f>
        <v>0</v>
      </c>
      <c r="M86" s="738">
        <f>J86*'Emission Factors'!$F$12</f>
        <v>0</v>
      </c>
    </row>
    <row r="87" spans="2:13" s="13" customFormat="1">
      <c r="B87" s="476" t="s">
        <v>1164</v>
      </c>
      <c r="C87" s="496">
        <f>SUMIF($C$108:$C$206,"Printing and Related Support",$F$108:$F$206)</f>
        <v>0</v>
      </c>
      <c r="D87" s="496">
        <f>SUMIF($C$108:$C$206,"Printing and Related Support",$E$108:$E$206)</f>
        <v>0</v>
      </c>
      <c r="E87" s="477">
        <v>164.3</v>
      </c>
      <c r="F87" s="477">
        <v>90</v>
      </c>
      <c r="G87" s="477">
        <v>0</v>
      </c>
      <c r="H87" s="497">
        <f t="shared" si="11"/>
        <v>0</v>
      </c>
      <c r="I87" s="510">
        <f>J87/'Emission Factors'!$D$137</f>
        <v>0</v>
      </c>
      <c r="J87" s="736">
        <f t="shared" si="10"/>
        <v>0</v>
      </c>
      <c r="K87" s="737">
        <f>$J87*'Emission Factors'!$E$12</f>
        <v>0</v>
      </c>
      <c r="L87" s="727">
        <f>J87*'Emission Factors'!$D$12</f>
        <v>0</v>
      </c>
      <c r="M87" s="738">
        <f>J87*'Emission Factors'!$F$12</f>
        <v>0</v>
      </c>
    </row>
    <row r="88" spans="2:13" s="13" customFormat="1">
      <c r="B88" s="476" t="s">
        <v>1165</v>
      </c>
      <c r="C88" s="496">
        <f>SUMIF($C$108:$C$206,"Petroleum and Coal Products",$F$108:$F$206)</f>
        <v>0</v>
      </c>
      <c r="D88" s="496">
        <f>SUMIF($C$108:$C$206,"Petroleum and Coal Products",$E$108:$E$206)</f>
        <v>0</v>
      </c>
      <c r="E88" s="477">
        <v>17355</v>
      </c>
      <c r="F88" s="477">
        <v>4168</v>
      </c>
      <c r="G88" s="477">
        <v>11</v>
      </c>
      <c r="H88" s="497">
        <f t="shared" si="11"/>
        <v>2.6391554702495201E-3</v>
      </c>
      <c r="I88" s="510">
        <f>J88/'Emission Factors'!$D$137</f>
        <v>0</v>
      </c>
      <c r="J88" s="736">
        <f t="shared" si="10"/>
        <v>0</v>
      </c>
      <c r="K88" s="737">
        <f>$J88*'Emission Factors'!$E$12</f>
        <v>0</v>
      </c>
      <c r="L88" s="727">
        <f>J88*'Emission Factors'!$D$12</f>
        <v>0</v>
      </c>
      <c r="M88" s="738">
        <f>J88*'Emission Factors'!$F$12</f>
        <v>0</v>
      </c>
    </row>
    <row r="89" spans="2:13" s="13" customFormat="1">
      <c r="B89" s="476" t="s">
        <v>1166</v>
      </c>
      <c r="C89" s="496">
        <f>SUMIF($C$108:$C$206,"Chemicals",$F$108:$F$206)</f>
        <v>0</v>
      </c>
      <c r="D89" s="496">
        <f>SUMIF($C$108:$C$206,"Chemicals",$E$108:$E$206)</f>
        <v>0</v>
      </c>
      <c r="E89" s="477">
        <v>1101.5</v>
      </c>
      <c r="F89" s="477">
        <v>6297</v>
      </c>
      <c r="G89" s="477">
        <v>10</v>
      </c>
      <c r="H89" s="497">
        <f t="shared" si="11"/>
        <v>1.588057805304113E-3</v>
      </c>
      <c r="I89" s="510">
        <f>J89/'Emission Factors'!$D$137</f>
        <v>0</v>
      </c>
      <c r="J89" s="736">
        <f t="shared" si="10"/>
        <v>0</v>
      </c>
      <c r="K89" s="737">
        <f>$J89*'Emission Factors'!$E$12</f>
        <v>0</v>
      </c>
      <c r="L89" s="727">
        <f>J89*'Emission Factors'!$D$12</f>
        <v>0</v>
      </c>
      <c r="M89" s="738">
        <f>J89*'Emission Factors'!$F$12</f>
        <v>0</v>
      </c>
    </row>
    <row r="90" spans="2:13" s="13" customFormat="1">
      <c r="B90" s="476" t="s">
        <v>1167</v>
      </c>
      <c r="C90" s="496">
        <f>SUMIF($C$108:$C$206,"Plastics and Rubber Products",$F$108:$F$206)</f>
        <v>0</v>
      </c>
      <c r="D90" s="496">
        <f>SUMIF($C$108:$C$206,"Plastics and Rubber Products",$E$108:$E$206)</f>
        <v>0</v>
      </c>
      <c r="E90" s="477">
        <v>347.2</v>
      </c>
      <c r="F90" s="477">
        <v>295</v>
      </c>
      <c r="G90" s="477">
        <v>0</v>
      </c>
      <c r="H90" s="497">
        <f t="shared" si="11"/>
        <v>0</v>
      </c>
      <c r="I90" s="510">
        <f>J90/'Emission Factors'!$D$137</f>
        <v>0</v>
      </c>
      <c r="J90" s="736">
        <f t="shared" si="10"/>
        <v>0</v>
      </c>
      <c r="K90" s="737">
        <f>$J90*'Emission Factors'!$E$12</f>
        <v>0</v>
      </c>
      <c r="L90" s="727">
        <f>J90*'Emission Factors'!$D$12</f>
        <v>0</v>
      </c>
      <c r="M90" s="738">
        <f>J90*'Emission Factors'!$F$12</f>
        <v>0</v>
      </c>
    </row>
    <row r="91" spans="2:13" s="13" customFormat="1">
      <c r="B91" s="476" t="s">
        <v>1168</v>
      </c>
      <c r="C91" s="496">
        <f>SUMIF($C$108:$C$206,"Nonmetallic Mineral Products",$F$108:$F$206)</f>
        <v>0</v>
      </c>
      <c r="D91" s="496">
        <f>SUMIF($C$108:$C$206,"Nonmetallic Mineral Products",$E$108:$E$206)</f>
        <v>0</v>
      </c>
      <c r="E91" s="477">
        <v>1623.6</v>
      </c>
      <c r="F91" s="477">
        <v>833</v>
      </c>
      <c r="G91" s="477">
        <v>19</v>
      </c>
      <c r="H91" s="497">
        <f t="shared" si="11"/>
        <v>2.2809123649459785E-2</v>
      </c>
      <c r="I91" s="510">
        <f>J91/'Emission Factors'!$D$137</f>
        <v>0</v>
      </c>
      <c r="J91" s="736">
        <f t="shared" si="10"/>
        <v>0</v>
      </c>
      <c r="K91" s="737">
        <f>$J91*'Emission Factors'!$E$12</f>
        <v>0</v>
      </c>
      <c r="L91" s="727">
        <f>J91*'Emission Factors'!$D$12</f>
        <v>0</v>
      </c>
      <c r="M91" s="738">
        <f>J91*'Emission Factors'!$F$12</f>
        <v>0</v>
      </c>
    </row>
    <row r="92" spans="2:13" s="13" customFormat="1">
      <c r="B92" s="476" t="s">
        <v>1169</v>
      </c>
      <c r="C92" s="496">
        <f>SUMIF($C$108:$C$206,"Primary Metals",$F$108:$F$206)</f>
        <v>0</v>
      </c>
      <c r="D92" s="496">
        <f>SUMIF($C$108:$C$206,"Primary Metals",$E$108:$E$206)</f>
        <v>0</v>
      </c>
      <c r="E92" s="477">
        <v>3320.1</v>
      </c>
      <c r="F92" s="477">
        <v>1641</v>
      </c>
      <c r="G92" s="477">
        <v>6</v>
      </c>
      <c r="H92" s="497">
        <f t="shared" si="11"/>
        <v>3.6563071297989031E-3</v>
      </c>
      <c r="I92" s="510">
        <f>J92/'Emission Factors'!$D$137</f>
        <v>0</v>
      </c>
      <c r="J92" s="736">
        <f t="shared" si="10"/>
        <v>0</v>
      </c>
      <c r="K92" s="737">
        <f>$J92*'Emission Factors'!$E$12</f>
        <v>0</v>
      </c>
      <c r="L92" s="727">
        <f>J92*'Emission Factors'!$D$12</f>
        <v>0</v>
      </c>
      <c r="M92" s="738">
        <f>J92*'Emission Factors'!$F$12</f>
        <v>0</v>
      </c>
    </row>
    <row r="93" spans="2:13" s="13" customFormat="1">
      <c r="B93" s="476" t="s">
        <v>1170</v>
      </c>
      <c r="C93" s="496">
        <f>SUMIF($C$108:$C$206,"Fabricated Metal Products",$F$108:$F$206)</f>
        <v>0</v>
      </c>
      <c r="D93" s="496">
        <f>SUMIF($C$108:$C$206,"Fabricated Metal Products",$E$108:$E$206)</f>
        <v>0</v>
      </c>
      <c r="E93" s="477">
        <v>207.7</v>
      </c>
      <c r="F93" s="477">
        <v>349</v>
      </c>
      <c r="G93" s="477">
        <v>2</v>
      </c>
      <c r="H93" s="497">
        <f t="shared" si="11"/>
        <v>5.7306590257879654E-3</v>
      </c>
      <c r="I93" s="510">
        <f>J93/'Emission Factors'!$D$137</f>
        <v>0</v>
      </c>
      <c r="J93" s="736">
        <f t="shared" si="10"/>
        <v>0</v>
      </c>
      <c r="K93" s="737">
        <f>$J93*'Emission Factors'!$E$12</f>
        <v>0</v>
      </c>
      <c r="L93" s="727">
        <f>J93*'Emission Factors'!$D$12</f>
        <v>0</v>
      </c>
      <c r="M93" s="738">
        <f>J93*'Emission Factors'!$F$12</f>
        <v>0</v>
      </c>
    </row>
    <row r="94" spans="2:13" s="13" customFormat="1">
      <c r="B94" s="476" t="s">
        <v>1171</v>
      </c>
      <c r="C94" s="496">
        <f>SUMIF($C$108:$C$206,"Machinery",$F$108:$F$206)</f>
        <v>0</v>
      </c>
      <c r="D94" s="496">
        <f>SUMIF($C$108:$C$206,"Machinery",$E$108:$E$206)</f>
        <v>0</v>
      </c>
      <c r="E94" s="477">
        <v>134.9</v>
      </c>
      <c r="F94" s="477">
        <v>165</v>
      </c>
      <c r="G94" s="477">
        <v>5</v>
      </c>
      <c r="H94" s="497">
        <f t="shared" si="11"/>
        <v>3.0303030303030304E-2</v>
      </c>
      <c r="I94" s="510">
        <f>J94/'Emission Factors'!$D$137</f>
        <v>0</v>
      </c>
      <c r="J94" s="736">
        <f t="shared" si="10"/>
        <v>0</v>
      </c>
      <c r="K94" s="737">
        <f>$J94*'Emission Factors'!$E$12</f>
        <v>0</v>
      </c>
      <c r="L94" s="727">
        <f>J94*'Emission Factors'!$D$12</f>
        <v>0</v>
      </c>
      <c r="M94" s="738">
        <f>J94*'Emission Factors'!$F$12</f>
        <v>0</v>
      </c>
    </row>
    <row r="95" spans="2:13" s="13" customFormat="1">
      <c r="B95" s="476" t="s">
        <v>1172</v>
      </c>
      <c r="C95" s="496">
        <f>SUMIF($C$108:$C$206,"Computer and Electronic Products",$F$108:$F$206)</f>
        <v>0</v>
      </c>
      <c r="D95" s="496">
        <f>SUMIF($C$108:$C$206,"Computer and Electronic Products",$E$108:$E$206)</f>
        <v>0</v>
      </c>
      <c r="E95" s="477">
        <v>152.1</v>
      </c>
      <c r="F95" s="477">
        <v>162</v>
      </c>
      <c r="G95" s="477">
        <v>1</v>
      </c>
      <c r="H95" s="497">
        <f t="shared" si="11"/>
        <v>6.1728395061728392E-3</v>
      </c>
      <c r="I95" s="510">
        <f>J95/'Emission Factors'!$D$137</f>
        <v>0</v>
      </c>
      <c r="J95" s="736">
        <f t="shared" si="10"/>
        <v>0</v>
      </c>
      <c r="K95" s="737">
        <f>$J95*'Emission Factors'!$E$12</f>
        <v>0</v>
      </c>
      <c r="L95" s="727">
        <f>J95*'Emission Factors'!$D$12</f>
        <v>0</v>
      </c>
      <c r="M95" s="738">
        <f>J95*'Emission Factors'!$F$12</f>
        <v>0</v>
      </c>
    </row>
    <row r="96" spans="2:13" s="13" customFormat="1">
      <c r="B96" s="476" t="s">
        <v>1173</v>
      </c>
      <c r="C96" s="496">
        <f>SUMIF($C$108:$C$206,"Electrical Equip., Appliances, and Components",$F$108:$F$206)</f>
        <v>0</v>
      </c>
      <c r="D96" s="496">
        <f>SUMIF($C$108:$C$206,"Electrical Equip., Appliances, and Components",$E$108:$E$206)</f>
        <v>0</v>
      </c>
      <c r="E96" s="477">
        <v>261.8</v>
      </c>
      <c r="F96" s="477">
        <v>74</v>
      </c>
      <c r="G96" s="477">
        <v>0</v>
      </c>
      <c r="H96" s="497">
        <f t="shared" si="11"/>
        <v>0</v>
      </c>
      <c r="I96" s="510">
        <f>J96/'Emission Factors'!$D$137</f>
        <v>0</v>
      </c>
      <c r="J96" s="736">
        <f t="shared" si="10"/>
        <v>0</v>
      </c>
      <c r="K96" s="737">
        <f>$J96*'Emission Factors'!$E$12</f>
        <v>0</v>
      </c>
      <c r="L96" s="727">
        <f>J96*'Emission Factors'!$D$12</f>
        <v>0</v>
      </c>
      <c r="M96" s="738">
        <f>J96*'Emission Factors'!$F$12</f>
        <v>0</v>
      </c>
    </row>
    <row r="97" spans="2:15" s="13" customFormat="1">
      <c r="B97" s="476" t="s">
        <v>1174</v>
      </c>
      <c r="C97" s="496">
        <f>SUMIF($C$108:$C$206,"Transportation Equipment",$F$108:$F$206)</f>
        <v>0</v>
      </c>
      <c r="D97" s="496">
        <f>SUMIF($C$108:$C$206,"Transportation Equipment",$E$108:$E$206)</f>
        <v>0</v>
      </c>
      <c r="E97" s="477">
        <v>231.9</v>
      </c>
      <c r="F97" s="477">
        <v>323</v>
      </c>
      <c r="G97" s="477">
        <v>4</v>
      </c>
      <c r="H97" s="497">
        <f t="shared" si="11"/>
        <v>1.238390092879257E-2</v>
      </c>
      <c r="I97" s="510">
        <f>J97/'Emission Factors'!$D$137</f>
        <v>0</v>
      </c>
      <c r="J97" s="736">
        <f t="shared" si="10"/>
        <v>0</v>
      </c>
      <c r="K97" s="737">
        <f>$J97*'Emission Factors'!$E$12</f>
        <v>0</v>
      </c>
      <c r="L97" s="727">
        <f>J97*'Emission Factors'!$D$12</f>
        <v>0</v>
      </c>
      <c r="M97" s="738">
        <f>J97*'Emission Factors'!$F$12</f>
        <v>0</v>
      </c>
      <c r="N97" s="45"/>
      <c r="O97" s="45"/>
    </row>
    <row r="98" spans="2:15" s="13" customFormat="1">
      <c r="B98" s="476" t="s">
        <v>1175</v>
      </c>
      <c r="C98" s="496">
        <f>SUMIF($C$108:$C$206,"Furniture and Related Products",$F$108:$F$206)</f>
        <v>0</v>
      </c>
      <c r="D98" s="496">
        <f>SUMIF($C$108:$C$206,"Furniture and Related Products",$E$108:$E$206)</f>
        <v>0</v>
      </c>
      <c r="E98" s="477">
        <v>98</v>
      </c>
      <c r="F98" s="477">
        <v>37</v>
      </c>
      <c r="G98" s="477">
        <v>0</v>
      </c>
      <c r="H98" s="497">
        <f t="shared" si="11"/>
        <v>0</v>
      </c>
      <c r="I98" s="510">
        <f>J98/'Emission Factors'!$D$137</f>
        <v>0</v>
      </c>
      <c r="J98" s="736">
        <f t="shared" si="10"/>
        <v>0</v>
      </c>
      <c r="K98" s="737">
        <f>$J98*'Emission Factors'!$E$12</f>
        <v>0</v>
      </c>
      <c r="L98" s="727">
        <f>J98*'Emission Factors'!$D$12</f>
        <v>0</v>
      </c>
      <c r="M98" s="738">
        <f>J98*'Emission Factors'!$F$12</f>
        <v>0</v>
      </c>
      <c r="N98" s="45"/>
      <c r="O98" s="45"/>
    </row>
    <row r="99" spans="2:15" s="13" customFormat="1" ht="13.5" thickBot="1">
      <c r="B99" s="476" t="s">
        <v>1176</v>
      </c>
      <c r="C99" s="496">
        <f>SUMIF($C$108:$C$206,"Miscellaneous",$F$108:$F$206)</f>
        <v>0</v>
      </c>
      <c r="D99" s="496">
        <f>SUMIF($C$108:$C$206,"Miscellaneous",$E$108:$E$206)</f>
        <v>0</v>
      </c>
      <c r="E99" s="477">
        <v>139.5</v>
      </c>
      <c r="F99" s="477">
        <v>57</v>
      </c>
      <c r="G99" s="477">
        <v>0</v>
      </c>
      <c r="H99" s="497">
        <f t="shared" si="11"/>
        <v>0</v>
      </c>
      <c r="I99" s="510">
        <f>J99/'Emission Factors'!$D$137</f>
        <v>0</v>
      </c>
      <c r="J99" s="739">
        <f t="shared" si="10"/>
        <v>0</v>
      </c>
      <c r="K99" s="740">
        <f>$J99*'Emission Factors'!$E$12</f>
        <v>0</v>
      </c>
      <c r="L99" s="730">
        <f>J99*'Emission Factors'!$D$12</f>
        <v>0</v>
      </c>
      <c r="M99" s="741">
        <f>J99*'Emission Factors'!$F$12</f>
        <v>0</v>
      </c>
      <c r="N99" s="45"/>
      <c r="O99" s="45"/>
    </row>
    <row r="100" spans="2:15" s="13" customFormat="1" ht="13.5" thickBot="1">
      <c r="B100" s="148" t="s">
        <v>1177</v>
      </c>
      <c r="C100" s="489"/>
      <c r="D100" s="489"/>
      <c r="E100" s="490"/>
      <c r="F100" s="489"/>
      <c r="G100" s="490"/>
      <c r="H100" s="490"/>
      <c r="I100" s="491">
        <f>SUM(I79:I99)</f>
        <v>1867.3255465708294</v>
      </c>
      <c r="J100" s="492">
        <f>SUM(J79:J99)</f>
        <v>257.69092542677447</v>
      </c>
      <c r="K100" s="503">
        <f>SUM(K79:K99)</f>
        <v>7.7307277628032342E-4</v>
      </c>
      <c r="L100" s="83">
        <f>SUM(L79:L99)</f>
        <v>19.058820844564238</v>
      </c>
      <c r="M100" s="504">
        <f>SUM(M79:M99)</f>
        <v>1.5461455525606467E-4</v>
      </c>
      <c r="N100" s="45"/>
      <c r="O100" s="45"/>
    </row>
    <row r="101" spans="2:15" s="13" customFormat="1" ht="56.25" customHeight="1">
      <c r="B101" s="1959" t="s">
        <v>1145</v>
      </c>
      <c r="C101" s="1960"/>
      <c r="D101" s="1960"/>
      <c r="E101" s="1960"/>
      <c r="F101" s="465" t="s">
        <v>79</v>
      </c>
      <c r="G101" s="45"/>
      <c r="H101" s="45"/>
      <c r="I101" s="45"/>
      <c r="J101" s="45"/>
      <c r="K101" s="45"/>
      <c r="L101" s="45"/>
      <c r="M101" s="45"/>
      <c r="N101" s="45"/>
      <c r="O101" s="45"/>
    </row>
    <row r="102" spans="2:15" s="13" customFormat="1" ht="45" customHeight="1">
      <c r="B102" s="2208" t="s">
        <v>1178</v>
      </c>
      <c r="C102" s="2209"/>
      <c r="D102" s="2209"/>
      <c r="E102" s="2209"/>
      <c r="F102" s="467" t="s">
        <v>1179</v>
      </c>
      <c r="G102" s="1587"/>
      <c r="H102" s="45"/>
      <c r="I102" s="45"/>
      <c r="J102" s="45"/>
      <c r="K102" s="45"/>
      <c r="L102" s="45"/>
      <c r="M102" s="45"/>
      <c r="N102" s="45"/>
      <c r="O102" s="45"/>
    </row>
    <row r="103" spans="2:15" s="13" customFormat="1" ht="35.25" customHeight="1">
      <c r="B103" s="2208" t="s">
        <v>1180</v>
      </c>
      <c r="C103" s="2209"/>
      <c r="D103" s="2209"/>
      <c r="E103" s="2209"/>
      <c r="F103" s="467" t="s">
        <v>1181</v>
      </c>
      <c r="G103" s="45"/>
      <c r="H103" s="45"/>
      <c r="I103" s="45"/>
      <c r="J103" s="45"/>
      <c r="K103" s="45"/>
      <c r="L103" s="45"/>
      <c r="M103" s="45"/>
      <c r="N103" s="45"/>
      <c r="O103" s="45"/>
    </row>
    <row r="104" spans="2:15" s="13" customFormat="1" ht="37.5" customHeight="1" thickBot="1">
      <c r="B104" s="2213" t="s">
        <v>1182</v>
      </c>
      <c r="C104" s="2214"/>
      <c r="D104" s="2214"/>
      <c r="E104" s="2214"/>
      <c r="F104" s="1732" t="s">
        <v>1183</v>
      </c>
      <c r="G104" s="458"/>
      <c r="H104" s="458"/>
      <c r="I104" s="458"/>
      <c r="J104" s="45"/>
      <c r="K104" s="45"/>
      <c r="L104" s="45"/>
      <c r="M104" s="45"/>
      <c r="N104" s="45"/>
      <c r="O104" s="45"/>
    </row>
    <row r="105" spans="2:15" s="13" customFormat="1" ht="13.5" thickBot="1">
      <c r="B105" s="458"/>
      <c r="C105" s="458"/>
      <c r="D105" s="458"/>
      <c r="E105" s="45"/>
      <c r="F105" s="458"/>
      <c r="G105" s="458"/>
      <c r="H105" s="458"/>
      <c r="I105" s="458"/>
      <c r="J105" s="45"/>
      <c r="K105" s="45"/>
      <c r="L105" s="45"/>
      <c r="M105" s="45"/>
      <c r="N105" s="45"/>
      <c r="O105" s="45"/>
    </row>
    <row r="106" spans="2:15" s="13" customFormat="1" ht="21" customHeight="1" thickBot="1">
      <c r="B106" s="1905" t="s">
        <v>1184</v>
      </c>
      <c r="C106" s="1906"/>
      <c r="D106" s="1906"/>
      <c r="E106" s="1906"/>
      <c r="F106" s="1907"/>
      <c r="G106" s="1254"/>
      <c r="H106" s="1254"/>
      <c r="I106" s="1254"/>
      <c r="J106" s="1254"/>
      <c r="K106" s="1254"/>
      <c r="L106" s="1254"/>
      <c r="M106" s="1254"/>
      <c r="N106" s="1254"/>
      <c r="O106" s="1254"/>
    </row>
    <row r="107" spans="2:15" s="13" customFormat="1" ht="73.5" customHeight="1">
      <c r="B107" s="1880" t="s">
        <v>1185</v>
      </c>
      <c r="C107" s="357" t="s">
        <v>1186</v>
      </c>
      <c r="D107" s="357" t="s">
        <v>453</v>
      </c>
      <c r="E107" s="1420" t="s">
        <v>1187</v>
      </c>
      <c r="F107" s="1350" t="s">
        <v>1188</v>
      </c>
      <c r="G107" s="1254"/>
      <c r="H107" s="1254"/>
      <c r="I107" s="1254"/>
      <c r="J107" s="1254"/>
      <c r="K107" s="1254"/>
      <c r="L107" s="1254"/>
      <c r="M107" s="1254"/>
      <c r="N107" s="1254"/>
      <c r="O107" s="1254"/>
    </row>
    <row r="108" spans="2:15" s="13" customFormat="1">
      <c r="B108" s="1588">
        <v>111</v>
      </c>
      <c r="C108" s="501" t="s">
        <v>1189</v>
      </c>
      <c r="D108" s="495" t="s">
        <v>1190</v>
      </c>
      <c r="E108" s="495" t="str">
        <f>IFERROR(VLOOKUP(B108,Inputs!$B$69:$C$173,2,FALSE),"N/A")</f>
        <v>N/A</v>
      </c>
      <c r="F108" s="1589" t="str">
        <f>IFERROR(VLOOKUP(B108,Inputs!$B$69:$D$173,3,FALSE),"N/A")</f>
        <v>N/A</v>
      </c>
      <c r="G108" s="1254"/>
      <c r="H108" s="1254"/>
      <c r="I108" s="1254"/>
      <c r="J108" s="1254"/>
      <c r="K108" s="1254"/>
      <c r="L108" s="1254"/>
      <c r="M108" s="1254"/>
      <c r="N108" s="1254"/>
      <c r="O108" s="1254"/>
    </row>
    <row r="109" spans="2:15" s="13" customFormat="1">
      <c r="B109" s="1588">
        <v>112</v>
      </c>
      <c r="C109" s="501" t="s">
        <v>1191</v>
      </c>
      <c r="D109" s="495" t="s">
        <v>1190</v>
      </c>
      <c r="E109" s="495" t="str">
        <f>IFERROR(VLOOKUP(B109,Inputs!$B$69:$C$173,2,FALSE),"N/A")</f>
        <v>N/A</v>
      </c>
      <c r="F109" s="1589" t="str">
        <f>IFERROR(VLOOKUP(B109,Inputs!$B$69:$D$173,3,FALSE),"N/A")</f>
        <v>N/A</v>
      </c>
      <c r="G109" s="1254"/>
      <c r="H109" s="1254"/>
      <c r="I109" s="1254"/>
      <c r="J109" s="1254"/>
      <c r="K109" s="1254"/>
      <c r="L109" s="1254"/>
      <c r="M109" s="1254"/>
      <c r="N109" s="1254"/>
      <c r="O109" s="1254"/>
    </row>
    <row r="110" spans="2:15" s="13" customFormat="1">
      <c r="B110" s="1588">
        <v>113</v>
      </c>
      <c r="C110" s="501" t="s">
        <v>1192</v>
      </c>
      <c r="D110" s="495" t="s">
        <v>1190</v>
      </c>
      <c r="E110" s="495" t="str">
        <f>IFERROR(VLOOKUP(B110,Inputs!$B$69:$C$173,2,FALSE),"N/A")</f>
        <v>N/A</v>
      </c>
      <c r="F110" s="1589" t="str">
        <f>IFERROR(VLOOKUP(B110,Inputs!$B$69:$D$173,3,FALSE),"N/A")</f>
        <v>N/A</v>
      </c>
      <c r="G110" s="1254"/>
      <c r="H110" s="1254"/>
      <c r="I110" s="1254"/>
      <c r="J110" s="1254"/>
      <c r="K110" s="1254"/>
      <c r="L110" s="1254"/>
      <c r="M110" s="1254"/>
      <c r="N110" s="1254"/>
      <c r="O110" s="1254"/>
    </row>
    <row r="111" spans="2:15" s="13" customFormat="1">
      <c r="B111" s="1588">
        <v>114</v>
      </c>
      <c r="C111" s="501" t="s">
        <v>1193</v>
      </c>
      <c r="D111" s="495" t="s">
        <v>1190</v>
      </c>
      <c r="E111" s="495" t="str">
        <f>IFERROR(VLOOKUP(B111,Inputs!$B$69:$C$173,2,FALSE),"N/A")</f>
        <v>N/A</v>
      </c>
      <c r="F111" s="1589" t="str">
        <f>IFERROR(VLOOKUP(B111,Inputs!$B$69:$D$173,3,FALSE),"N/A")</f>
        <v>N/A</v>
      </c>
      <c r="G111" s="1254"/>
      <c r="H111" s="1254"/>
      <c r="I111" s="1254"/>
      <c r="J111" s="1254"/>
      <c r="K111" s="1254"/>
      <c r="L111" s="1254"/>
      <c r="M111" s="1254"/>
      <c r="N111" s="1254"/>
      <c r="O111" s="1254"/>
    </row>
    <row r="112" spans="2:15" s="13" customFormat="1">
      <c r="B112" s="1588">
        <v>115</v>
      </c>
      <c r="C112" s="501" t="s">
        <v>1194</v>
      </c>
      <c r="D112" s="495" t="s">
        <v>1190</v>
      </c>
      <c r="E112" s="495" t="str">
        <f>IFERROR(VLOOKUP(B112,Inputs!$B$69:$C$173,2,FALSE),"N/A")</f>
        <v>N/A</v>
      </c>
      <c r="F112" s="1589" t="str">
        <f>IFERROR(VLOOKUP(B112,Inputs!$B$69:$D$173,3,FALSE),"N/A")</f>
        <v>N/A</v>
      </c>
      <c r="G112" s="1254"/>
      <c r="H112" s="1254"/>
      <c r="I112" s="1254"/>
      <c r="J112" s="1254"/>
      <c r="K112" s="1254"/>
      <c r="L112" s="1254"/>
      <c r="M112" s="1254"/>
      <c r="N112" s="1254"/>
      <c r="O112" s="1254"/>
    </row>
    <row r="113" spans="2:15" s="13" customFormat="1">
      <c r="B113" s="1588">
        <v>212</v>
      </c>
      <c r="C113" s="501" t="s">
        <v>1195</v>
      </c>
      <c r="D113" s="495" t="s">
        <v>1190</v>
      </c>
      <c r="E113" s="495" t="str">
        <f>IFERROR(VLOOKUP(B113,Inputs!$B$69:$C$173,2,FALSE),"N/A")</f>
        <v>N/A</v>
      </c>
      <c r="F113" s="1589" t="str">
        <f>IFERROR(VLOOKUP(B113,Inputs!$B$69:$D$173,3,FALSE),"N/A")</f>
        <v>N/A</v>
      </c>
      <c r="G113" s="1254"/>
      <c r="H113" s="1254"/>
      <c r="I113" s="1254"/>
      <c r="J113" s="1254"/>
      <c r="K113" s="1254"/>
      <c r="L113" s="1254"/>
      <c r="M113" s="1254"/>
      <c r="N113" s="1254"/>
      <c r="O113" s="1254"/>
    </row>
    <row r="114" spans="2:15" s="13" customFormat="1">
      <c r="B114" s="1588">
        <v>213</v>
      </c>
      <c r="C114" s="501" t="s">
        <v>1196</v>
      </c>
      <c r="D114" s="495" t="s">
        <v>1190</v>
      </c>
      <c r="E114" s="495" t="str">
        <f>IFERROR(VLOOKUP(B114,Inputs!$B$69:$C$173,2,FALSE),"N/A")</f>
        <v>N/A</v>
      </c>
      <c r="F114" s="1589" t="str">
        <f>IFERROR(VLOOKUP(B114,Inputs!$B$69:$D$173,3,FALSE),"N/A")</f>
        <v>N/A</v>
      </c>
      <c r="G114" s="1254"/>
      <c r="H114" s="1254"/>
      <c r="I114" s="1254"/>
      <c r="J114" s="1254"/>
      <c r="K114" s="1254"/>
      <c r="L114" s="1254"/>
      <c r="M114" s="1254"/>
      <c r="N114" s="1254"/>
      <c r="O114" s="1254"/>
    </row>
    <row r="115" spans="2:15" s="13" customFormat="1">
      <c r="B115" s="1588">
        <v>221</v>
      </c>
      <c r="C115" s="501" t="s">
        <v>1197</v>
      </c>
      <c r="D115" s="495" t="s">
        <v>1190</v>
      </c>
      <c r="E115" s="495">
        <f>IFERROR(VLOOKUP(B115,Inputs!$B$69:$C$173,2,FALSE),"N/A")</f>
        <v>3</v>
      </c>
      <c r="F115" s="1589">
        <f>IFERROR(VLOOKUP(B115,Inputs!$B$69:$D$173,3,FALSE),"N/A")</f>
        <v>56</v>
      </c>
      <c r="G115" s="1254"/>
      <c r="H115" s="1254"/>
      <c r="I115" s="1254"/>
      <c r="J115" s="1254"/>
      <c r="K115" s="1254"/>
      <c r="L115" s="1254"/>
      <c r="M115" s="1254"/>
      <c r="N115" s="1254"/>
      <c r="O115" s="1254"/>
    </row>
    <row r="116" spans="2:15" s="13" customFormat="1">
      <c r="B116" s="1588">
        <v>236</v>
      </c>
      <c r="C116" s="501" t="s">
        <v>1198</v>
      </c>
      <c r="D116" s="495" t="s">
        <v>1190</v>
      </c>
      <c r="E116" s="495">
        <f>IFERROR(VLOOKUP(B116,Inputs!$B$69:$C$173,2,FALSE),"N/A")</f>
        <v>135</v>
      </c>
      <c r="F116" s="1589">
        <f>IFERROR(VLOOKUP(B116,Inputs!$B$69:$D$173,3,FALSE),"N/A")</f>
        <v>277</v>
      </c>
      <c r="G116" s="1254"/>
      <c r="H116" s="1254"/>
      <c r="I116" s="1254"/>
      <c r="J116" s="1254"/>
      <c r="K116" s="1254"/>
      <c r="L116" s="1254"/>
      <c r="M116" s="1254"/>
      <c r="N116" s="1254"/>
      <c r="O116" s="1254"/>
    </row>
    <row r="117" spans="2:15" s="13" customFormat="1">
      <c r="B117" s="1588">
        <v>237</v>
      </c>
      <c r="C117" s="501" t="s">
        <v>1199</v>
      </c>
      <c r="D117" s="495" t="s">
        <v>1190</v>
      </c>
      <c r="E117" s="495">
        <f>IFERROR(VLOOKUP(B117,Inputs!$B$69:$C$173,2,FALSE),"N/A")</f>
        <v>6</v>
      </c>
      <c r="F117" s="1589">
        <f>IFERROR(VLOOKUP(B117,Inputs!$B$69:$D$173,3,FALSE),"N/A")</f>
        <v>115</v>
      </c>
      <c r="G117" s="1254"/>
      <c r="H117" s="1254"/>
      <c r="I117" s="1254"/>
      <c r="J117" s="1254"/>
      <c r="K117" s="1254"/>
      <c r="L117" s="1254"/>
      <c r="M117" s="1254"/>
      <c r="N117" s="1254"/>
      <c r="O117" s="1254"/>
    </row>
    <row r="118" spans="2:15" s="13" customFormat="1">
      <c r="B118" s="1588">
        <v>238</v>
      </c>
      <c r="C118" s="501" t="s">
        <v>1200</v>
      </c>
      <c r="D118" s="495" t="s">
        <v>1190</v>
      </c>
      <c r="E118" s="495">
        <f>IFERROR(VLOOKUP(B118,Inputs!$B$69:$C$173,2,FALSE),"N/A")</f>
        <v>197</v>
      </c>
      <c r="F118" s="1589">
        <f>IFERROR(VLOOKUP(B118,Inputs!$B$69:$D$173,3,FALSE),"N/A")</f>
        <v>648</v>
      </c>
      <c r="G118" s="1254"/>
      <c r="H118" s="1254"/>
      <c r="I118" s="1254"/>
      <c r="J118" s="1254"/>
      <c r="K118" s="1254"/>
      <c r="L118" s="1254"/>
      <c r="M118" s="1254"/>
      <c r="N118" s="1254"/>
      <c r="O118" s="1254"/>
    </row>
    <row r="119" spans="2:15" s="13" customFormat="1">
      <c r="B119" s="1588">
        <v>311</v>
      </c>
      <c r="C119" s="501" t="s">
        <v>201</v>
      </c>
      <c r="D119" s="495" t="s">
        <v>123</v>
      </c>
      <c r="E119" s="495">
        <f>IFERROR(VLOOKUP(B119,Inputs!$B$69:$C$173,2,FALSE),"N/A")</f>
        <v>5</v>
      </c>
      <c r="F119" s="1589">
        <f>IFERROR(VLOOKUP(B119,Inputs!$B$69:$D$173,3,FALSE),"N/A")</f>
        <v>29</v>
      </c>
      <c r="G119" s="1254"/>
      <c r="H119" s="1254"/>
      <c r="I119" s="1254"/>
      <c r="J119" s="1254"/>
      <c r="K119" s="1254"/>
      <c r="L119" s="1254"/>
      <c r="M119" s="1254"/>
      <c r="N119" s="1254"/>
      <c r="O119" s="1254"/>
    </row>
    <row r="120" spans="2:15" s="13" customFormat="1">
      <c r="B120" s="1588">
        <v>312</v>
      </c>
      <c r="C120" s="501" t="s">
        <v>1158</v>
      </c>
      <c r="D120" s="495" t="s">
        <v>123</v>
      </c>
      <c r="E120" s="495" t="str">
        <f>IFERROR(VLOOKUP(B120,Inputs!$B$69:$C$173,2,FALSE),"N/A")</f>
        <v>N/A</v>
      </c>
      <c r="F120" s="1589" t="str">
        <f>IFERROR(VLOOKUP(B120,Inputs!$B$69:$D$173,3,FALSE),"N/A")</f>
        <v>N/A</v>
      </c>
      <c r="G120" s="1254"/>
      <c r="H120" s="1254"/>
      <c r="I120" s="1254"/>
      <c r="J120" s="1254"/>
      <c r="K120" s="1254"/>
      <c r="L120" s="1254"/>
      <c r="M120" s="1254"/>
      <c r="N120" s="1254"/>
      <c r="O120" s="1254"/>
    </row>
    <row r="121" spans="2:15" s="13" customFormat="1">
      <c r="B121" s="1588">
        <v>313</v>
      </c>
      <c r="C121" s="501" t="s">
        <v>1159</v>
      </c>
      <c r="D121" s="495" t="s">
        <v>123</v>
      </c>
      <c r="E121" s="495" t="str">
        <f>IFERROR(VLOOKUP(B121,Inputs!$B$69:$C$173,2,FALSE),"N/A")</f>
        <v>N/A</v>
      </c>
      <c r="F121" s="1589" t="str">
        <f>IFERROR(VLOOKUP(B121,Inputs!$B$69:$D$173,3,FALSE),"N/A")</f>
        <v>N/A</v>
      </c>
      <c r="G121" s="1254"/>
      <c r="H121" s="1254"/>
      <c r="I121" s="1254"/>
      <c r="J121" s="1254"/>
      <c r="K121" s="1254"/>
      <c r="L121" s="1254"/>
      <c r="M121" s="1254"/>
      <c r="N121" s="1254"/>
      <c r="O121" s="1254"/>
    </row>
    <row r="122" spans="2:15" s="13" customFormat="1">
      <c r="B122" s="1588">
        <v>314</v>
      </c>
      <c r="C122" s="501" t="s">
        <v>1160</v>
      </c>
      <c r="D122" s="495" t="s">
        <v>123</v>
      </c>
      <c r="E122" s="495" t="str">
        <f>IFERROR(VLOOKUP(B122,Inputs!$B$69:$C$173,2,FALSE),"N/A")</f>
        <v>N/A</v>
      </c>
      <c r="F122" s="1589" t="str">
        <f>IFERROR(VLOOKUP(B122,Inputs!$B$69:$D$173,3,FALSE),"N/A")</f>
        <v>N/A</v>
      </c>
      <c r="G122" s="1254"/>
      <c r="H122" s="1254"/>
      <c r="I122" s="1254"/>
      <c r="J122" s="1254"/>
      <c r="K122" s="1254"/>
      <c r="L122" s="1254"/>
      <c r="M122" s="1254"/>
      <c r="N122" s="1254"/>
      <c r="O122" s="1254"/>
    </row>
    <row r="123" spans="2:15" s="13" customFormat="1">
      <c r="B123" s="1588">
        <v>315</v>
      </c>
      <c r="C123" s="501" t="s">
        <v>1161</v>
      </c>
      <c r="D123" s="495" t="s">
        <v>123</v>
      </c>
      <c r="E123" s="495" t="str">
        <f>IFERROR(VLOOKUP(B123,Inputs!$B$69:$C$173,2,FALSE),"N/A")</f>
        <v>N/A</v>
      </c>
      <c r="F123" s="1589" t="str">
        <f>IFERROR(VLOOKUP(B123,Inputs!$B$69:$D$173,3,FALSE),"N/A")</f>
        <v>N/A</v>
      </c>
      <c r="G123" s="1254"/>
      <c r="H123" s="1254"/>
      <c r="I123" s="1254"/>
      <c r="J123" s="1254"/>
      <c r="K123" s="1254"/>
      <c r="L123" s="1254"/>
      <c r="M123" s="1254"/>
      <c r="N123" s="1254"/>
      <c r="O123" s="1254"/>
    </row>
    <row r="124" spans="2:15" s="13" customFormat="1">
      <c r="B124" s="1588">
        <v>316</v>
      </c>
      <c r="C124" s="501" t="s">
        <v>1162</v>
      </c>
      <c r="D124" s="495" t="s">
        <v>123</v>
      </c>
      <c r="E124" s="495" t="str">
        <f>IFERROR(VLOOKUP(B124,Inputs!$B$69:$C$173,2,FALSE),"N/A")</f>
        <v>N/A</v>
      </c>
      <c r="F124" s="1589" t="str">
        <f>IFERROR(VLOOKUP(B124,Inputs!$B$69:$D$173,3,FALSE),"N/A")</f>
        <v>N/A</v>
      </c>
      <c r="G124" s="1254"/>
      <c r="H124" s="1254"/>
      <c r="I124" s="1254"/>
      <c r="J124" s="1254"/>
      <c r="K124" s="1254"/>
      <c r="L124" s="1254"/>
      <c r="M124" s="1254"/>
      <c r="N124" s="1254"/>
      <c r="O124" s="1254"/>
    </row>
    <row r="125" spans="2:15" s="13" customFormat="1">
      <c r="B125" s="1588">
        <v>321</v>
      </c>
      <c r="C125" s="501" t="s">
        <v>1163</v>
      </c>
      <c r="D125" s="495" t="s">
        <v>123</v>
      </c>
      <c r="E125" s="495" t="str">
        <f>IFERROR(VLOOKUP(B125,Inputs!$B$69:$C$173,2,FALSE),"N/A")</f>
        <v>N/A</v>
      </c>
      <c r="F125" s="1589" t="str">
        <f>IFERROR(VLOOKUP(B125,Inputs!$B$69:$D$173,3,FALSE),"N/A")</f>
        <v>N/A</v>
      </c>
      <c r="G125" s="1254"/>
      <c r="H125" s="1254"/>
      <c r="I125" s="1254"/>
      <c r="J125" s="1254"/>
      <c r="K125" s="1254"/>
      <c r="L125" s="1254"/>
      <c r="M125" s="1254"/>
      <c r="N125" s="1254"/>
      <c r="O125" s="1254"/>
    </row>
    <row r="126" spans="2:15" s="13" customFormat="1">
      <c r="B126" s="1588">
        <v>322</v>
      </c>
      <c r="C126" s="501" t="s">
        <v>203</v>
      </c>
      <c r="D126" s="495" t="s">
        <v>123</v>
      </c>
      <c r="E126" s="495" t="str">
        <f>IFERROR(VLOOKUP(B126,Inputs!$B$69:$C$173,2,FALSE),"N/A")</f>
        <v>N/A</v>
      </c>
      <c r="F126" s="1589" t="str">
        <f>IFERROR(VLOOKUP(B126,Inputs!$B$69:$D$173,3,FALSE),"N/A")</f>
        <v>N/A</v>
      </c>
      <c r="G126" s="1254"/>
      <c r="H126" s="1254"/>
      <c r="I126" s="1254"/>
      <c r="J126" s="1254"/>
      <c r="K126" s="1254"/>
      <c r="L126" s="1254"/>
      <c r="M126" s="1254"/>
      <c r="N126" s="1254"/>
      <c r="O126" s="1254"/>
    </row>
    <row r="127" spans="2:15" s="13" customFormat="1">
      <c r="B127" s="1588">
        <v>323</v>
      </c>
      <c r="C127" s="501" t="s">
        <v>1164</v>
      </c>
      <c r="D127" s="495" t="s">
        <v>123</v>
      </c>
      <c r="E127" s="495" t="str">
        <f>IFERROR(VLOOKUP(B127,Inputs!$B$69:$C$173,2,FALSE),"N/A")</f>
        <v>N/A</v>
      </c>
      <c r="F127" s="1589" t="str">
        <f>IFERROR(VLOOKUP(B127,Inputs!$B$69:$D$173,3,FALSE),"N/A")</f>
        <v>N/A</v>
      </c>
      <c r="G127" s="1254"/>
      <c r="H127" s="1254"/>
      <c r="I127" s="1254"/>
      <c r="J127" s="1254"/>
      <c r="K127" s="1254"/>
      <c r="L127" s="1254"/>
      <c r="M127" s="1254"/>
      <c r="N127" s="1254"/>
      <c r="O127" s="1254"/>
    </row>
    <row r="128" spans="2:15" s="13" customFormat="1">
      <c r="B128" s="1588">
        <v>324</v>
      </c>
      <c r="C128" s="501" t="s">
        <v>1165</v>
      </c>
      <c r="D128" s="495" t="s">
        <v>123</v>
      </c>
      <c r="E128" s="495" t="str">
        <f>IFERROR(VLOOKUP(B128,Inputs!$B$69:$C$173,2,FALSE),"N/A")</f>
        <v>N/A</v>
      </c>
      <c r="F128" s="1589" t="str">
        <f>IFERROR(VLOOKUP(B128,Inputs!$B$69:$D$173,3,FALSE),"N/A")</f>
        <v>N/A</v>
      </c>
      <c r="G128" s="1254"/>
      <c r="H128" s="1254"/>
      <c r="I128" s="1254"/>
      <c r="J128" s="1254"/>
      <c r="K128" s="1254"/>
      <c r="L128" s="1254"/>
      <c r="M128" s="1254"/>
      <c r="N128" s="1254"/>
      <c r="O128" s="1254"/>
    </row>
    <row r="129" spans="2:15" s="13" customFormat="1">
      <c r="B129" s="1588">
        <v>325</v>
      </c>
      <c r="C129" s="501" t="s">
        <v>1166</v>
      </c>
      <c r="D129" s="495" t="s">
        <v>123</v>
      </c>
      <c r="E129" s="495" t="str">
        <f>IFERROR(VLOOKUP(B129,Inputs!$B$69:$C$173,2,FALSE),"N/A")</f>
        <v>N/A</v>
      </c>
      <c r="F129" s="1589" t="str">
        <f>IFERROR(VLOOKUP(B129,Inputs!$B$69:$D$173,3,FALSE),"N/A")</f>
        <v>N/A</v>
      </c>
      <c r="G129" s="1254"/>
      <c r="H129" s="1254"/>
      <c r="I129" s="1254"/>
      <c r="J129" s="1254"/>
      <c r="K129" s="1254"/>
      <c r="L129" s="1254"/>
      <c r="M129" s="1254"/>
      <c r="N129" s="1254"/>
      <c r="O129" s="1254"/>
    </row>
    <row r="130" spans="2:15" s="13" customFormat="1">
      <c r="B130" s="1588">
        <v>326</v>
      </c>
      <c r="C130" s="501" t="s">
        <v>1167</v>
      </c>
      <c r="D130" s="495" t="s">
        <v>123</v>
      </c>
      <c r="E130" s="495" t="str">
        <f>IFERROR(VLOOKUP(B130,Inputs!$B$69:$C$173,2,FALSE),"N/A")</f>
        <v>N/A</v>
      </c>
      <c r="F130" s="1589" t="str">
        <f>IFERROR(VLOOKUP(B130,Inputs!$B$69:$D$173,3,FALSE),"N/A")</f>
        <v>N/A</v>
      </c>
      <c r="G130" s="1254"/>
      <c r="H130" s="1254"/>
      <c r="I130" s="1254"/>
      <c r="J130" s="1254"/>
      <c r="K130" s="1254"/>
      <c r="L130" s="1254"/>
      <c r="M130" s="1254"/>
      <c r="N130" s="1254"/>
      <c r="O130" s="1254"/>
    </row>
    <row r="131" spans="2:15" s="13" customFormat="1">
      <c r="B131" s="1588">
        <v>327</v>
      </c>
      <c r="C131" s="501" t="s">
        <v>1168</v>
      </c>
      <c r="D131" s="495" t="s">
        <v>123</v>
      </c>
      <c r="E131" s="495" t="str">
        <f>IFERROR(VLOOKUP(B131,Inputs!$B$69:$C$173,2,FALSE),"N/A")</f>
        <v>N/A</v>
      </c>
      <c r="F131" s="1589" t="str">
        <f>IFERROR(VLOOKUP(B131,Inputs!$B$69:$D$173,3,FALSE),"N/A")</f>
        <v>N/A</v>
      </c>
      <c r="G131" s="1254"/>
      <c r="H131" s="1254"/>
      <c r="I131" s="1254"/>
      <c r="J131" s="1254"/>
      <c r="K131" s="1254"/>
      <c r="L131" s="1254"/>
      <c r="M131" s="1254"/>
      <c r="N131" s="1254"/>
      <c r="O131" s="1254"/>
    </row>
    <row r="132" spans="2:15" s="13" customFormat="1">
      <c r="B132" s="1588">
        <v>331</v>
      </c>
      <c r="C132" s="501" t="s">
        <v>1169</v>
      </c>
      <c r="D132" s="495" t="s">
        <v>123</v>
      </c>
      <c r="E132" s="495" t="str">
        <f>IFERROR(VLOOKUP(B132,Inputs!$B$69:$C$173,2,FALSE),"N/A")</f>
        <v>N/A</v>
      </c>
      <c r="F132" s="1589" t="str">
        <f>IFERROR(VLOOKUP(B132,Inputs!$B$69:$D$173,3,FALSE),"N/A")</f>
        <v>N/A</v>
      </c>
      <c r="G132" s="1254"/>
      <c r="H132" s="1254"/>
      <c r="I132" s="1254"/>
      <c r="J132" s="1254"/>
      <c r="K132" s="1254"/>
      <c r="L132" s="1254"/>
      <c r="M132" s="1254"/>
      <c r="N132" s="1254"/>
      <c r="O132" s="1254"/>
    </row>
    <row r="133" spans="2:15" s="13" customFormat="1">
      <c r="B133" s="1588">
        <v>332</v>
      </c>
      <c r="C133" s="501" t="s">
        <v>1170</v>
      </c>
      <c r="D133" s="495" t="s">
        <v>123</v>
      </c>
      <c r="E133" s="495" t="str">
        <f>IFERROR(VLOOKUP(B133,Inputs!$B$69:$C$173,2,FALSE),"N/A")</f>
        <v>N/A</v>
      </c>
      <c r="F133" s="1589" t="str">
        <f>IFERROR(VLOOKUP(B133,Inputs!$B$69:$D$173,3,FALSE),"N/A")</f>
        <v>N/A</v>
      </c>
      <c r="G133" s="1254"/>
      <c r="H133" s="1254"/>
      <c r="I133" s="1254"/>
      <c r="J133" s="1254"/>
      <c r="K133" s="1254"/>
      <c r="L133" s="1254"/>
      <c r="M133" s="1254"/>
      <c r="N133" s="1254"/>
      <c r="O133" s="1254"/>
    </row>
    <row r="134" spans="2:15" s="13" customFormat="1">
      <c r="B134" s="1588">
        <v>333</v>
      </c>
      <c r="C134" s="501" t="s">
        <v>1171</v>
      </c>
      <c r="D134" s="495" t="s">
        <v>123</v>
      </c>
      <c r="E134" s="495" t="str">
        <f>IFERROR(VLOOKUP(B134,Inputs!$B$69:$C$173,2,FALSE),"N/A")</f>
        <v>N/A</v>
      </c>
      <c r="F134" s="1589" t="str">
        <f>IFERROR(VLOOKUP(B134,Inputs!$B$69:$D$173,3,FALSE),"N/A")</f>
        <v>N/A</v>
      </c>
      <c r="G134" s="1254"/>
      <c r="H134" s="1254"/>
      <c r="I134" s="1254"/>
      <c r="J134" s="1254"/>
      <c r="K134" s="1254"/>
      <c r="L134" s="1254"/>
      <c r="M134" s="1254"/>
      <c r="N134" s="1254"/>
      <c r="O134" s="1254"/>
    </row>
    <row r="135" spans="2:15" s="13" customFormat="1">
      <c r="B135" s="1588">
        <v>334</v>
      </c>
      <c r="C135" s="501" t="s">
        <v>1172</v>
      </c>
      <c r="D135" s="495" t="s">
        <v>123</v>
      </c>
      <c r="E135" s="495" t="str">
        <f>IFERROR(VLOOKUP(B135,Inputs!$B$69:$C$173,2,FALSE),"N/A")</f>
        <v>N/A</v>
      </c>
      <c r="F135" s="1589" t="str">
        <f>IFERROR(VLOOKUP(B135,Inputs!$B$69:$D$173,3,FALSE),"N/A")</f>
        <v>N/A</v>
      </c>
      <c r="G135" s="1254"/>
      <c r="H135" s="1254"/>
      <c r="I135" s="1254"/>
      <c r="J135" s="1254"/>
      <c r="K135" s="1254"/>
      <c r="L135" s="1254"/>
      <c r="M135" s="1254"/>
      <c r="N135" s="1254"/>
      <c r="O135" s="1254"/>
    </row>
    <row r="136" spans="2:15" s="13" customFormat="1">
      <c r="B136" s="1588">
        <v>335</v>
      </c>
      <c r="C136" s="501" t="s">
        <v>1173</v>
      </c>
      <c r="D136" s="495" t="s">
        <v>123</v>
      </c>
      <c r="E136" s="495" t="str">
        <f>IFERROR(VLOOKUP(B136,Inputs!$B$69:$C$173,2,FALSE),"N/A")</f>
        <v>N/A</v>
      </c>
      <c r="F136" s="1589" t="str">
        <f>IFERROR(VLOOKUP(B136,Inputs!$B$69:$D$173,3,FALSE),"N/A")</f>
        <v>N/A</v>
      </c>
      <c r="G136" s="1254"/>
      <c r="H136" s="1254"/>
      <c r="I136" s="1254"/>
      <c r="J136" s="1254"/>
      <c r="K136" s="1254"/>
      <c r="L136" s="1254"/>
      <c r="M136" s="1254"/>
      <c r="N136" s="1254"/>
      <c r="O136" s="1254"/>
    </row>
    <row r="137" spans="2:15" s="13" customFormat="1">
      <c r="B137" s="1588">
        <v>336</v>
      </c>
      <c r="C137" s="501" t="s">
        <v>1174</v>
      </c>
      <c r="D137" s="495" t="s">
        <v>123</v>
      </c>
      <c r="E137" s="495" t="str">
        <f>IFERROR(VLOOKUP(B137,Inputs!$B$69:$C$173,2,FALSE),"N/A")</f>
        <v>N/A</v>
      </c>
      <c r="F137" s="1589" t="str">
        <f>IFERROR(VLOOKUP(B137,Inputs!$B$69:$D$173,3,FALSE),"N/A")</f>
        <v>N/A</v>
      </c>
      <c r="G137" s="1254"/>
      <c r="H137" s="1254"/>
      <c r="I137" s="1254"/>
      <c r="J137" s="1254"/>
      <c r="K137" s="1254"/>
      <c r="L137" s="1254"/>
      <c r="M137" s="1254"/>
      <c r="N137" s="1254"/>
      <c r="O137" s="1254"/>
    </row>
    <row r="138" spans="2:15" s="13" customFormat="1">
      <c r="B138" s="1588">
        <v>337</v>
      </c>
      <c r="C138" s="501" t="s">
        <v>1175</v>
      </c>
      <c r="D138" s="495" t="s">
        <v>123</v>
      </c>
      <c r="E138" s="495" t="str">
        <f>IFERROR(VLOOKUP(B138,Inputs!$B$69:$C$173,2,FALSE),"N/A")</f>
        <v>N/A</v>
      </c>
      <c r="F138" s="1589" t="str">
        <f>IFERROR(VLOOKUP(B138,Inputs!$B$69:$D$173,3,FALSE),"N/A")</f>
        <v>N/A</v>
      </c>
      <c r="G138" s="1254"/>
      <c r="H138" s="1254"/>
      <c r="I138" s="1254"/>
      <c r="J138" s="1254"/>
      <c r="K138" s="1254"/>
      <c r="L138" s="1254"/>
      <c r="M138" s="1254"/>
      <c r="N138" s="1254"/>
      <c r="O138" s="1254"/>
    </row>
    <row r="139" spans="2:15" s="13" customFormat="1">
      <c r="B139" s="1588">
        <v>339</v>
      </c>
      <c r="C139" s="501" t="s">
        <v>1176</v>
      </c>
      <c r="D139" s="495" t="s">
        <v>123</v>
      </c>
      <c r="E139" s="495" t="str">
        <f>IFERROR(VLOOKUP(B139,Inputs!$B$69:$C$173,2,FALSE),"N/A")</f>
        <v>N/A</v>
      </c>
      <c r="F139" s="1589" t="str">
        <f>IFERROR(VLOOKUP(B139,Inputs!$B$69:$D$173,3,FALSE),"N/A")</f>
        <v>N/A</v>
      </c>
      <c r="G139" s="1254"/>
      <c r="H139" s="1254"/>
      <c r="I139" s="1254"/>
      <c r="J139" s="1254"/>
      <c r="K139" s="1254"/>
      <c r="L139" s="1254"/>
      <c r="M139" s="1254"/>
      <c r="N139" s="1254"/>
      <c r="O139" s="1254"/>
    </row>
    <row r="140" spans="2:15" s="13" customFormat="1">
      <c r="B140" s="1588">
        <v>423</v>
      </c>
      <c r="C140" s="501" t="s">
        <v>1201</v>
      </c>
      <c r="D140" s="495" t="s">
        <v>213</v>
      </c>
      <c r="E140" s="495" t="str">
        <f>IFERROR(VLOOKUP(B140,Inputs!$B$69:$C$173,2,FALSE),"N/A")</f>
        <v>N/A</v>
      </c>
      <c r="F140" s="1589" t="str">
        <f>IFERROR(VLOOKUP(B140,Inputs!$B$69:$D$173,3,FALSE),"N/A")</f>
        <v>N/A</v>
      </c>
      <c r="G140" s="1254"/>
      <c r="H140" s="1254"/>
      <c r="I140" s="1254"/>
      <c r="J140" s="1254"/>
      <c r="K140" s="1254"/>
      <c r="L140" s="1254"/>
      <c r="M140" s="1254"/>
      <c r="N140" s="1254"/>
      <c r="O140" s="1254"/>
    </row>
    <row r="141" spans="2:15" s="13" customFormat="1">
      <c r="B141" s="1588">
        <v>424</v>
      </c>
      <c r="C141" s="501" t="s">
        <v>1201</v>
      </c>
      <c r="D141" s="495" t="s">
        <v>213</v>
      </c>
      <c r="E141" s="495">
        <f>IFERROR(VLOOKUP(B141,Inputs!$B$69:$C$173,2,FALSE),"N/A")</f>
        <v>6</v>
      </c>
      <c r="F141" s="1589">
        <f>IFERROR(VLOOKUP(B141,Inputs!$B$69:$D$173,3,FALSE),"N/A")</f>
        <v>28</v>
      </c>
      <c r="G141" s="1254"/>
      <c r="H141" s="1254"/>
      <c r="I141" s="1254"/>
      <c r="J141" s="1254"/>
      <c r="K141" s="1254"/>
      <c r="L141" s="1254"/>
      <c r="M141" s="1254"/>
      <c r="N141" s="1254"/>
      <c r="O141" s="1254"/>
    </row>
    <row r="142" spans="2:15" s="13" customFormat="1">
      <c r="B142" s="1588">
        <v>425</v>
      </c>
      <c r="C142" s="501" t="s">
        <v>1202</v>
      </c>
      <c r="D142" s="495" t="s">
        <v>1190</v>
      </c>
      <c r="E142" s="495">
        <f>IFERROR(VLOOKUP(B142,Inputs!$B$69:$C$173,2,FALSE),"N/A")</f>
        <v>3</v>
      </c>
      <c r="F142" s="1589">
        <f>IFERROR(VLOOKUP(B142,Inputs!$B$69:$D$173,3,FALSE),"N/A")</f>
        <v>4</v>
      </c>
      <c r="G142" s="1254"/>
      <c r="H142" s="1254"/>
      <c r="I142" s="1254"/>
      <c r="J142" s="1254"/>
      <c r="K142" s="1254"/>
      <c r="L142" s="1254"/>
      <c r="M142" s="1254"/>
      <c r="N142" s="1254"/>
      <c r="O142" s="1254"/>
    </row>
    <row r="143" spans="2:15" s="13" customFormat="1">
      <c r="B143" s="1588">
        <v>441</v>
      </c>
      <c r="C143" s="501" t="s">
        <v>1203</v>
      </c>
      <c r="D143" s="495" t="s">
        <v>213</v>
      </c>
      <c r="E143" s="495">
        <f>IFERROR(VLOOKUP(B143,Inputs!$B$69:$C$173,2,FALSE),"N/A")</f>
        <v>5</v>
      </c>
      <c r="F143" s="1589">
        <f>IFERROR(VLOOKUP(B143,Inputs!$B$69:$D$173,3,FALSE),"N/A")</f>
        <v>70</v>
      </c>
      <c r="G143" s="1254"/>
      <c r="H143" s="1254"/>
      <c r="I143" s="1254"/>
      <c r="J143" s="1254"/>
      <c r="K143" s="1254"/>
      <c r="L143" s="1254"/>
      <c r="M143" s="1254"/>
      <c r="N143" s="1254"/>
      <c r="O143" s="1254"/>
    </row>
    <row r="144" spans="2:15" s="13" customFormat="1">
      <c r="B144" s="1588">
        <v>442</v>
      </c>
      <c r="C144" s="501" t="s">
        <v>1203</v>
      </c>
      <c r="D144" s="495" t="s">
        <v>213</v>
      </c>
      <c r="E144" s="495">
        <f>IFERROR(VLOOKUP(B144,Inputs!$B$69:$C$173,2,FALSE),"N/A")</f>
        <v>11</v>
      </c>
      <c r="F144" s="1589">
        <f>IFERROR(VLOOKUP(B144,Inputs!$B$69:$D$173,3,FALSE),"N/A")</f>
        <v>58</v>
      </c>
      <c r="G144" s="1254"/>
      <c r="H144" s="1254"/>
      <c r="I144" s="1254"/>
      <c r="J144" s="1254"/>
      <c r="K144" s="1254"/>
      <c r="L144" s="1254"/>
      <c r="M144" s="1254"/>
      <c r="N144" s="1254"/>
      <c r="O144" s="1254"/>
    </row>
    <row r="145" spans="2:15" s="13" customFormat="1">
      <c r="B145" s="1588">
        <v>443</v>
      </c>
      <c r="C145" s="501" t="s">
        <v>1203</v>
      </c>
      <c r="D145" s="495" t="s">
        <v>213</v>
      </c>
      <c r="E145" s="495" t="str">
        <f>IFERROR(VLOOKUP(B145,Inputs!$B$69:$C$173,2,FALSE),"N/A")</f>
        <v>N/A</v>
      </c>
      <c r="F145" s="1589" t="str">
        <f>IFERROR(VLOOKUP(B145,Inputs!$B$69:$D$173,3,FALSE),"N/A")</f>
        <v>N/A</v>
      </c>
      <c r="G145" s="1254"/>
      <c r="H145" s="1254"/>
      <c r="I145" s="1254"/>
      <c r="J145" s="1254"/>
      <c r="K145" s="1254"/>
      <c r="L145" s="1254"/>
      <c r="M145" s="1254"/>
      <c r="N145" s="1254"/>
      <c r="O145" s="1254"/>
    </row>
    <row r="146" spans="2:15" s="13" customFormat="1">
      <c r="B146" s="1588">
        <v>444</v>
      </c>
      <c r="C146" s="501" t="s">
        <v>1203</v>
      </c>
      <c r="D146" s="495" t="s">
        <v>213</v>
      </c>
      <c r="E146" s="495">
        <f>IFERROR(VLOOKUP(B146,Inputs!$B$69:$C$173,2,FALSE),"N/A")</f>
        <v>13</v>
      </c>
      <c r="F146" s="1589">
        <f>IFERROR(VLOOKUP(B146,Inputs!$B$69:$D$173,3,FALSE),"N/A")</f>
        <v>203</v>
      </c>
      <c r="G146" s="1254"/>
      <c r="H146" s="1254"/>
      <c r="I146" s="1254"/>
      <c r="J146" s="1254"/>
      <c r="K146" s="1254"/>
      <c r="L146" s="1254"/>
      <c r="M146" s="1254"/>
      <c r="N146" s="1254"/>
      <c r="O146" s="1254"/>
    </row>
    <row r="147" spans="2:15" s="13" customFormat="1">
      <c r="B147" s="1588">
        <v>445</v>
      </c>
      <c r="C147" s="501" t="s">
        <v>1204</v>
      </c>
      <c r="D147" s="495" t="s">
        <v>213</v>
      </c>
      <c r="E147" s="495">
        <f>IFERROR(VLOOKUP(B147,Inputs!$B$69:$C$173,2,FALSE),"N/A")</f>
        <v>20</v>
      </c>
      <c r="F147" s="1589">
        <f>IFERROR(VLOOKUP(B147,Inputs!$B$69:$D$173,3,FALSE),"N/A")</f>
        <v>313</v>
      </c>
      <c r="G147" s="1254"/>
      <c r="H147" s="1254"/>
      <c r="I147" s="1254"/>
      <c r="J147" s="1254"/>
      <c r="K147" s="1254"/>
      <c r="L147" s="1254"/>
      <c r="M147" s="1254"/>
      <c r="N147" s="1254"/>
      <c r="O147" s="1254"/>
    </row>
    <row r="148" spans="2:15" s="13" customFormat="1">
      <c r="B148" s="1588">
        <v>446</v>
      </c>
      <c r="C148" s="501" t="s">
        <v>1205</v>
      </c>
      <c r="D148" s="495" t="s">
        <v>213</v>
      </c>
      <c r="E148" s="495">
        <f>IFERROR(VLOOKUP(B148,Inputs!$B$69:$C$173,2,FALSE),"N/A")</f>
        <v>4</v>
      </c>
      <c r="F148" s="1589">
        <f>IFERROR(VLOOKUP(B148,Inputs!$B$69:$D$173,3,FALSE),"N/A")</f>
        <v>40</v>
      </c>
      <c r="G148" s="1254"/>
      <c r="H148" s="1254"/>
      <c r="I148" s="1254"/>
      <c r="J148" s="1254"/>
      <c r="K148" s="1254"/>
      <c r="L148" s="1254"/>
      <c r="M148" s="1254"/>
      <c r="N148" s="1254"/>
      <c r="O148" s="1254"/>
    </row>
    <row r="149" spans="2:15" s="13" customFormat="1">
      <c r="B149" s="1588">
        <v>447</v>
      </c>
      <c r="C149" s="501" t="s">
        <v>1206</v>
      </c>
      <c r="D149" s="495" t="s">
        <v>213</v>
      </c>
      <c r="E149" s="495">
        <f>IFERROR(VLOOKUP(B149,Inputs!$B$69:$C$173,2,FALSE),"N/A")</f>
        <v>3</v>
      </c>
      <c r="F149" s="1589">
        <f>IFERROR(VLOOKUP(B149,Inputs!$B$69:$D$173,3,FALSE),"N/A")</f>
        <v>43</v>
      </c>
      <c r="G149" s="1254"/>
      <c r="H149" s="1254"/>
      <c r="I149" s="1254"/>
      <c r="J149" s="1254"/>
      <c r="K149" s="1254"/>
      <c r="L149" s="1254"/>
      <c r="M149" s="1254"/>
      <c r="N149" s="1254"/>
      <c r="O149" s="1254"/>
    </row>
    <row r="150" spans="2:15" s="13" customFormat="1">
      <c r="B150" s="1588">
        <v>448</v>
      </c>
      <c r="C150" s="501" t="s">
        <v>1205</v>
      </c>
      <c r="D150" s="495" t="s">
        <v>213</v>
      </c>
      <c r="E150" s="495">
        <f>IFERROR(VLOOKUP(B150,Inputs!$B$69:$C$173,2,FALSE),"N/A")</f>
        <v>61</v>
      </c>
      <c r="F150" s="1589">
        <f>IFERROR(VLOOKUP(B150,Inputs!$B$69:$D$173,3,FALSE),"N/A")</f>
        <v>213</v>
      </c>
      <c r="G150" s="1254"/>
      <c r="H150" s="1254"/>
      <c r="I150" s="1254"/>
      <c r="J150" s="1254"/>
      <c r="K150" s="1254"/>
      <c r="L150" s="1254"/>
      <c r="M150" s="1254"/>
      <c r="N150" s="1254"/>
      <c r="O150" s="1254"/>
    </row>
    <row r="151" spans="2:15" s="13" customFormat="1">
      <c r="B151" s="1588">
        <v>451</v>
      </c>
      <c r="C151" s="501" t="s">
        <v>1203</v>
      </c>
      <c r="D151" s="495" t="s">
        <v>213</v>
      </c>
      <c r="E151" s="495">
        <f>IFERROR(VLOOKUP(B151,Inputs!$B$69:$C$173,2,FALSE),"N/A")</f>
        <v>9</v>
      </c>
      <c r="F151" s="1589">
        <f>IFERROR(VLOOKUP(B151,Inputs!$B$69:$D$173,3,FALSE),"N/A")</f>
        <v>25</v>
      </c>
      <c r="G151" s="1254"/>
      <c r="H151" s="1254"/>
      <c r="I151" s="1254"/>
      <c r="J151" s="1254"/>
      <c r="K151" s="1254"/>
      <c r="L151" s="1254"/>
      <c r="M151" s="1254"/>
      <c r="N151" s="1254"/>
      <c r="O151" s="1254"/>
    </row>
    <row r="152" spans="2:15" s="13" customFormat="1">
      <c r="B152" s="1588">
        <v>452</v>
      </c>
      <c r="C152" s="501" t="s">
        <v>1203</v>
      </c>
      <c r="D152" s="495" t="s">
        <v>213</v>
      </c>
      <c r="E152" s="495" t="str">
        <f>IFERROR(VLOOKUP(B152,Inputs!$B$69:$C$173,2,FALSE),"N/A")</f>
        <v>N/A</v>
      </c>
      <c r="F152" s="1589" t="str">
        <f>IFERROR(VLOOKUP(B152,Inputs!$B$69:$D$173,3,FALSE),"N/A")</f>
        <v>N/A</v>
      </c>
      <c r="G152" s="1254"/>
      <c r="H152" s="1254"/>
      <c r="I152" s="1254"/>
      <c r="J152" s="1254"/>
      <c r="K152" s="1254"/>
      <c r="L152" s="1254"/>
      <c r="M152" s="1254"/>
      <c r="N152" s="1254"/>
      <c r="O152" s="1254"/>
    </row>
    <row r="153" spans="2:15" s="13" customFormat="1">
      <c r="B153" s="1588">
        <v>453</v>
      </c>
      <c r="C153" s="501" t="s">
        <v>1203</v>
      </c>
      <c r="D153" s="495" t="s">
        <v>213</v>
      </c>
      <c r="E153" s="495">
        <f>IFERROR(VLOOKUP(B153,Inputs!$B$69:$C$173,2,FALSE),"N/A")</f>
        <v>26</v>
      </c>
      <c r="F153" s="1589">
        <f>IFERROR(VLOOKUP(B153,Inputs!$B$69:$D$173,3,FALSE),"N/A")</f>
        <v>82</v>
      </c>
      <c r="G153" s="1254"/>
      <c r="H153" s="1254"/>
      <c r="I153" s="1254"/>
      <c r="J153" s="1254"/>
      <c r="K153" s="1254"/>
      <c r="L153" s="1254"/>
      <c r="M153" s="1254"/>
      <c r="N153" s="1254"/>
      <c r="O153" s="1254"/>
    </row>
    <row r="154" spans="2:15" s="13" customFormat="1">
      <c r="B154" s="1588">
        <v>454</v>
      </c>
      <c r="C154" s="501" t="s">
        <v>1207</v>
      </c>
      <c r="D154" s="495" t="s">
        <v>213</v>
      </c>
      <c r="E154" s="495" t="str">
        <f>IFERROR(VLOOKUP(B154,Inputs!$B$69:$C$173,2,FALSE),"N/A")</f>
        <v>N/A</v>
      </c>
      <c r="F154" s="1589" t="str">
        <f>IFERROR(VLOOKUP(B154,Inputs!$B$69:$D$173,3,FALSE),"N/A")</f>
        <v>N/A</v>
      </c>
      <c r="G154" s="1254"/>
      <c r="H154" s="1254"/>
      <c r="I154" s="1254"/>
      <c r="J154" s="1254"/>
      <c r="K154" s="1254"/>
      <c r="L154" s="1254"/>
      <c r="M154" s="1254"/>
      <c r="N154" s="1254"/>
      <c r="O154" s="1254"/>
    </row>
    <row r="155" spans="2:15" s="13" customFormat="1">
      <c r="B155" s="1588">
        <v>481</v>
      </c>
      <c r="C155" s="501" t="s">
        <v>1207</v>
      </c>
      <c r="D155" s="495" t="s">
        <v>213</v>
      </c>
      <c r="E155" s="495" t="str">
        <f>IFERROR(VLOOKUP(B155,Inputs!$B$69:$C$173,2,FALSE),"N/A")</f>
        <v>N/A</v>
      </c>
      <c r="F155" s="1589" t="str">
        <f>IFERROR(VLOOKUP(B155,Inputs!$B$69:$D$173,3,FALSE),"N/A")</f>
        <v>N/A</v>
      </c>
      <c r="G155" s="1254"/>
      <c r="H155" s="1254"/>
      <c r="I155" s="1254"/>
      <c r="J155" s="1254"/>
      <c r="K155" s="1254"/>
      <c r="L155" s="1254"/>
      <c r="M155" s="1254"/>
      <c r="N155" s="1254"/>
      <c r="O155" s="1254"/>
    </row>
    <row r="156" spans="2:15" s="13" customFormat="1">
      <c r="B156" s="1588">
        <v>482</v>
      </c>
      <c r="C156" s="501" t="s">
        <v>1208</v>
      </c>
      <c r="D156" s="495" t="s">
        <v>213</v>
      </c>
      <c r="E156" s="495" t="str">
        <f>IFERROR(VLOOKUP(B156,Inputs!$B$69:$C$173,2,FALSE),"N/A")</f>
        <v>N/A</v>
      </c>
      <c r="F156" s="1589" t="str">
        <f>IFERROR(VLOOKUP(B156,Inputs!$B$69:$D$173,3,FALSE),"N/A")</f>
        <v>N/A</v>
      </c>
      <c r="G156" s="1254"/>
      <c r="H156" s="1254"/>
      <c r="I156" s="1254"/>
      <c r="J156" s="1254"/>
      <c r="K156" s="1254"/>
      <c r="L156" s="1254"/>
      <c r="M156" s="1254"/>
      <c r="N156" s="1254"/>
      <c r="O156" s="1254"/>
    </row>
    <row r="157" spans="2:15" s="13" customFormat="1">
      <c r="B157" s="1588">
        <v>483</v>
      </c>
      <c r="C157" s="501" t="s">
        <v>1206</v>
      </c>
      <c r="D157" s="495" t="s">
        <v>213</v>
      </c>
      <c r="E157" s="495" t="str">
        <f>IFERROR(VLOOKUP(B157,Inputs!$B$69:$C$173,2,FALSE),"N/A")</f>
        <v>N/A</v>
      </c>
      <c r="F157" s="1589" t="str">
        <f>IFERROR(VLOOKUP(B157,Inputs!$B$69:$D$173,3,FALSE),"N/A")</f>
        <v>N/A</v>
      </c>
      <c r="G157" s="1254"/>
      <c r="H157" s="1254"/>
      <c r="I157" s="1254"/>
      <c r="J157" s="1254"/>
      <c r="K157" s="1254"/>
      <c r="L157" s="1254"/>
      <c r="M157" s="1254"/>
      <c r="N157" s="1254"/>
      <c r="O157" s="1254"/>
    </row>
    <row r="158" spans="2:15" s="13" customFormat="1">
      <c r="B158" s="1588">
        <v>484</v>
      </c>
      <c r="C158" s="501" t="s">
        <v>1206</v>
      </c>
      <c r="D158" s="495" t="s">
        <v>213</v>
      </c>
      <c r="E158" s="495">
        <f>IFERROR(VLOOKUP(B158,Inputs!$B$69:$C$173,2,FALSE),"N/A")</f>
        <v>4</v>
      </c>
      <c r="F158" s="1589">
        <f>IFERROR(VLOOKUP(B158,Inputs!$B$69:$D$173,3,FALSE),"N/A")</f>
        <v>59</v>
      </c>
      <c r="G158" s="1254"/>
      <c r="H158" s="1254"/>
      <c r="I158" s="1254"/>
      <c r="J158" s="1254"/>
      <c r="K158" s="1254"/>
      <c r="L158" s="1254"/>
      <c r="M158" s="1254"/>
      <c r="N158" s="1254"/>
      <c r="O158" s="1254"/>
    </row>
    <row r="159" spans="2:15" s="13" customFormat="1">
      <c r="B159" s="1588">
        <v>485</v>
      </c>
      <c r="C159" s="501" t="s">
        <v>1208</v>
      </c>
      <c r="D159" s="495" t="s">
        <v>213</v>
      </c>
      <c r="E159" s="495" t="str">
        <f>IFERROR(VLOOKUP(B159,Inputs!$B$69:$C$173,2,FALSE),"N/A")</f>
        <v>N/A</v>
      </c>
      <c r="F159" s="1589" t="str">
        <f>IFERROR(VLOOKUP(B159,Inputs!$B$69:$D$173,3,FALSE),"N/A")</f>
        <v>N/A</v>
      </c>
      <c r="G159" s="1254"/>
      <c r="H159" s="1254"/>
      <c r="I159" s="1254"/>
      <c r="J159" s="1254"/>
      <c r="K159" s="1254"/>
      <c r="L159" s="1254"/>
      <c r="M159" s="1254"/>
      <c r="N159" s="1254"/>
      <c r="O159" s="1254"/>
    </row>
    <row r="160" spans="2:15" s="13" customFormat="1">
      <c r="B160" s="1588">
        <v>486</v>
      </c>
      <c r="C160" s="501" t="s">
        <v>1209</v>
      </c>
      <c r="D160" s="495" t="s">
        <v>1190</v>
      </c>
      <c r="E160" s="495" t="str">
        <f>IFERROR(VLOOKUP(B160,Inputs!$B$69:$C$173,2,FALSE),"N/A")</f>
        <v>N/A</v>
      </c>
      <c r="F160" s="1589" t="str">
        <f>IFERROR(VLOOKUP(B160,Inputs!$B$69:$D$173,3,FALSE),"N/A")</f>
        <v>N/A</v>
      </c>
      <c r="G160" s="1254"/>
      <c r="H160" s="1254"/>
      <c r="I160" s="1254"/>
      <c r="J160" s="1254"/>
      <c r="K160" s="1254"/>
      <c r="L160" s="1254"/>
      <c r="M160" s="1254"/>
      <c r="N160" s="1254"/>
      <c r="O160" s="1254"/>
    </row>
    <row r="161" spans="2:15" s="13" customFormat="1">
      <c r="B161" s="1588">
        <v>487</v>
      </c>
      <c r="C161" s="501" t="s">
        <v>1208</v>
      </c>
      <c r="D161" s="495" t="s">
        <v>213</v>
      </c>
      <c r="E161" s="495">
        <f>IFERROR(VLOOKUP(B161,Inputs!$B$69:$C$173,2,FALSE),"N/A")</f>
        <v>5</v>
      </c>
      <c r="F161" s="1589">
        <f>IFERROR(VLOOKUP(B161,Inputs!$B$69:$D$173,3,FALSE),"N/A")</f>
        <v>17</v>
      </c>
      <c r="G161" s="1254"/>
      <c r="H161" s="1254"/>
      <c r="I161" s="1254"/>
      <c r="J161" s="1254"/>
      <c r="K161" s="1254"/>
      <c r="L161" s="1254"/>
      <c r="M161" s="1254"/>
      <c r="N161" s="1254"/>
      <c r="O161" s="1254"/>
    </row>
    <row r="162" spans="2:15" s="13" customFormat="1">
      <c r="B162" s="1588">
        <v>488</v>
      </c>
      <c r="C162" s="501" t="s">
        <v>1206</v>
      </c>
      <c r="D162" s="495" t="s">
        <v>213</v>
      </c>
      <c r="E162" s="495" t="str">
        <f>IFERROR(VLOOKUP(B162,Inputs!$B$69:$C$173,2,FALSE),"N/A")</f>
        <v>N/A</v>
      </c>
      <c r="F162" s="1589" t="str">
        <f>IFERROR(VLOOKUP(B162,Inputs!$B$69:$D$173,3,FALSE),"N/A")</f>
        <v>N/A</v>
      </c>
      <c r="G162" s="1254"/>
      <c r="H162" s="1254"/>
      <c r="I162" s="1254"/>
      <c r="J162" s="1254"/>
      <c r="K162" s="1254"/>
      <c r="L162" s="1254"/>
      <c r="M162" s="1254"/>
      <c r="N162" s="1254"/>
      <c r="O162" s="1254"/>
    </row>
    <row r="163" spans="2:15" s="13" customFormat="1">
      <c r="B163" s="1588">
        <v>491</v>
      </c>
      <c r="C163" s="501" t="s">
        <v>1206</v>
      </c>
      <c r="D163" s="495" t="s">
        <v>213</v>
      </c>
      <c r="E163" s="495" t="str">
        <f>IFERROR(VLOOKUP(B163,Inputs!$B$69:$C$173,2,FALSE),"N/A")</f>
        <v>N/A</v>
      </c>
      <c r="F163" s="1589" t="str">
        <f>IFERROR(VLOOKUP(B163,Inputs!$B$69:$D$173,3,FALSE),"N/A")</f>
        <v>N/A</v>
      </c>
      <c r="G163" s="1254"/>
      <c r="H163" s="1254"/>
      <c r="I163" s="1254"/>
      <c r="J163" s="1254"/>
      <c r="K163" s="1254"/>
      <c r="L163" s="1254"/>
      <c r="M163" s="1254"/>
      <c r="N163" s="1254"/>
      <c r="O163" s="1254"/>
    </row>
    <row r="164" spans="2:15" s="13" customFormat="1">
      <c r="B164" s="1588">
        <v>492</v>
      </c>
      <c r="C164" s="501" t="s">
        <v>1206</v>
      </c>
      <c r="D164" s="495" t="s">
        <v>213</v>
      </c>
      <c r="E164" s="495">
        <f>IFERROR(VLOOKUP(B164,Inputs!$B$69:$C$173,2,FALSE),"N/A")</f>
        <v>5</v>
      </c>
      <c r="F164" s="1589">
        <f>IFERROR(VLOOKUP(B164,Inputs!$B$69:$D$173,3,FALSE),"N/A")</f>
        <v>50</v>
      </c>
      <c r="G164" s="1254"/>
      <c r="H164" s="1254"/>
      <c r="I164" s="1254"/>
      <c r="J164" s="1254"/>
      <c r="K164" s="1254"/>
      <c r="L164" s="1254"/>
      <c r="M164" s="1254"/>
      <c r="N164" s="1254"/>
      <c r="O164" s="1254"/>
    </row>
    <row r="165" spans="2:15" s="13" customFormat="1">
      <c r="B165" s="1588">
        <v>493</v>
      </c>
      <c r="C165" s="501" t="s">
        <v>1201</v>
      </c>
      <c r="D165" s="495" t="s">
        <v>213</v>
      </c>
      <c r="E165" s="495" t="str">
        <f>IFERROR(VLOOKUP(B165,Inputs!$B$69:$C$173,2,FALSE),"N/A")</f>
        <v>N/A</v>
      </c>
      <c r="F165" s="1589" t="str">
        <f>IFERROR(VLOOKUP(B165,Inputs!$B$69:$D$173,3,FALSE),"N/A")</f>
        <v>N/A</v>
      </c>
      <c r="G165" s="1254"/>
      <c r="H165" s="1254"/>
      <c r="I165" s="1254"/>
      <c r="J165" s="1254"/>
      <c r="K165" s="1254"/>
      <c r="L165" s="1254"/>
      <c r="M165" s="1254"/>
      <c r="N165" s="1254"/>
      <c r="O165" s="1254"/>
    </row>
    <row r="166" spans="2:15" s="13" customFormat="1">
      <c r="B166" s="1588">
        <v>511</v>
      </c>
      <c r="C166" s="501" t="s">
        <v>1207</v>
      </c>
      <c r="D166" s="495" t="s">
        <v>213</v>
      </c>
      <c r="E166" s="495">
        <f>IFERROR(VLOOKUP(B166,Inputs!$B$69:$C$173,2,FALSE),"N/A")</f>
        <v>4</v>
      </c>
      <c r="F166" s="1589">
        <f>IFERROR(VLOOKUP(B166,Inputs!$B$69:$D$173,3,FALSE),"N/A")</f>
        <v>32</v>
      </c>
      <c r="G166" s="1254"/>
      <c r="H166" s="1254"/>
      <c r="I166" s="1254"/>
      <c r="J166" s="1254"/>
      <c r="K166" s="1254"/>
      <c r="L166" s="1254"/>
      <c r="M166" s="1254"/>
      <c r="N166" s="1254"/>
      <c r="O166" s="1254"/>
    </row>
    <row r="167" spans="2:15" s="13" customFormat="1">
      <c r="B167" s="1588">
        <v>512</v>
      </c>
      <c r="C167" s="501" t="s">
        <v>1208</v>
      </c>
      <c r="D167" s="495" t="s">
        <v>213</v>
      </c>
      <c r="E167" s="495" t="str">
        <f>IFERROR(VLOOKUP(B167,Inputs!$B$69:$C$173,2,FALSE),"N/A")</f>
        <v>N/A</v>
      </c>
      <c r="F167" s="1589" t="str">
        <f>IFERROR(VLOOKUP(B167,Inputs!$B$69:$D$173,3,FALSE),"N/A")</f>
        <v>N/A</v>
      </c>
      <c r="G167" s="1254"/>
      <c r="H167" s="1254"/>
      <c r="I167" s="1254"/>
      <c r="J167" s="1254"/>
      <c r="K167" s="1254"/>
      <c r="L167" s="1254"/>
      <c r="M167" s="1254"/>
      <c r="N167" s="1254"/>
      <c r="O167" s="1254"/>
    </row>
    <row r="168" spans="2:15" s="13" customFormat="1">
      <c r="B168" s="1588">
        <v>515</v>
      </c>
      <c r="C168" s="501" t="s">
        <v>1208</v>
      </c>
      <c r="D168" s="495" t="s">
        <v>213</v>
      </c>
      <c r="E168" s="495" t="str">
        <f>IFERROR(VLOOKUP(B168,Inputs!$B$69:$C$173,2,FALSE),"N/A")</f>
        <v>N/A</v>
      </c>
      <c r="F168" s="1589" t="str">
        <f>IFERROR(VLOOKUP(B168,Inputs!$B$69:$D$173,3,FALSE),"N/A")</f>
        <v>N/A</v>
      </c>
      <c r="G168" s="1254"/>
      <c r="H168" s="1254"/>
      <c r="I168" s="1254"/>
      <c r="J168" s="1254"/>
      <c r="K168" s="1254"/>
      <c r="L168" s="1254"/>
      <c r="M168" s="1254"/>
      <c r="N168" s="1254"/>
      <c r="O168" s="1254"/>
    </row>
    <row r="169" spans="2:15" s="13" customFormat="1">
      <c r="B169" s="1588">
        <v>516</v>
      </c>
      <c r="C169" s="501" t="s">
        <v>1207</v>
      </c>
      <c r="D169" s="495" t="s">
        <v>213</v>
      </c>
      <c r="E169" s="495" t="str">
        <f>IFERROR(VLOOKUP(B169,Inputs!$B$69:$C$173,2,FALSE),"N/A")</f>
        <v>N/A</v>
      </c>
      <c r="F169" s="1589" t="str">
        <f>IFERROR(VLOOKUP(B169,Inputs!$B$69:$D$173,3,FALSE),"N/A")</f>
        <v>N/A</v>
      </c>
      <c r="G169" s="1254"/>
      <c r="H169" s="1254"/>
      <c r="I169" s="1254"/>
      <c r="J169" s="1254"/>
      <c r="K169" s="1254"/>
      <c r="L169" s="1254"/>
      <c r="M169" s="1254"/>
      <c r="N169" s="1254"/>
      <c r="O169" s="1254"/>
    </row>
    <row r="170" spans="2:15" s="13" customFormat="1">
      <c r="B170" s="1588">
        <v>517</v>
      </c>
      <c r="C170" s="501" t="s">
        <v>1207</v>
      </c>
      <c r="D170" s="495" t="s">
        <v>213</v>
      </c>
      <c r="E170" s="495" t="str">
        <f>IFERROR(VLOOKUP(B170,Inputs!$B$69:$C$173,2,FALSE),"N/A")</f>
        <v>N/A</v>
      </c>
      <c r="F170" s="1589" t="str">
        <f>IFERROR(VLOOKUP(B170,Inputs!$B$69:$D$173,3,FALSE),"N/A")</f>
        <v>N/A</v>
      </c>
      <c r="G170" s="1254"/>
      <c r="H170" s="1254"/>
      <c r="I170" s="1254"/>
      <c r="J170" s="1254"/>
      <c r="K170" s="1254"/>
      <c r="L170" s="1254"/>
      <c r="M170" s="1254"/>
      <c r="N170" s="1254"/>
      <c r="O170" s="1254"/>
    </row>
    <row r="171" spans="2:15" s="13" customFormat="1">
      <c r="B171" s="1588">
        <v>518</v>
      </c>
      <c r="C171" s="501" t="s">
        <v>1207</v>
      </c>
      <c r="D171" s="495" t="s">
        <v>213</v>
      </c>
      <c r="E171" s="495" t="str">
        <f>IFERROR(VLOOKUP(B171,Inputs!$B$69:$C$173,2,FALSE),"N/A")</f>
        <v>N/A</v>
      </c>
      <c r="F171" s="1589" t="str">
        <f>IFERROR(VLOOKUP(B171,Inputs!$B$69:$D$173,3,FALSE),"N/A")</f>
        <v>N/A</v>
      </c>
      <c r="G171" s="1254"/>
      <c r="H171" s="1254"/>
      <c r="I171" s="1254"/>
      <c r="J171" s="1254"/>
      <c r="K171" s="1254"/>
      <c r="L171" s="1254"/>
      <c r="M171" s="1254"/>
      <c r="N171" s="1254"/>
      <c r="O171" s="1254"/>
    </row>
    <row r="172" spans="2:15" s="13" customFormat="1">
      <c r="B172" s="1588">
        <v>519</v>
      </c>
      <c r="C172" s="501" t="s">
        <v>1207</v>
      </c>
      <c r="D172" s="495" t="s">
        <v>213</v>
      </c>
      <c r="E172" s="495" t="str">
        <f>IFERROR(VLOOKUP(B172,Inputs!$B$69:$C$173,2,FALSE),"N/A")</f>
        <v>N/A</v>
      </c>
      <c r="F172" s="1589" t="str">
        <f>IFERROR(VLOOKUP(B172,Inputs!$B$69:$D$173,3,FALSE),"N/A")</f>
        <v>N/A</v>
      </c>
      <c r="G172" s="1254"/>
      <c r="H172" s="1254"/>
      <c r="I172" s="1254"/>
      <c r="J172" s="1254"/>
      <c r="K172" s="1254"/>
      <c r="L172" s="1254"/>
      <c r="M172" s="1254"/>
      <c r="N172" s="1254"/>
      <c r="O172" s="1254"/>
    </row>
    <row r="173" spans="2:15" s="13" customFormat="1">
      <c r="B173" s="1588">
        <v>521</v>
      </c>
      <c r="C173" s="501" t="s">
        <v>1207</v>
      </c>
      <c r="D173" s="495" t="s">
        <v>213</v>
      </c>
      <c r="E173" s="495" t="str">
        <f>IFERROR(VLOOKUP(B173,Inputs!$B$69:$C$173,2,FALSE),"N/A")</f>
        <v>N/A</v>
      </c>
      <c r="F173" s="1589" t="str">
        <f>IFERROR(VLOOKUP(B173,Inputs!$B$69:$D$173,3,FALSE),"N/A")</f>
        <v>N/A</v>
      </c>
      <c r="G173" s="1254"/>
      <c r="H173" s="1254"/>
      <c r="I173" s="1254"/>
      <c r="J173" s="1254"/>
      <c r="K173" s="1254"/>
      <c r="L173" s="1254"/>
      <c r="M173" s="1254"/>
      <c r="N173" s="1254"/>
      <c r="O173" s="1254"/>
    </row>
    <row r="174" spans="2:15" s="13" customFormat="1">
      <c r="B174" s="1588">
        <v>522</v>
      </c>
      <c r="C174" s="501" t="s">
        <v>1207</v>
      </c>
      <c r="D174" s="495" t="s">
        <v>213</v>
      </c>
      <c r="E174" s="495">
        <f>IFERROR(VLOOKUP(B174,Inputs!$B$69:$C$173,2,FALSE),"N/A")</f>
        <v>9</v>
      </c>
      <c r="F174" s="1589">
        <f>IFERROR(VLOOKUP(B174,Inputs!$B$69:$D$173,3,FALSE),"N/A")</f>
        <v>47</v>
      </c>
      <c r="G174" s="1254"/>
      <c r="H174" s="1254"/>
      <c r="I174" s="1254"/>
      <c r="J174" s="1254"/>
      <c r="K174" s="1254"/>
      <c r="L174" s="1254"/>
      <c r="M174" s="1254"/>
      <c r="N174" s="1254"/>
      <c r="O174" s="1254"/>
    </row>
    <row r="175" spans="2:15" s="13" customFormat="1">
      <c r="B175" s="1588">
        <v>523</v>
      </c>
      <c r="C175" s="501" t="s">
        <v>1207</v>
      </c>
      <c r="D175" s="495" t="s">
        <v>213</v>
      </c>
      <c r="E175" s="495">
        <f>IFERROR(VLOOKUP(B175,Inputs!$B$69:$C$173,2,FALSE),"N/A")</f>
        <v>3</v>
      </c>
      <c r="F175" s="1589">
        <f>IFERROR(VLOOKUP(B175,Inputs!$B$69:$D$173,3,FALSE),"N/A")</f>
        <v>7</v>
      </c>
      <c r="G175" s="1254"/>
      <c r="H175" s="1254"/>
      <c r="I175" s="1254"/>
      <c r="J175" s="1254"/>
      <c r="K175" s="1254"/>
      <c r="L175" s="1254"/>
      <c r="M175" s="1254"/>
      <c r="N175" s="1254"/>
      <c r="O175" s="1254"/>
    </row>
    <row r="176" spans="2:15" s="13" customFormat="1">
      <c r="B176" s="1588">
        <v>524</v>
      </c>
      <c r="C176" s="501" t="s">
        <v>1207</v>
      </c>
      <c r="D176" s="495" t="s">
        <v>213</v>
      </c>
      <c r="E176" s="495">
        <f>IFERROR(VLOOKUP(B176,Inputs!$B$69:$C$173,2,FALSE),"N/A")</f>
        <v>4</v>
      </c>
      <c r="F176" s="1589">
        <f>IFERROR(VLOOKUP(B176,Inputs!$B$69:$D$173,3,FALSE),"N/A")</f>
        <v>26</v>
      </c>
      <c r="G176" s="1254"/>
      <c r="H176" s="1254"/>
      <c r="I176" s="1254"/>
      <c r="J176" s="1254"/>
      <c r="K176" s="1254"/>
      <c r="L176" s="1254"/>
      <c r="M176" s="1254"/>
      <c r="N176" s="1254"/>
      <c r="O176" s="1254"/>
    </row>
    <row r="177" spans="2:15" s="13" customFormat="1">
      <c r="B177" s="1588">
        <v>525</v>
      </c>
      <c r="C177" s="501" t="s">
        <v>1207</v>
      </c>
      <c r="D177" s="495" t="s">
        <v>213</v>
      </c>
      <c r="E177" s="495" t="str">
        <f>IFERROR(VLOOKUP(B177,Inputs!$B$69:$C$173,2,FALSE),"N/A")</f>
        <v>N/A</v>
      </c>
      <c r="F177" s="1589" t="str">
        <f>IFERROR(VLOOKUP(B177,Inputs!$B$69:$D$173,3,FALSE),"N/A")</f>
        <v>N/A</v>
      </c>
      <c r="G177" s="1254"/>
      <c r="H177" s="1254"/>
      <c r="I177" s="1254"/>
      <c r="J177" s="1254"/>
      <c r="K177" s="1254"/>
      <c r="L177" s="1254"/>
      <c r="M177" s="1254"/>
      <c r="N177" s="1254"/>
      <c r="O177" s="1254"/>
    </row>
    <row r="178" spans="2:15" s="13" customFormat="1">
      <c r="B178" s="1588">
        <v>531</v>
      </c>
      <c r="C178" s="501" t="s">
        <v>1207</v>
      </c>
      <c r="D178" s="495" t="s">
        <v>213</v>
      </c>
      <c r="E178" s="495">
        <f>IFERROR(VLOOKUP(B178,Inputs!$B$69:$C$173,2,FALSE),"N/A")</f>
        <v>74</v>
      </c>
      <c r="F178" s="1589">
        <f>IFERROR(VLOOKUP(B178,Inputs!$B$69:$D$173,3,FALSE),"N/A")</f>
        <v>127</v>
      </c>
      <c r="G178" s="1254"/>
      <c r="H178" s="1254"/>
      <c r="I178" s="1254"/>
      <c r="J178" s="1254"/>
      <c r="K178" s="1254"/>
      <c r="L178" s="1254"/>
      <c r="M178" s="1254"/>
      <c r="N178" s="1254"/>
      <c r="O178" s="1254"/>
    </row>
    <row r="179" spans="2:15" s="13" customFormat="1">
      <c r="B179" s="1588">
        <v>532</v>
      </c>
      <c r="C179" s="501" t="s">
        <v>1203</v>
      </c>
      <c r="D179" s="495" t="s">
        <v>213</v>
      </c>
      <c r="E179" s="495">
        <f>IFERROR(VLOOKUP(B179,Inputs!$B$69:$C$173,2,FALSE),"N/A")</f>
        <v>11</v>
      </c>
      <c r="F179" s="1589">
        <f>IFERROR(VLOOKUP(B179,Inputs!$B$69:$D$173,3,FALSE),"N/A")</f>
        <v>73</v>
      </c>
      <c r="G179" s="1254"/>
      <c r="H179" s="1254"/>
      <c r="I179" s="1254"/>
      <c r="J179" s="1254"/>
      <c r="K179" s="1254"/>
      <c r="L179" s="1254"/>
      <c r="M179" s="1254"/>
      <c r="N179" s="1254"/>
      <c r="O179" s="1254"/>
    </row>
    <row r="180" spans="2:15" s="13" customFormat="1">
      <c r="B180" s="1588">
        <v>533</v>
      </c>
      <c r="C180" s="501" t="s">
        <v>1207</v>
      </c>
      <c r="D180" s="495" t="s">
        <v>213</v>
      </c>
      <c r="E180" s="495" t="str">
        <f>IFERROR(VLOOKUP(B180,Inputs!$B$69:$C$173,2,FALSE),"N/A")</f>
        <v>N/A</v>
      </c>
      <c r="F180" s="1589" t="str">
        <f>IFERROR(VLOOKUP(B180,Inputs!$B$69:$D$173,3,FALSE),"N/A")</f>
        <v>N/A</v>
      </c>
      <c r="G180" s="1254"/>
      <c r="H180" s="1254"/>
      <c r="I180" s="1254"/>
      <c r="J180" s="1254"/>
      <c r="K180" s="1254"/>
      <c r="L180" s="1254"/>
      <c r="M180" s="1254"/>
      <c r="N180" s="1254"/>
      <c r="O180" s="1254"/>
    </row>
    <row r="181" spans="2:15" s="13" customFormat="1">
      <c r="B181" s="1588">
        <v>541</v>
      </c>
      <c r="C181" s="501" t="s">
        <v>1207</v>
      </c>
      <c r="D181" s="495" t="s">
        <v>213</v>
      </c>
      <c r="E181" s="495">
        <f>IFERROR(VLOOKUP(B181,Inputs!$B$69:$C$173,2,FALSE),"N/A")</f>
        <v>78</v>
      </c>
      <c r="F181" s="1589">
        <f>IFERROR(VLOOKUP(B181,Inputs!$B$69:$D$173,3,FALSE),"N/A")</f>
        <v>199</v>
      </c>
      <c r="G181" s="1254"/>
      <c r="H181" s="1254"/>
      <c r="I181" s="1254"/>
      <c r="J181" s="1254"/>
      <c r="K181" s="1254"/>
      <c r="L181" s="1254"/>
      <c r="M181" s="1254"/>
      <c r="N181" s="1254"/>
      <c r="O181" s="1254"/>
    </row>
    <row r="182" spans="2:15" s="13" customFormat="1">
      <c r="B182" s="1588">
        <v>551</v>
      </c>
      <c r="C182" s="501" t="s">
        <v>1207</v>
      </c>
      <c r="D182" s="495" t="s">
        <v>213</v>
      </c>
      <c r="E182" s="495" t="str">
        <f>IFERROR(VLOOKUP(B182,Inputs!$B$69:$C$173,2,FALSE),"N/A")</f>
        <v>N/A</v>
      </c>
      <c r="F182" s="1589" t="str">
        <f>IFERROR(VLOOKUP(B182,Inputs!$B$69:$D$173,3,FALSE),"N/A")</f>
        <v>N/A</v>
      </c>
      <c r="G182" s="1254"/>
      <c r="H182" s="1254"/>
      <c r="I182" s="1254"/>
      <c r="J182" s="1254"/>
      <c r="K182" s="1254"/>
      <c r="L182" s="1254"/>
      <c r="M182" s="1254"/>
      <c r="N182" s="1254"/>
      <c r="O182" s="1254"/>
    </row>
    <row r="183" spans="2:15" s="13" customFormat="1">
      <c r="B183" s="1588">
        <v>561</v>
      </c>
      <c r="C183" s="501" t="s">
        <v>1207</v>
      </c>
      <c r="D183" s="495" t="s">
        <v>213</v>
      </c>
      <c r="E183" s="495">
        <f>IFERROR(VLOOKUP(B183,Inputs!$B$69:$C$173,2,FALSE),"N/A")</f>
        <v>116</v>
      </c>
      <c r="F183" s="1589">
        <f>IFERROR(VLOOKUP(B183,Inputs!$B$69:$D$173,3,FALSE),"N/A")</f>
        <v>687</v>
      </c>
      <c r="G183" s="1254"/>
      <c r="H183" s="1254"/>
      <c r="I183" s="1254"/>
      <c r="J183" s="1254"/>
      <c r="K183" s="1254"/>
      <c r="L183" s="1254"/>
      <c r="M183" s="1254"/>
      <c r="N183" s="1254"/>
      <c r="O183" s="1254"/>
    </row>
    <row r="184" spans="2:15" s="13" customFormat="1">
      <c r="B184" s="1588">
        <v>562</v>
      </c>
      <c r="C184" s="501" t="s">
        <v>1190</v>
      </c>
      <c r="D184" s="495" t="s">
        <v>213</v>
      </c>
      <c r="E184" s="495">
        <f>IFERROR(VLOOKUP(B184,Inputs!$B$69:$C$173,2,FALSE),"N/A")</f>
        <v>5</v>
      </c>
      <c r="F184" s="1589">
        <f>IFERROR(VLOOKUP(B184,Inputs!$B$69:$D$173,3,FALSE),"N/A")</f>
        <v>50</v>
      </c>
      <c r="G184" s="1254"/>
      <c r="H184" s="1254"/>
      <c r="I184" s="1254"/>
      <c r="J184" s="1254"/>
      <c r="K184" s="1254"/>
      <c r="L184" s="1254"/>
      <c r="M184" s="1254"/>
      <c r="N184" s="1254"/>
      <c r="O184" s="1254"/>
    </row>
    <row r="185" spans="2:15" s="13" customFormat="1">
      <c r="B185" s="1588">
        <v>611</v>
      </c>
      <c r="C185" s="501" t="s">
        <v>1129</v>
      </c>
      <c r="D185" s="495" t="s">
        <v>213</v>
      </c>
      <c r="E185" s="495" t="str">
        <f>IFERROR(VLOOKUP(B185,Inputs!$B$69:$C$173,2,FALSE),"N/A")</f>
        <v>N/A</v>
      </c>
      <c r="F185" s="1589" t="str">
        <f>IFERROR(VLOOKUP(B185,Inputs!$B$69:$D$173,3,FALSE),"N/A")</f>
        <v>N/A</v>
      </c>
      <c r="G185" s="1254"/>
      <c r="H185" s="1254"/>
      <c r="I185" s="1254"/>
      <c r="J185" s="1254"/>
      <c r="K185" s="1254"/>
      <c r="L185" s="1254"/>
      <c r="M185" s="1254"/>
      <c r="N185" s="1254"/>
      <c r="O185" s="1254"/>
    </row>
    <row r="186" spans="2:15" s="13" customFormat="1">
      <c r="B186" s="1588">
        <v>621</v>
      </c>
      <c r="C186" s="501" t="s">
        <v>1210</v>
      </c>
      <c r="D186" s="495" t="s">
        <v>213</v>
      </c>
      <c r="E186" s="495">
        <f>IFERROR(VLOOKUP(B186,Inputs!$B$69:$C$173,2,FALSE),"N/A")</f>
        <v>18</v>
      </c>
      <c r="F186" s="1589">
        <f>IFERROR(VLOOKUP(B186,Inputs!$B$69:$D$173,3,FALSE),"N/A")</f>
        <v>144</v>
      </c>
      <c r="G186" s="1254"/>
      <c r="H186" s="1254"/>
      <c r="I186" s="1254"/>
      <c r="J186" s="1254"/>
      <c r="K186" s="1254"/>
      <c r="L186" s="1254"/>
      <c r="M186" s="1254"/>
      <c r="N186" s="1254"/>
      <c r="O186" s="1254"/>
    </row>
    <row r="187" spans="2:15" s="13" customFormat="1">
      <c r="B187" s="1588">
        <v>622</v>
      </c>
      <c r="C187" s="501" t="s">
        <v>1211</v>
      </c>
      <c r="D187" s="495" t="s">
        <v>213</v>
      </c>
      <c r="E187" s="495" t="str">
        <f>IFERROR(VLOOKUP(B187,Inputs!$B$69:$C$173,2,FALSE),"N/A")</f>
        <v>N/A</v>
      </c>
      <c r="F187" s="1589" t="str">
        <f>IFERROR(VLOOKUP(B187,Inputs!$B$69:$D$173,3,FALSE),"N/A")</f>
        <v>N/A</v>
      </c>
      <c r="G187" s="1254"/>
      <c r="H187" s="1254"/>
      <c r="I187" s="1254"/>
      <c r="J187" s="1254"/>
      <c r="K187" s="1254"/>
      <c r="L187" s="1254"/>
      <c r="M187" s="1254"/>
      <c r="N187" s="1254"/>
      <c r="O187" s="1254"/>
    </row>
    <row r="188" spans="2:15" s="13" customFormat="1">
      <c r="B188" s="1588">
        <v>623</v>
      </c>
      <c r="C188" s="501" t="s">
        <v>1212</v>
      </c>
      <c r="D188" s="495" t="s">
        <v>213</v>
      </c>
      <c r="E188" s="495" t="str">
        <f>IFERROR(VLOOKUP(B188,Inputs!$B$69:$C$173,2,FALSE),"N/A")</f>
        <v>N/A</v>
      </c>
      <c r="F188" s="1589" t="str">
        <f>IFERROR(VLOOKUP(B188,Inputs!$B$69:$D$173,3,FALSE),"N/A")</f>
        <v>N/A</v>
      </c>
      <c r="G188" s="1254"/>
      <c r="H188" s="1254"/>
      <c r="I188" s="1254"/>
      <c r="J188" s="1254"/>
      <c r="K188" s="1254"/>
      <c r="L188" s="1254"/>
      <c r="M188" s="1254"/>
      <c r="N188" s="1254"/>
      <c r="O188" s="1254"/>
    </row>
    <row r="189" spans="2:15" s="13" customFormat="1">
      <c r="B189" s="1588">
        <v>624</v>
      </c>
      <c r="C189" s="501" t="s">
        <v>1207</v>
      </c>
      <c r="D189" s="495" t="s">
        <v>213</v>
      </c>
      <c r="E189" s="495">
        <f>IFERROR(VLOOKUP(B189,Inputs!$B$69:$C$173,2,FALSE),"N/A")</f>
        <v>11</v>
      </c>
      <c r="F189" s="1589">
        <f>IFERROR(VLOOKUP(B189,Inputs!$B$69:$D$173,3,FALSE),"N/A")</f>
        <v>64</v>
      </c>
      <c r="G189" s="1254"/>
      <c r="H189" s="1254"/>
      <c r="I189" s="1254"/>
      <c r="J189" s="1254"/>
      <c r="K189" s="1254"/>
      <c r="L189" s="1254"/>
      <c r="M189" s="1254"/>
      <c r="N189" s="1254"/>
      <c r="O189" s="1254"/>
    </row>
    <row r="190" spans="2:15" s="13" customFormat="1">
      <c r="B190" s="1588">
        <v>711</v>
      </c>
      <c r="C190" s="501" t="s">
        <v>1208</v>
      </c>
      <c r="D190" s="495" t="s">
        <v>213</v>
      </c>
      <c r="E190" s="495">
        <f>IFERROR(VLOOKUP(B190,Inputs!$B$69:$C$173,2,FALSE),"N/A")</f>
        <v>5</v>
      </c>
      <c r="F190" s="1589">
        <f>IFERROR(VLOOKUP(B190,Inputs!$B$69:$D$173,3,FALSE),"N/A")</f>
        <v>35</v>
      </c>
      <c r="G190" s="1254"/>
      <c r="H190" s="1254"/>
      <c r="I190" s="1254"/>
      <c r="J190" s="1254"/>
      <c r="K190" s="1254"/>
      <c r="L190" s="1254"/>
      <c r="M190" s="1254"/>
      <c r="N190" s="1254"/>
      <c r="O190" s="1254"/>
    </row>
    <row r="191" spans="2:15" s="13" customFormat="1">
      <c r="B191" s="1588">
        <v>712</v>
      </c>
      <c r="C191" s="501" t="s">
        <v>1208</v>
      </c>
      <c r="D191" s="495" t="s">
        <v>213</v>
      </c>
      <c r="E191" s="495">
        <f>IFERROR(VLOOKUP(B191,Inputs!$B$69:$C$173,2,FALSE),"N/A")</f>
        <v>6</v>
      </c>
      <c r="F191" s="1589">
        <f>IFERROR(VLOOKUP(B191,Inputs!$B$69:$D$173,3,FALSE),"N/A")</f>
        <v>107</v>
      </c>
      <c r="G191" s="1254"/>
      <c r="H191" s="1254"/>
      <c r="I191" s="1254"/>
      <c r="J191" s="1254"/>
      <c r="K191" s="1254"/>
      <c r="L191" s="1254"/>
      <c r="M191" s="1254"/>
      <c r="N191" s="1254"/>
      <c r="O191" s="1254"/>
    </row>
    <row r="192" spans="2:15" s="13" customFormat="1">
      <c r="B192" s="1588">
        <v>713</v>
      </c>
      <c r="C192" s="501" t="s">
        <v>1208</v>
      </c>
      <c r="D192" s="495" t="s">
        <v>213</v>
      </c>
      <c r="E192" s="495">
        <f>IFERROR(VLOOKUP(B192,Inputs!$B$69:$C$173,2,FALSE),"N/A")</f>
        <v>21</v>
      </c>
      <c r="F192" s="1589">
        <f>IFERROR(VLOOKUP(B192,Inputs!$B$69:$D$173,3,FALSE),"N/A")</f>
        <v>424</v>
      </c>
      <c r="G192" s="1254"/>
      <c r="H192" s="1254"/>
      <c r="I192" s="1254"/>
      <c r="J192" s="1254"/>
      <c r="K192" s="1254"/>
      <c r="L192" s="1254"/>
      <c r="M192" s="1254"/>
      <c r="N192" s="1254"/>
      <c r="O192" s="1254"/>
    </row>
    <row r="193" spans="2:15" s="13" customFormat="1">
      <c r="B193" s="1588">
        <v>721</v>
      </c>
      <c r="C193" s="501" t="s">
        <v>1212</v>
      </c>
      <c r="D193" s="495" t="s">
        <v>213</v>
      </c>
      <c r="E193" s="495">
        <f>IFERROR(VLOOKUP(B193,Inputs!$B$69:$C$173,2,FALSE),"N/A")</f>
        <v>29</v>
      </c>
      <c r="F193" s="1589">
        <f>IFERROR(VLOOKUP(B193,Inputs!$B$69:$D$173,3,FALSE),"N/A")</f>
        <v>317</v>
      </c>
      <c r="G193" s="1254"/>
      <c r="H193" s="1254"/>
      <c r="I193" s="1254"/>
      <c r="J193" s="1254"/>
      <c r="K193" s="1254"/>
      <c r="L193" s="1254"/>
      <c r="M193" s="1254"/>
      <c r="N193" s="1254"/>
      <c r="O193" s="1254"/>
    </row>
    <row r="194" spans="2:15" s="13" customFormat="1">
      <c r="B194" s="1588">
        <v>722</v>
      </c>
      <c r="C194" s="501" t="s">
        <v>1213</v>
      </c>
      <c r="D194" s="495" t="s">
        <v>213</v>
      </c>
      <c r="E194" s="495">
        <f>IFERROR(VLOOKUP(B194,Inputs!$B$69:$C$173,2,FALSE),"N/A")</f>
        <v>100</v>
      </c>
      <c r="F194" s="1589">
        <f>IFERROR(VLOOKUP(B194,Inputs!$B$69:$D$173,3,FALSE),"N/A")</f>
        <v>1301</v>
      </c>
      <c r="G194" s="1254"/>
      <c r="H194" s="1254"/>
      <c r="I194" s="1254"/>
      <c r="J194" s="1254"/>
      <c r="K194" s="1254"/>
      <c r="L194" s="1254"/>
      <c r="M194" s="1254"/>
      <c r="N194" s="1254"/>
      <c r="O194" s="1254"/>
    </row>
    <row r="195" spans="2:15" s="13" customFormat="1">
      <c r="B195" s="1588">
        <v>811</v>
      </c>
      <c r="C195" s="501" t="s">
        <v>1206</v>
      </c>
      <c r="D195" s="495" t="s">
        <v>213</v>
      </c>
      <c r="E195" s="495">
        <f>IFERROR(VLOOKUP(B195,Inputs!$B$69:$C$173,2,FALSE),"N/A")</f>
        <v>10</v>
      </c>
      <c r="F195" s="1589">
        <f>IFERROR(VLOOKUP(B195,Inputs!$B$69:$D$173,3,FALSE),"N/A")</f>
        <v>48</v>
      </c>
      <c r="G195" s="1254"/>
      <c r="H195" s="1254"/>
      <c r="I195" s="1254"/>
      <c r="J195" s="1254"/>
      <c r="K195" s="1254"/>
      <c r="L195" s="1254"/>
      <c r="M195" s="1254"/>
      <c r="N195" s="1254"/>
      <c r="O195" s="1254"/>
    </row>
    <row r="196" spans="2:15" s="13" customFormat="1">
      <c r="B196" s="1588">
        <v>812</v>
      </c>
      <c r="C196" s="501" t="s">
        <v>1206</v>
      </c>
      <c r="D196" s="495" t="s">
        <v>213</v>
      </c>
      <c r="E196" s="495">
        <f>IFERROR(VLOOKUP(B196,Inputs!$B$69:$C$173,2,FALSE),"N/A")</f>
        <v>23</v>
      </c>
      <c r="F196" s="1589">
        <f>IFERROR(VLOOKUP(B196,Inputs!$B$69:$D$173,3,FALSE),"N/A")</f>
        <v>81</v>
      </c>
      <c r="G196" s="1254"/>
      <c r="H196" s="1254"/>
      <c r="I196" s="1254"/>
      <c r="J196" s="1254"/>
      <c r="K196" s="1254"/>
      <c r="L196" s="1254"/>
      <c r="M196" s="1254"/>
      <c r="N196" s="1254"/>
      <c r="O196" s="1254"/>
    </row>
    <row r="197" spans="2:15" s="13" customFormat="1">
      <c r="B197" s="1588">
        <v>813</v>
      </c>
      <c r="C197" s="501" t="s">
        <v>1214</v>
      </c>
      <c r="D197" s="495" t="s">
        <v>213</v>
      </c>
      <c r="E197" s="495">
        <f>IFERROR(VLOOKUP(B197,Inputs!$B$69:$C$173,2,FALSE),"N/A")</f>
        <v>18</v>
      </c>
      <c r="F197" s="1589">
        <f>IFERROR(VLOOKUP(B197,Inputs!$B$69:$D$173,3,FALSE),"N/A")</f>
        <v>94</v>
      </c>
      <c r="G197" s="1254"/>
      <c r="H197" s="1254"/>
      <c r="I197" s="1254"/>
      <c r="J197" s="1254"/>
      <c r="K197" s="1254"/>
      <c r="L197" s="1254"/>
      <c r="M197" s="1254"/>
      <c r="N197" s="1254"/>
      <c r="O197" s="1254"/>
    </row>
    <row r="198" spans="2:15" s="13" customFormat="1">
      <c r="B198" s="1588">
        <v>814</v>
      </c>
      <c r="C198" s="501" t="s">
        <v>1215</v>
      </c>
      <c r="D198" s="495" t="s">
        <v>1190</v>
      </c>
      <c r="E198" s="495">
        <f>IFERROR(VLOOKUP(B198,Inputs!$B$69:$C$173,2,FALSE),"N/A")</f>
        <v>35</v>
      </c>
      <c r="F198" s="1589">
        <f>IFERROR(VLOOKUP(B198,Inputs!$B$69:$D$173,3,FALSE),"N/A")</f>
        <v>41</v>
      </c>
      <c r="G198" s="1254"/>
      <c r="H198" s="1254"/>
      <c r="I198" s="1254"/>
      <c r="J198" s="1254"/>
      <c r="K198" s="1254"/>
      <c r="L198" s="1254"/>
      <c r="M198" s="1254"/>
      <c r="N198" s="1254"/>
      <c r="O198" s="1254"/>
    </row>
    <row r="199" spans="2:15" s="13" customFormat="1">
      <c r="B199" s="1588">
        <v>921</v>
      </c>
      <c r="C199" s="501" t="s">
        <v>1207</v>
      </c>
      <c r="D199" s="495" t="s">
        <v>213</v>
      </c>
      <c r="E199" s="495" t="str">
        <f>IFERROR(VLOOKUP(B199,Inputs!$B$69:$C$173,2,FALSE),"N/A")</f>
        <v>N/A</v>
      </c>
      <c r="F199" s="1589" t="str">
        <f>IFERROR(VLOOKUP(B199,Inputs!$B$69:$D$173,3,FALSE),"N/A")</f>
        <v>N/A</v>
      </c>
      <c r="G199" s="1254"/>
      <c r="H199" s="1254"/>
      <c r="I199" s="1254"/>
      <c r="J199" s="1254"/>
      <c r="K199" s="1254"/>
      <c r="L199" s="1254"/>
      <c r="M199" s="1254"/>
      <c r="N199" s="1254"/>
      <c r="O199" s="1254"/>
    </row>
    <row r="200" spans="2:15" s="13" customFormat="1">
      <c r="B200" s="1588">
        <v>922</v>
      </c>
      <c r="C200" s="501" t="s">
        <v>1216</v>
      </c>
      <c r="D200" s="495" t="s">
        <v>213</v>
      </c>
      <c r="E200" s="495" t="str">
        <f>IFERROR(VLOOKUP(B200,Inputs!$B$69:$C$173,2,FALSE),"N/A")</f>
        <v>N/A</v>
      </c>
      <c r="F200" s="1589" t="str">
        <f>IFERROR(VLOOKUP(B200,Inputs!$B$69:$D$173,3,FALSE),"N/A")</f>
        <v>N/A</v>
      </c>
      <c r="G200" s="1254"/>
      <c r="H200" s="1254"/>
      <c r="I200" s="1254"/>
      <c r="J200" s="1254"/>
      <c r="K200" s="1254"/>
      <c r="L200" s="1254"/>
      <c r="M200" s="1254"/>
      <c r="N200" s="1254"/>
      <c r="O200" s="1254"/>
    </row>
    <row r="201" spans="2:15" s="13" customFormat="1">
      <c r="B201" s="1588">
        <v>923</v>
      </c>
      <c r="C201" s="501" t="s">
        <v>1207</v>
      </c>
      <c r="D201" s="495" t="s">
        <v>213</v>
      </c>
      <c r="E201" s="495" t="str">
        <f>IFERROR(VLOOKUP(B201,Inputs!$B$69:$C$173,2,FALSE),"N/A")</f>
        <v>N/A</v>
      </c>
      <c r="F201" s="1589" t="str">
        <f>IFERROR(VLOOKUP(B201,Inputs!$B$69:$D$173,3,FALSE),"N/A")</f>
        <v>N/A</v>
      </c>
      <c r="G201" s="1254"/>
      <c r="H201" s="1254"/>
      <c r="I201" s="1254"/>
      <c r="J201" s="1254"/>
      <c r="K201" s="1254"/>
      <c r="L201" s="1254"/>
      <c r="M201" s="1254"/>
      <c r="N201" s="1254"/>
      <c r="O201" s="1254"/>
    </row>
    <row r="202" spans="2:15" s="13" customFormat="1">
      <c r="B202" s="1588">
        <v>924</v>
      </c>
      <c r="C202" s="501" t="s">
        <v>1207</v>
      </c>
      <c r="D202" s="495" t="s">
        <v>213</v>
      </c>
      <c r="E202" s="495" t="str">
        <f>IFERROR(VLOOKUP(B202,Inputs!$B$69:$C$173,2,FALSE),"N/A")</f>
        <v>N/A</v>
      </c>
      <c r="F202" s="1589" t="str">
        <f>IFERROR(VLOOKUP(B202,Inputs!$B$69:$D$173,3,FALSE),"N/A")</f>
        <v>N/A</v>
      </c>
      <c r="G202" s="1254"/>
      <c r="H202" s="1254"/>
      <c r="I202" s="1254"/>
      <c r="J202" s="1254"/>
      <c r="K202" s="1254"/>
      <c r="L202" s="1254"/>
      <c r="M202" s="1254"/>
      <c r="N202" s="1254"/>
      <c r="O202" s="1254"/>
    </row>
    <row r="203" spans="2:15" s="13" customFormat="1">
      <c r="B203" s="1588">
        <v>925</v>
      </c>
      <c r="C203" s="501" t="s">
        <v>1207</v>
      </c>
      <c r="D203" s="495" t="s">
        <v>213</v>
      </c>
      <c r="E203" s="495" t="str">
        <f>IFERROR(VLOOKUP(B203,Inputs!$B$69:$C$173,2,FALSE),"N/A")</f>
        <v>N/A</v>
      </c>
      <c r="F203" s="1589" t="str">
        <f>IFERROR(VLOOKUP(B203,Inputs!$B$69:$D$173,3,FALSE),"N/A")</f>
        <v>N/A</v>
      </c>
      <c r="G203" s="1254"/>
      <c r="H203" s="1254"/>
      <c r="I203" s="1254"/>
      <c r="J203" s="1254"/>
      <c r="K203" s="1254"/>
      <c r="L203" s="1254"/>
      <c r="M203" s="1254"/>
      <c r="N203" s="1254"/>
      <c r="O203" s="1254"/>
    </row>
    <row r="204" spans="2:15" s="13" customFormat="1">
      <c r="B204" s="1588">
        <v>926</v>
      </c>
      <c r="C204" s="501" t="s">
        <v>1207</v>
      </c>
      <c r="D204" s="495" t="s">
        <v>213</v>
      </c>
      <c r="E204" s="495">
        <f>IFERROR(VLOOKUP(B204,Inputs!$B$69:$C$173,2,FALSE),"N/A")</f>
        <v>4</v>
      </c>
      <c r="F204" s="1589">
        <f>IFERROR(VLOOKUP(B204,Inputs!$B$69:$D$173,3,FALSE),"N/A")</f>
        <v>34</v>
      </c>
      <c r="G204" s="1254"/>
      <c r="H204" s="1254"/>
      <c r="I204" s="1254"/>
      <c r="J204" s="1254"/>
      <c r="K204" s="1254"/>
      <c r="L204" s="1254"/>
      <c r="M204" s="1254"/>
      <c r="N204" s="1254"/>
      <c r="O204" s="1254"/>
    </row>
    <row r="205" spans="2:15" s="13" customFormat="1">
      <c r="B205" s="1588">
        <v>927</v>
      </c>
      <c r="C205" s="501" t="s">
        <v>1190</v>
      </c>
      <c r="D205" s="495" t="s">
        <v>213</v>
      </c>
      <c r="E205" s="495" t="str">
        <f>IFERROR(VLOOKUP(B205,Inputs!$B$69:$C$173,2,FALSE),"N/A")</f>
        <v>N/A</v>
      </c>
      <c r="F205" s="1589" t="str">
        <f>IFERROR(VLOOKUP(B205,Inputs!$B$69:$D$173,3,FALSE),"N/A")</f>
        <v>N/A</v>
      </c>
      <c r="G205" s="1254"/>
      <c r="H205" s="1254"/>
      <c r="I205" s="1254"/>
      <c r="J205" s="1254"/>
      <c r="K205" s="1254"/>
      <c r="L205" s="1254"/>
      <c r="M205" s="1254"/>
      <c r="N205" s="1254"/>
      <c r="O205" s="1254"/>
    </row>
    <row r="206" spans="2:15" s="13" customFormat="1" ht="13.5" thickBot="1">
      <c r="B206" s="1590">
        <v>928</v>
      </c>
      <c r="C206" s="1591" t="s">
        <v>1207</v>
      </c>
      <c r="D206" s="502" t="s">
        <v>213</v>
      </c>
      <c r="E206" s="502" t="str">
        <f>IFERROR(VLOOKUP(B206,Inputs!$B$69:$C$173,2,FALSE),"N/A")</f>
        <v>N/A</v>
      </c>
      <c r="F206" s="1592" t="str">
        <f>IFERROR(VLOOKUP(B206,Inputs!$B$69:$D$173,3,FALSE),"N/A")</f>
        <v>N/A</v>
      </c>
      <c r="G206" s="1254"/>
      <c r="H206" s="1254"/>
      <c r="I206" s="1254"/>
      <c r="J206" s="1254"/>
      <c r="K206" s="1254"/>
      <c r="L206" s="1254"/>
      <c r="M206" s="1254"/>
      <c r="N206" s="1254"/>
      <c r="O206" s="1254"/>
    </row>
    <row r="207" spans="2:15" s="13" customFormat="1" ht="39.75" customHeight="1" thickBot="1">
      <c r="B207" s="1913" t="s">
        <v>1217</v>
      </c>
      <c r="C207" s="2212"/>
      <c r="D207" s="2212"/>
      <c r="E207" s="2212"/>
      <c r="F207" s="827" t="s">
        <v>79</v>
      </c>
      <c r="G207" s="1254"/>
      <c r="H207" s="1254"/>
      <c r="I207" s="1254"/>
      <c r="J207" s="1254"/>
      <c r="K207" s="1254"/>
      <c r="L207" s="1254"/>
      <c r="M207" s="1254"/>
      <c r="N207" s="1254"/>
      <c r="O207" s="1254"/>
    </row>
    <row r="208" spans="2:15" s="13" customFormat="1" ht="15.75" thickBot="1">
      <c r="B208" s="63"/>
      <c r="C208" s="63"/>
      <c r="D208" s="63"/>
      <c r="E208" s="63"/>
      <c r="F208" s="63"/>
      <c r="G208" s="63"/>
      <c r="H208" s="37"/>
      <c r="I208" s="37"/>
      <c r="J208" s="37"/>
      <c r="K208" s="45"/>
      <c r="L208" s="45"/>
      <c r="M208" s="45"/>
      <c r="N208" s="45"/>
      <c r="O208" s="45"/>
    </row>
    <row r="209" spans="2:11" s="13" customFormat="1" ht="15.75" customHeight="1" thickBot="1">
      <c r="B209" s="1961" t="s">
        <v>7</v>
      </c>
      <c r="C209" s="2205"/>
      <c r="D209" s="2205"/>
      <c r="E209" s="2205"/>
      <c r="F209" s="2206"/>
      <c r="G209" s="494"/>
      <c r="H209" s="37"/>
      <c r="I209" s="37"/>
      <c r="J209" s="37"/>
      <c r="K209" s="45"/>
    </row>
    <row r="210" spans="2:11" s="13" customFormat="1" ht="25.5">
      <c r="B210" s="1874" t="s">
        <v>382</v>
      </c>
      <c r="C210" s="75" t="s">
        <v>383</v>
      </c>
      <c r="D210" s="75" t="s">
        <v>1218</v>
      </c>
      <c r="E210" s="158" t="s">
        <v>384</v>
      </c>
      <c r="F210" s="1884" t="s">
        <v>1219</v>
      </c>
      <c r="G210" s="63"/>
      <c r="H210" s="37"/>
      <c r="I210" s="37"/>
      <c r="J210" s="37"/>
      <c r="K210" s="45"/>
    </row>
    <row r="211" spans="2:11" s="13" customFormat="1" ht="15.75" thickBot="1">
      <c r="B211" s="1072">
        <f>'Adjust Inventory Year'!B93</f>
        <v>57131167</v>
      </c>
      <c r="C211" s="1733">
        <f>'Adjust Inventory Year'!C93</f>
        <v>804930</v>
      </c>
      <c r="D211" s="1733">
        <f>B211-C211</f>
        <v>56326237</v>
      </c>
      <c r="E211" s="1593">
        <f>'Adjust Inventory Year'!E93</f>
        <v>2748317</v>
      </c>
      <c r="F211" s="1734">
        <f>E211/D211</f>
        <v>4.8792838761801183E-2</v>
      </c>
      <c r="G211" s="63"/>
      <c r="H211" s="63"/>
      <c r="I211" s="37"/>
      <c r="J211" s="37"/>
      <c r="K211" s="37"/>
    </row>
    <row r="212" spans="2:11" s="13" customFormat="1" ht="55.5" customHeight="1" thickBot="1">
      <c r="B212" s="1945" t="s">
        <v>1220</v>
      </c>
      <c r="C212" s="2204"/>
      <c r="D212" s="2204"/>
      <c r="E212" s="1946"/>
      <c r="F212" s="493" t="s">
        <v>1221</v>
      </c>
      <c r="G212" s="390"/>
      <c r="H212" s="63"/>
      <c r="I212" s="37"/>
      <c r="J212" s="37"/>
      <c r="K212" s="37"/>
    </row>
    <row r="213" spans="2:11" s="13" customFormat="1" ht="17.25" customHeight="1" thickBot="1">
      <c r="B213" s="63"/>
      <c r="C213" s="63"/>
      <c r="D213" s="63"/>
      <c r="E213" s="63"/>
      <c r="F213" s="63"/>
      <c r="G213" s="63"/>
      <c r="H213" s="37"/>
      <c r="I213" s="37"/>
      <c r="J213" s="37"/>
      <c r="K213" s="45"/>
    </row>
    <row r="214" spans="2:11" s="13" customFormat="1" ht="15.75" customHeight="1" thickBot="1">
      <c r="B214" s="1905" t="s">
        <v>1222</v>
      </c>
      <c r="C214" s="2114"/>
      <c r="D214" s="2114"/>
      <c r="E214" s="2114"/>
      <c r="F214" s="2114"/>
      <c r="G214" s="2114"/>
      <c r="H214" s="2142"/>
      <c r="I214" s="37"/>
      <c r="J214" s="37"/>
      <c r="K214" s="45"/>
    </row>
    <row r="215" spans="2:11" s="13" customFormat="1" ht="30.75" customHeight="1">
      <c r="B215" s="1876" t="s">
        <v>1223</v>
      </c>
      <c r="C215" s="75" t="s">
        <v>1224</v>
      </c>
      <c r="D215" s="75" t="s">
        <v>1219</v>
      </c>
      <c r="E215" s="75" t="s">
        <v>1225</v>
      </c>
      <c r="F215" s="158" t="s">
        <v>1226</v>
      </c>
      <c r="G215" s="158" t="s">
        <v>1227</v>
      </c>
      <c r="H215" s="1884" t="s">
        <v>1228</v>
      </c>
      <c r="I215" s="37"/>
      <c r="J215" s="45"/>
      <c r="K215" s="45"/>
    </row>
    <row r="216" spans="2:11" s="13" customFormat="1" ht="15">
      <c r="B216" s="149" t="s">
        <v>454</v>
      </c>
      <c r="C216" s="150">
        <f>D15</f>
        <v>114497149.32695161</v>
      </c>
      <c r="D216" s="160">
        <f>$F$211</f>
        <v>4.8792838761801183E-2</v>
      </c>
      <c r="E216" s="387">
        <f>D216*C216</f>
        <v>5586640.9457958229</v>
      </c>
      <c r="F216" s="716">
        <f>E216*'Emission Factors'!G120</f>
        <v>0.10831659322703241</v>
      </c>
      <c r="G216" s="717">
        <f>E216*'Emission Factors'!H121</f>
        <v>1242.0485103740159</v>
      </c>
      <c r="H216" s="718">
        <f>E216*'Emission Factors'!I121</f>
        <v>1.4830429974615117E-2</v>
      </c>
      <c r="I216" s="37"/>
      <c r="J216" s="37"/>
      <c r="K216" s="45"/>
    </row>
    <row r="217" spans="2:11" s="13" customFormat="1" ht="15">
      <c r="B217" s="151" t="s">
        <v>1229</v>
      </c>
      <c r="C217" s="152">
        <f>D20</f>
        <v>58097000</v>
      </c>
      <c r="D217" s="161">
        <f t="shared" ref="D217" si="12">$F$211</f>
        <v>4.8792838761801183E-2</v>
      </c>
      <c r="E217" s="306">
        <f>D217*C217</f>
        <v>2834717.5535443635</v>
      </c>
      <c r="F217" s="714">
        <f>E217*'Emission Factors'!G121</f>
        <v>5.4557037803341236E-2</v>
      </c>
      <c r="G217" s="715">
        <f>E217*'Emission Factors'!H121</f>
        <v>630.22785048687285</v>
      </c>
      <c r="H217" s="719">
        <f>E217*'Emission Factors'!I121</f>
        <v>7.5251086625298252E-3</v>
      </c>
      <c r="I217" s="37"/>
      <c r="J217" s="37"/>
      <c r="K217" s="45"/>
    </row>
    <row r="218" spans="2:11" s="13" customFormat="1" ht="15.75" thickBot="1">
      <c r="B218" s="637" t="s">
        <v>1092</v>
      </c>
      <c r="C218" s="1729">
        <f>SUM(C216:C217)</f>
        <v>172594149.32695162</v>
      </c>
      <c r="D218" s="1735">
        <f>$F$211</f>
        <v>4.8792838761801183E-2</v>
      </c>
      <c r="E218" s="1705">
        <f>D218*C218</f>
        <v>8421358.4993401859</v>
      </c>
      <c r="F218" s="1594">
        <f>SUM(F216:F217)</f>
        <v>0.16287363103037364</v>
      </c>
      <c r="G218" s="1594">
        <f t="shared" ref="G218:H218" si="13">SUM(G216:G217)</f>
        <v>1872.2763608608889</v>
      </c>
      <c r="H218" s="1710">
        <f t="shared" si="13"/>
        <v>2.2355538637144942E-2</v>
      </c>
      <c r="I218" s="37"/>
      <c r="J218" s="37"/>
      <c r="K218" s="45"/>
    </row>
    <row r="219" spans="2:11" s="13" customFormat="1" ht="15.75" thickBot="1">
      <c r="B219" s="45"/>
      <c r="C219" s="45"/>
      <c r="D219" s="45"/>
      <c r="E219" s="45"/>
      <c r="F219" s="45"/>
      <c r="G219" s="45"/>
      <c r="H219" s="37"/>
      <c r="I219" s="45"/>
      <c r="J219" s="45"/>
      <c r="K219" s="45"/>
    </row>
    <row r="220" spans="2:11" s="13" customFormat="1" ht="14.25" customHeight="1" thickBot="1">
      <c r="B220" s="1961" t="s">
        <v>1230</v>
      </c>
      <c r="C220" s="2205"/>
      <c r="D220" s="2205"/>
      <c r="E220" s="2205"/>
      <c r="F220" s="2205"/>
      <c r="G220" s="2206"/>
      <c r="H220" s="45"/>
      <c r="I220" s="45"/>
      <c r="J220" s="45"/>
      <c r="K220" s="45"/>
    </row>
    <row r="221" spans="2:11" s="13" customFormat="1" ht="56.25" customHeight="1" thickBot="1">
      <c r="B221" s="237" t="s">
        <v>1223</v>
      </c>
      <c r="C221" s="103" t="s">
        <v>1072</v>
      </c>
      <c r="D221" s="103" t="s">
        <v>1231</v>
      </c>
      <c r="E221" s="103" t="s">
        <v>1232</v>
      </c>
      <c r="F221" s="251" t="s">
        <v>1233</v>
      </c>
      <c r="G221" s="104" t="s">
        <v>1234</v>
      </c>
      <c r="H221" s="1587"/>
      <c r="I221" s="45"/>
      <c r="J221" s="45"/>
      <c r="K221" s="45"/>
    </row>
    <row r="222" spans="2:11" s="13" customFormat="1">
      <c r="B222" s="235" t="s">
        <v>454</v>
      </c>
      <c r="C222" s="236">
        <f>E15</f>
        <v>0</v>
      </c>
      <c r="D222" s="1068">
        <v>2.7E-2</v>
      </c>
      <c r="E222" s="127">
        <f>(C222/(1-D222)-C222)</f>
        <v>0</v>
      </c>
      <c r="F222" s="720">
        <f>E222*'Emission Factors'!$C$25</f>
        <v>0</v>
      </c>
      <c r="G222" s="721">
        <f>E222*'Emission Factors'!$C$26</f>
        <v>0</v>
      </c>
      <c r="H222" s="1587"/>
      <c r="I222" s="45"/>
      <c r="J222" s="45"/>
      <c r="K222" s="45"/>
    </row>
    <row r="223" spans="2:11" s="13" customFormat="1">
      <c r="B223" s="519" t="s">
        <v>1229</v>
      </c>
      <c r="C223" s="95">
        <f>E20</f>
        <v>0</v>
      </c>
      <c r="D223" s="1069">
        <v>2.7E-2</v>
      </c>
      <c r="E223" s="129">
        <f>(C223/(1-D223)-C223)</f>
        <v>0</v>
      </c>
      <c r="F223" s="720">
        <f>E223*'Emission Factors'!$C$25</f>
        <v>0</v>
      </c>
      <c r="G223" s="722">
        <f>E223*'Emission Factors'!$C$26</f>
        <v>0</v>
      </c>
      <c r="H223" s="1587"/>
      <c r="I223" s="45"/>
      <c r="J223" s="45"/>
      <c r="K223" s="45"/>
    </row>
    <row r="224" spans="2:11" s="13" customFormat="1" ht="13.5" thickBot="1">
      <c r="B224" s="636" t="s">
        <v>1092</v>
      </c>
      <c r="C224" s="1729">
        <f>SUM(C222:C223)</f>
        <v>0</v>
      </c>
      <c r="D224" s="1736">
        <v>2.7E-2</v>
      </c>
      <c r="E224" s="1705">
        <f>(C224/(1-D224)-C224)</f>
        <v>0</v>
      </c>
      <c r="F224" s="1190">
        <f>E224*'Emission Factors'!$C$25</f>
        <v>0</v>
      </c>
      <c r="G224" s="1710">
        <f>E224*'Emission Factors'!$C$26</f>
        <v>0</v>
      </c>
      <c r="H224" s="45"/>
      <c r="I224" s="45"/>
      <c r="J224" s="45"/>
      <c r="K224" s="45"/>
    </row>
    <row r="225" spans="2:9" s="13" customFormat="1" ht="34.5" customHeight="1" thickBot="1">
      <c r="B225" s="1945" t="s">
        <v>1235</v>
      </c>
      <c r="C225" s="2204"/>
      <c r="D225" s="2204"/>
      <c r="E225" s="1946"/>
      <c r="F225" s="520" t="s">
        <v>1236</v>
      </c>
      <c r="G225" s="389"/>
      <c r="H225" s="1587"/>
      <c r="I225" s="1595"/>
    </row>
    <row r="226" spans="2:9" s="13" customFormat="1" ht="13.5" thickBot="1">
      <c r="B226" s="45"/>
      <c r="C226" s="45"/>
      <c r="D226" s="45"/>
      <c r="E226" s="45"/>
      <c r="F226" s="45"/>
      <c r="G226" s="45"/>
      <c r="H226" s="45"/>
      <c r="I226" s="45"/>
    </row>
    <row r="227" spans="2:9" s="13" customFormat="1" ht="15.75" customHeight="1" thickBot="1">
      <c r="B227" s="1961" t="s">
        <v>1237</v>
      </c>
      <c r="C227" s="2205"/>
      <c r="D227" s="2205"/>
      <c r="E227" s="2205"/>
      <c r="F227" s="2205"/>
      <c r="G227" s="2206"/>
      <c r="H227" s="45"/>
      <c r="I227" s="45"/>
    </row>
    <row r="228" spans="2:9" s="13" customFormat="1" ht="102.75" customHeight="1" thickBot="1">
      <c r="B228" s="101" t="s">
        <v>1238</v>
      </c>
      <c r="C228" s="102" t="s">
        <v>1239</v>
      </c>
      <c r="D228" s="103" t="s">
        <v>1240</v>
      </c>
      <c r="E228" s="103" t="s">
        <v>1241</v>
      </c>
      <c r="F228" s="251" t="s">
        <v>1242</v>
      </c>
      <c r="G228" s="104" t="s">
        <v>1243</v>
      </c>
      <c r="H228" s="45"/>
      <c r="I228" s="45"/>
    </row>
    <row r="229" spans="2:9" s="13" customFormat="1">
      <c r="B229" s="235" t="s">
        <v>135</v>
      </c>
      <c r="C229" s="236">
        <f>'Transportation - On Road'!M43</f>
        <v>14630.460553571429</v>
      </c>
      <c r="D229" s="1070">
        <v>0.81</v>
      </c>
      <c r="E229" s="444">
        <f>1-D229</f>
        <v>0.18999999999999995</v>
      </c>
      <c r="F229" s="720">
        <f>C229*D229</f>
        <v>11850.673048392859</v>
      </c>
      <c r="G229" s="723">
        <f>C229*E229</f>
        <v>2779.7875051785709</v>
      </c>
      <c r="H229" s="45"/>
      <c r="I229" s="45"/>
    </row>
    <row r="230" spans="2:9" s="13" customFormat="1">
      <c r="B230" s="238" t="s">
        <v>145</v>
      </c>
      <c r="C230" s="239">
        <f>'Transportation - On Road'!M54</f>
        <v>3490.3106228571428</v>
      </c>
      <c r="D230" s="1071">
        <v>0</v>
      </c>
      <c r="E230" s="445">
        <f>1-D230</f>
        <v>1</v>
      </c>
      <c r="F230" s="252">
        <f>C230*D230</f>
        <v>0</v>
      </c>
      <c r="G230" s="724">
        <f>C230*E230</f>
        <v>3490.3106228571428</v>
      </c>
      <c r="H230" s="45"/>
      <c r="I230" s="45"/>
    </row>
    <row r="231" spans="2:9" s="13" customFormat="1" ht="13.5" thickBot="1">
      <c r="B231" s="122" t="s">
        <v>1244</v>
      </c>
      <c r="C231" s="1721">
        <f>SUM(C229:C230)</f>
        <v>18120.77117642857</v>
      </c>
      <c r="D231" s="1737"/>
      <c r="E231" s="1737"/>
      <c r="F231" s="1721">
        <f t="shared" ref="F231:G231" si="14">SUM(F229:F230)</f>
        <v>11850.673048392859</v>
      </c>
      <c r="G231" s="1738">
        <f t="shared" si="14"/>
        <v>6270.0981280357137</v>
      </c>
      <c r="H231" s="45"/>
      <c r="I231" s="45"/>
    </row>
    <row r="232" spans="2:9" s="13" customFormat="1" ht="42" customHeight="1" thickBot="1">
      <c r="B232" s="1945" t="s">
        <v>1245</v>
      </c>
      <c r="C232" s="2204"/>
      <c r="D232" s="2204"/>
      <c r="E232" s="1946"/>
      <c r="F232" s="521" t="s">
        <v>1246</v>
      </c>
      <c r="G232" s="389"/>
      <c r="H232" s="45"/>
      <c r="I232" s="45"/>
    </row>
    <row r="233" spans="2:9" s="13" customFormat="1" ht="27.75" customHeight="1">
      <c r="B233" s="45"/>
      <c r="C233" s="45"/>
      <c r="D233" s="45"/>
      <c r="E233" s="45"/>
      <c r="F233" s="45"/>
      <c r="G233" s="45"/>
      <c r="H233" s="45"/>
      <c r="I233" s="45"/>
    </row>
    <row r="234" spans="2:9" s="13" customFormat="1">
      <c r="B234" s="45"/>
      <c r="C234" s="45"/>
      <c r="D234" s="45"/>
      <c r="E234" s="45"/>
      <c r="F234" s="45"/>
      <c r="G234" s="45"/>
      <c r="H234" s="45"/>
      <c r="I234" s="45"/>
    </row>
    <row r="235" spans="2:9" s="13" customFormat="1">
      <c r="B235" s="45"/>
      <c r="C235" s="45"/>
      <c r="D235" s="45"/>
      <c r="E235" s="45"/>
      <c r="F235" s="45"/>
      <c r="G235" s="45"/>
      <c r="H235" s="45"/>
      <c r="I235" s="45"/>
    </row>
    <row r="236" spans="2:9" s="13" customFormat="1">
      <c r="B236" s="45"/>
      <c r="C236" s="45"/>
      <c r="D236" s="45"/>
      <c r="E236" s="45"/>
      <c r="F236" s="45"/>
      <c r="G236" s="45"/>
      <c r="H236" s="45"/>
      <c r="I236" s="45"/>
    </row>
    <row r="237" spans="2:9" s="13" customFormat="1">
      <c r="B237" s="45"/>
      <c r="C237" s="45"/>
      <c r="D237" s="45"/>
      <c r="E237" s="45"/>
      <c r="F237" s="45"/>
      <c r="G237" s="45"/>
      <c r="H237" s="45"/>
      <c r="I237" s="45"/>
    </row>
    <row r="238" spans="2:9" s="13" customFormat="1">
      <c r="B238" s="45"/>
      <c r="C238" s="45"/>
      <c r="D238" s="45"/>
      <c r="E238" s="45"/>
      <c r="F238" s="45"/>
      <c r="G238" s="45"/>
      <c r="H238" s="45"/>
      <c r="I238" s="45"/>
    </row>
    <row r="239" spans="2:9" s="13" customFormat="1">
      <c r="B239" s="45"/>
      <c r="C239" s="45"/>
      <c r="D239" s="45"/>
      <c r="E239" s="45"/>
      <c r="F239" s="45"/>
      <c r="G239" s="45"/>
      <c r="H239" s="45"/>
      <c r="I239" s="45"/>
    </row>
    <row r="240" spans="2:9" s="13" customFormat="1">
      <c r="B240" s="45"/>
      <c r="C240" s="45"/>
      <c r="D240" s="45"/>
      <c r="E240" s="45"/>
      <c r="F240" s="45"/>
      <c r="G240" s="45"/>
      <c r="H240" s="45"/>
      <c r="I240" s="45"/>
    </row>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pans="7:7" s="13" customFormat="1">
      <c r="G273" s="45"/>
    </row>
    <row r="274" spans="7:7" s="13" customFormat="1">
      <c r="G274" s="45"/>
    </row>
    <row r="275" spans="7:7" s="13" customFormat="1">
      <c r="G275" s="45"/>
    </row>
    <row r="276" spans="7:7" s="13" customFormat="1">
      <c r="G276" s="45"/>
    </row>
    <row r="277" spans="7:7" s="13" customFormat="1">
      <c r="G277" s="45"/>
    </row>
    <row r="278" spans="7:7" s="13" customFormat="1">
      <c r="G278" s="45"/>
    </row>
    <row r="279" spans="7:7" s="13" customFormat="1">
      <c r="G279" s="45"/>
    </row>
    <row r="280" spans="7:7" s="13" customFormat="1">
      <c r="G280" s="45"/>
    </row>
    <row r="281" spans="7:7" s="13" customFormat="1">
      <c r="G281" s="45"/>
    </row>
    <row r="282" spans="7:7" s="13" customFormat="1">
      <c r="G282" s="45"/>
    </row>
    <row r="283" spans="7:7" s="13" customFormat="1">
      <c r="G283" s="45"/>
    </row>
    <row r="284" spans="7:7" s="13" customFormat="1">
      <c r="G284" s="45"/>
    </row>
    <row r="285" spans="7:7" s="13" customFormat="1">
      <c r="G285" s="45"/>
    </row>
    <row r="286" spans="7:7" s="13" customFormat="1">
      <c r="G286" s="45"/>
    </row>
    <row r="287" spans="7:7" s="13" customFormat="1">
      <c r="G287" s="45"/>
    </row>
    <row r="288" spans="7:7" s="13" customFormat="1">
      <c r="G288" s="45"/>
    </row>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ht="65.25" customHeight="1"/>
    <row r="337" s="13" customFormat="1" ht="66.75" customHeigh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row r="361" s="13" customFormat="1"/>
    <row r="362" s="13" customFormat="1"/>
    <row r="363" s="13" customFormat="1"/>
    <row r="364" s="13" customFormat="1"/>
    <row r="365" s="13" customFormat="1"/>
    <row r="366" s="13" customFormat="1"/>
    <row r="367" s="13" customFormat="1"/>
    <row r="368" s="13" customFormat="1"/>
    <row r="369" s="13" customFormat="1"/>
    <row r="370" s="13" customFormat="1"/>
    <row r="371" s="13" customFormat="1"/>
    <row r="372" s="13" customFormat="1"/>
    <row r="373" s="13" customFormat="1"/>
    <row r="374" s="13" customFormat="1"/>
    <row r="375" s="13" customFormat="1"/>
    <row r="376" s="13" customFormat="1"/>
    <row r="377" s="13" customFormat="1"/>
    <row r="378" s="13" customFormat="1"/>
    <row r="379" s="13" customFormat="1"/>
    <row r="380" s="13" customFormat="1"/>
    <row r="381" s="13" customFormat="1"/>
    <row r="382" s="13" customFormat="1"/>
    <row r="383" s="13" customFormat="1"/>
    <row r="384" s="13" customFormat="1"/>
    <row r="385" s="13" customFormat="1"/>
    <row r="386" s="13" customFormat="1"/>
    <row r="387" s="13" customFormat="1"/>
    <row r="388" s="13" customFormat="1"/>
    <row r="389" s="13" customFormat="1"/>
    <row r="390" s="13" customFormat="1"/>
    <row r="391" s="13" customFormat="1"/>
    <row r="392" s="13" customFormat="1"/>
    <row r="393" s="13" customFormat="1"/>
    <row r="394" s="13" customFormat="1"/>
    <row r="395" s="13" customFormat="1"/>
    <row r="396" s="13" customFormat="1"/>
    <row r="397" s="13" customFormat="1"/>
    <row r="398" s="13" customFormat="1"/>
    <row r="399" s="13" customFormat="1"/>
    <row r="400" s="13" customFormat="1"/>
    <row r="401" s="13" customFormat="1"/>
    <row r="402" s="13" customFormat="1"/>
    <row r="403" s="13" customFormat="1"/>
    <row r="404" s="13" customFormat="1"/>
    <row r="405" s="13" customFormat="1"/>
    <row r="406" s="13" customFormat="1"/>
    <row r="407" s="13" customFormat="1"/>
    <row r="408" s="13" customFormat="1"/>
    <row r="409" s="13" customFormat="1"/>
    <row r="410" s="13" customFormat="1"/>
    <row r="411" s="13" customFormat="1"/>
    <row r="412" s="13" customFormat="1"/>
    <row r="413" s="13" customFormat="1"/>
    <row r="414" s="13" customFormat="1"/>
    <row r="415" s="13" customFormat="1"/>
    <row r="416" s="13" customFormat="1"/>
    <row r="417" s="13" customFormat="1"/>
    <row r="418" s="13" customFormat="1"/>
    <row r="419" s="13" customFormat="1"/>
    <row r="420" s="13" customFormat="1"/>
    <row r="421" s="13" customFormat="1"/>
    <row r="422" s="13" customFormat="1"/>
    <row r="423" s="13" customFormat="1"/>
    <row r="424" s="13" customFormat="1"/>
    <row r="425" s="13" customFormat="1"/>
    <row r="426" s="13" customFormat="1"/>
    <row r="427" s="13" customFormat="1"/>
    <row r="428" s="13" customFormat="1"/>
    <row r="429" s="13" customFormat="1"/>
    <row r="430" s="13" customFormat="1"/>
    <row r="431" s="13" customFormat="1"/>
    <row r="432" s="13" customFormat="1"/>
    <row r="433" s="13" customFormat="1"/>
    <row r="434" s="13" customFormat="1"/>
    <row r="435" s="13" customFormat="1"/>
    <row r="436" s="13" customFormat="1"/>
    <row r="437" s="13" customFormat="1"/>
    <row r="438" s="13" customFormat="1"/>
    <row r="439" s="13" customFormat="1"/>
    <row r="440" s="13" customFormat="1"/>
    <row r="441" s="13" customFormat="1"/>
    <row r="442" s="13" customFormat="1"/>
    <row r="443" s="13" customFormat="1"/>
    <row r="444" s="13" customFormat="1"/>
    <row r="445" s="13" customFormat="1"/>
    <row r="446" s="13" customFormat="1"/>
    <row r="447" s="13" customFormat="1"/>
    <row r="448" s="13" customFormat="1"/>
    <row r="449" s="13" customFormat="1"/>
    <row r="450" s="13" customFormat="1"/>
    <row r="451" s="13" customFormat="1"/>
    <row r="452" s="13" customFormat="1"/>
    <row r="453" s="13" customFormat="1"/>
    <row r="454" s="13" customFormat="1"/>
    <row r="455" s="13" customFormat="1"/>
    <row r="456" s="13" customFormat="1"/>
    <row r="457" s="13" customFormat="1"/>
    <row r="458" s="13" customFormat="1"/>
    <row r="459" s="13" customFormat="1"/>
    <row r="460" s="13" customFormat="1"/>
    <row r="461" s="13" customFormat="1"/>
    <row r="462" s="13" customFormat="1"/>
    <row r="463" s="13" customFormat="1"/>
    <row r="464" s="13" customFormat="1"/>
    <row r="465" s="13" customFormat="1"/>
    <row r="466" s="13" customFormat="1"/>
    <row r="467" s="13" customFormat="1"/>
    <row r="468" s="13" customFormat="1"/>
    <row r="469" s="13" customFormat="1"/>
    <row r="470" s="13" customFormat="1"/>
    <row r="471" s="13" customFormat="1"/>
    <row r="472" s="13" customFormat="1"/>
    <row r="473" s="13" customFormat="1"/>
    <row r="474" s="13" customFormat="1"/>
    <row r="475" s="13" customFormat="1"/>
    <row r="476" s="13" customFormat="1"/>
    <row r="477" s="13" customFormat="1"/>
    <row r="478" s="13" customFormat="1"/>
    <row r="479" s="13" customFormat="1"/>
    <row r="480" s="13" customFormat="1"/>
    <row r="481" s="13" customFormat="1"/>
    <row r="482" s="13" customFormat="1"/>
    <row r="483" s="13" customFormat="1"/>
    <row r="484" s="13" customFormat="1"/>
    <row r="485" s="13" customFormat="1"/>
    <row r="486" s="13" customFormat="1"/>
    <row r="487" s="13" customFormat="1"/>
    <row r="488" s="13" customFormat="1"/>
    <row r="489" s="13" customFormat="1"/>
    <row r="490" s="13" customFormat="1"/>
    <row r="491" s="13" customFormat="1"/>
    <row r="492" s="13" customFormat="1"/>
    <row r="493" s="13" customFormat="1"/>
    <row r="494" s="13" customFormat="1"/>
    <row r="495" s="13" customFormat="1"/>
    <row r="496" s="13" customFormat="1"/>
    <row r="497" s="13" customFormat="1"/>
    <row r="498" s="13" customFormat="1"/>
    <row r="499" s="13" customFormat="1"/>
    <row r="500" s="13" customFormat="1"/>
    <row r="501" s="13" customFormat="1"/>
    <row r="502" s="13" customFormat="1"/>
    <row r="503" s="13" customFormat="1"/>
    <row r="504" s="13" customFormat="1"/>
    <row r="505" s="13" customFormat="1"/>
    <row r="506" s="13" customFormat="1"/>
    <row r="507" s="13" customFormat="1"/>
    <row r="508" s="13" customFormat="1"/>
    <row r="509" s="13" customFormat="1"/>
    <row r="510" s="13" customFormat="1"/>
    <row r="511" s="13" customFormat="1"/>
    <row r="512" s="13" customFormat="1"/>
    <row r="513" s="13" customFormat="1"/>
    <row r="514" s="13" customFormat="1"/>
    <row r="515" s="13" customFormat="1"/>
    <row r="516" s="13" customFormat="1"/>
    <row r="517" s="13" customFormat="1"/>
    <row r="518" s="13" customFormat="1"/>
    <row r="519" s="13" customFormat="1"/>
    <row r="520" s="13" customFormat="1"/>
    <row r="521" s="13" customFormat="1"/>
    <row r="522" s="13" customFormat="1"/>
    <row r="523" s="13" customFormat="1"/>
    <row r="524" s="13" customFormat="1"/>
    <row r="525" s="13" customFormat="1"/>
    <row r="526" s="13" customFormat="1"/>
    <row r="527" s="13" customFormat="1"/>
    <row r="528" s="13" customFormat="1"/>
    <row r="529" s="13" customFormat="1"/>
    <row r="530" s="13" customFormat="1"/>
    <row r="531" s="13" customFormat="1"/>
    <row r="532" s="13" customFormat="1"/>
    <row r="533" s="13" customFormat="1"/>
    <row r="534" s="13" customFormat="1"/>
    <row r="535" s="13" customFormat="1"/>
    <row r="536" s="13" customFormat="1"/>
    <row r="537" s="13" customFormat="1"/>
    <row r="538" s="13" customFormat="1"/>
    <row r="539" s="13" customFormat="1"/>
    <row r="540" s="13" customFormat="1"/>
    <row r="541" s="13" customFormat="1"/>
    <row r="542" s="13" customFormat="1"/>
    <row r="543" s="13" customFormat="1"/>
    <row r="544" s="13" customFormat="1"/>
    <row r="545" s="13" customFormat="1"/>
    <row r="546" s="13" customFormat="1"/>
    <row r="547" s="13" customFormat="1"/>
    <row r="548" s="13" customFormat="1"/>
    <row r="549" s="13" customFormat="1"/>
    <row r="550" s="13" customFormat="1"/>
    <row r="551" s="13" customFormat="1"/>
    <row r="552" s="13" customFormat="1"/>
    <row r="553" s="13" customFormat="1"/>
    <row r="554" s="13" customFormat="1"/>
    <row r="555" s="13" customFormat="1"/>
    <row r="556" s="13" customFormat="1"/>
    <row r="557" s="13" customFormat="1"/>
    <row r="558" s="13" customFormat="1"/>
    <row r="559" s="13" customFormat="1"/>
    <row r="560" s="13" customFormat="1"/>
    <row r="561" s="13" customFormat="1"/>
    <row r="562" s="13" customFormat="1"/>
    <row r="563" s="13" customFormat="1"/>
    <row r="564" s="13" customFormat="1"/>
    <row r="565" s="13" customFormat="1"/>
    <row r="566" s="13" customFormat="1"/>
    <row r="567" s="13" customFormat="1"/>
    <row r="568" s="13" customFormat="1"/>
    <row r="569" s="13" customFormat="1"/>
    <row r="570" s="13" customFormat="1"/>
    <row r="571" s="13" customFormat="1"/>
    <row r="572" s="13" customFormat="1"/>
    <row r="573" s="13" customFormat="1"/>
    <row r="574" s="13" customFormat="1"/>
    <row r="575" s="13" customFormat="1"/>
    <row r="576" s="13" customFormat="1"/>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sheetData>
  <mergeCells count="38">
    <mergeCell ref="B232:E232"/>
    <mergeCell ref="B227:G227"/>
    <mergeCell ref="B209:F209"/>
    <mergeCell ref="B53:E53"/>
    <mergeCell ref="B52:E52"/>
    <mergeCell ref="B55:O55"/>
    <mergeCell ref="B106:F106"/>
    <mergeCell ref="B73:E73"/>
    <mergeCell ref="B74:E74"/>
    <mergeCell ref="B75:E75"/>
    <mergeCell ref="B225:E225"/>
    <mergeCell ref="B214:H214"/>
    <mergeCell ref="B21:C21"/>
    <mergeCell ref="B9:I9"/>
    <mergeCell ref="B22:E22"/>
    <mergeCell ref="B23:E23"/>
    <mergeCell ref="B2:E2"/>
    <mergeCell ref="B7:E7"/>
    <mergeCell ref="B6:E6"/>
    <mergeCell ref="B11:B15"/>
    <mergeCell ref="B16:B20"/>
    <mergeCell ref="C3:E3"/>
    <mergeCell ref="C4:E4"/>
    <mergeCell ref="B28:H28"/>
    <mergeCell ref="B25:I25"/>
    <mergeCell ref="B212:E212"/>
    <mergeCell ref="B220:G220"/>
    <mergeCell ref="B49:E49"/>
    <mergeCell ref="B50:E50"/>
    <mergeCell ref="B51:E51"/>
    <mergeCell ref="B38:N38"/>
    <mergeCell ref="B207:E207"/>
    <mergeCell ref="B101:E101"/>
    <mergeCell ref="B102:E102"/>
    <mergeCell ref="B103:E103"/>
    <mergeCell ref="B104:E104"/>
    <mergeCell ref="B77:M77"/>
    <mergeCell ref="B30:H30"/>
  </mergeCells>
  <phoneticPr fontId="0" type="noConversion"/>
  <hyperlinks>
    <hyperlink ref="F49" r:id="rId1" xr:uid="{00000000-0004-0000-0900-000000000000}"/>
    <hyperlink ref="F51" r:id="rId2" location="fuel-consumption" xr:uid="{00000000-0004-0000-0900-000001000000}"/>
    <hyperlink ref="F50" r:id="rId3" xr:uid="{00000000-0004-0000-0900-000002000000}"/>
    <hyperlink ref="F53" r:id="rId4" xr:uid="{00000000-0004-0000-0900-000003000000}"/>
    <hyperlink ref="F52" r:id="rId5" xr:uid="{00000000-0004-0000-0900-000004000000}"/>
    <hyperlink ref="F73" r:id="rId6" xr:uid="{00000000-0004-0000-0900-000005000000}"/>
    <hyperlink ref="F74" r:id="rId7" xr:uid="{00000000-0004-0000-0900-000006000000}"/>
    <hyperlink ref="F75" r:id="rId8" xr:uid="{00000000-0004-0000-0900-000007000000}"/>
    <hyperlink ref="F232" r:id="rId9" xr:uid="{00000000-0004-0000-0900-000008000000}"/>
    <hyperlink ref="F225" r:id="rId10" xr:uid="{00000000-0004-0000-0900-000009000000}"/>
    <hyperlink ref="F212" r:id="rId11" xr:uid="{00000000-0004-0000-0900-00000A000000}"/>
    <hyperlink ref="F207" r:id="rId12" xr:uid="{00000000-0004-0000-0900-00000B000000}"/>
    <hyperlink ref="F101" r:id="rId13" xr:uid="{00000000-0004-0000-0900-00000C000000}"/>
    <hyperlink ref="F102" r:id="rId14" location="r6" xr:uid="{00000000-0004-0000-0900-00000D000000}"/>
    <hyperlink ref="F103" r:id="rId15" location="r6" xr:uid="{00000000-0004-0000-0900-00000E000000}"/>
    <hyperlink ref="F104" r:id="rId16" location="r6" xr:uid="{00000000-0004-0000-0900-00000F000000}"/>
  </hyperlinks>
  <pageMargins left="0.75" right="0.75" top="1" bottom="1" header="0.5" footer="0.5"/>
  <pageSetup orientation="landscape" r:id="rId17"/>
  <headerFooter alignWithMargins="0"/>
  <ignoredErrors>
    <ignoredError sqref="E17 F44" formula="1"/>
    <ignoredError sqref="H42:H43" formulaRange="1"/>
  </ignoredErrors>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AD65"/>
  <sheetViews>
    <sheetView showGridLines="0" zoomScaleNormal="100" workbookViewId="0">
      <selection activeCell="M12" sqref="M12"/>
    </sheetView>
  </sheetViews>
  <sheetFormatPr defaultRowHeight="12.75"/>
  <cols>
    <col min="1" max="1" width="2.7109375" customWidth="1"/>
    <col min="2" max="2" width="30.7109375" bestFit="1" customWidth="1"/>
    <col min="3" max="4" width="15.140625" customWidth="1"/>
    <col min="5" max="5" width="15.140625" style="6" customWidth="1"/>
    <col min="6" max="6" width="15.140625" style="24" customWidth="1"/>
    <col min="7" max="7" width="17.5703125" style="24" customWidth="1"/>
    <col min="8" max="8" width="15.28515625" style="24" customWidth="1"/>
    <col min="9" max="10" width="17.85546875" style="24" customWidth="1"/>
    <col min="11" max="11" width="18.85546875" style="24" customWidth="1"/>
    <col min="12" max="14" width="17.85546875" style="6" customWidth="1"/>
    <col min="15" max="17" width="10" style="6" bestFit="1" customWidth="1"/>
    <col min="18" max="18" width="9.42578125" style="6" bestFit="1" customWidth="1"/>
    <col min="19" max="19" width="10" style="6" bestFit="1" customWidth="1"/>
    <col min="20" max="20" width="9.42578125" bestFit="1" customWidth="1"/>
    <col min="21" max="21" width="12" bestFit="1" customWidth="1"/>
    <col min="22" max="25" width="9.42578125" bestFit="1" customWidth="1"/>
  </cols>
  <sheetData>
    <row r="1" spans="1:30" s="6" customFormat="1" ht="13.5" thickBot="1">
      <c r="A1" s="24"/>
      <c r="B1" s="2243"/>
      <c r="C1" s="2243"/>
      <c r="D1" s="2243"/>
      <c r="E1" s="2243"/>
      <c r="F1" s="2243"/>
      <c r="G1" s="2243"/>
      <c r="H1" s="2243"/>
      <c r="I1" s="2243"/>
      <c r="J1" s="2243"/>
      <c r="K1" s="2243"/>
      <c r="L1" s="2243"/>
      <c r="M1" s="24"/>
      <c r="N1" s="24"/>
      <c r="O1" s="24"/>
      <c r="P1" s="24"/>
      <c r="Q1" s="24"/>
      <c r="R1" s="24"/>
      <c r="S1" s="24"/>
      <c r="T1" s="24"/>
      <c r="U1" s="24"/>
      <c r="V1" s="24"/>
      <c r="W1" s="24"/>
      <c r="X1" s="24"/>
      <c r="Y1" s="24"/>
      <c r="Z1" s="24"/>
      <c r="AA1" s="24"/>
      <c r="AB1" s="24"/>
      <c r="AC1" s="24"/>
      <c r="AD1" s="24"/>
    </row>
    <row r="2" spans="1:30" s="24" customFormat="1" ht="24" thickBot="1">
      <c r="B2" s="2244" t="s">
        <v>1247</v>
      </c>
      <c r="C2" s="2245"/>
      <c r="D2" s="2245"/>
      <c r="E2" s="2245"/>
      <c r="F2" s="2245"/>
      <c r="G2" s="2246"/>
      <c r="H2" s="1875"/>
      <c r="I2" s="1875"/>
      <c r="J2" s="1875"/>
      <c r="K2" s="1875"/>
      <c r="L2" s="1875"/>
    </row>
    <row r="3" spans="1:30" s="24" customFormat="1" ht="12.75" customHeight="1">
      <c r="B3" s="165" t="s">
        <v>430</v>
      </c>
      <c r="C3" s="2058" t="s">
        <v>441</v>
      </c>
      <c r="D3" s="2059"/>
      <c r="E3" s="2059"/>
      <c r="F3" s="2059"/>
      <c r="G3" s="2060"/>
      <c r="H3" s="1875"/>
      <c r="I3" s="1875"/>
      <c r="J3" s="1875"/>
      <c r="K3" s="1875"/>
      <c r="L3" s="1875"/>
      <c r="M3" s="45"/>
      <c r="N3" s="45"/>
      <c r="O3" s="45"/>
    </row>
    <row r="4" spans="1:30" s="24" customFormat="1" ht="13.5" customHeight="1" thickBot="1">
      <c r="B4" s="166" t="s">
        <v>1067</v>
      </c>
      <c r="C4" s="2247" t="s">
        <v>1248</v>
      </c>
      <c r="D4" s="2248"/>
      <c r="E4" s="2248"/>
      <c r="F4" s="2248"/>
      <c r="G4" s="2249"/>
      <c r="H4" s="1875"/>
      <c r="I4" s="1875"/>
      <c r="J4" s="1875"/>
      <c r="K4" s="1875"/>
      <c r="L4" s="1875"/>
      <c r="M4" s="45"/>
      <c r="N4" s="45"/>
      <c r="O4" s="45"/>
    </row>
    <row r="5" spans="1:30" s="24" customFormat="1" ht="13.5" thickBot="1">
      <c r="B5" s="1875"/>
      <c r="C5" s="1875"/>
      <c r="D5" s="1875"/>
      <c r="E5" s="1875"/>
      <c r="F5" s="1875"/>
      <c r="G5" s="1875"/>
      <c r="H5" s="1875"/>
      <c r="I5" s="1875"/>
      <c r="J5" s="1875"/>
      <c r="K5" s="1875"/>
      <c r="L5" s="1875"/>
      <c r="M5" s="45"/>
      <c r="N5" s="45"/>
      <c r="O5" s="45"/>
    </row>
    <row r="6" spans="1:30" s="24" customFormat="1" ht="15" customHeight="1" thickBot="1">
      <c r="B6" s="2253" t="s">
        <v>434</v>
      </c>
      <c r="C6" s="2254"/>
      <c r="D6" s="2254"/>
      <c r="E6" s="2254"/>
      <c r="F6" s="2254"/>
      <c r="G6" s="2255"/>
      <c r="H6" s="1875"/>
      <c r="I6" s="1875"/>
      <c r="J6" s="1875"/>
      <c r="K6" s="1875"/>
      <c r="L6" s="1875"/>
      <c r="M6" s="45"/>
      <c r="N6" s="45"/>
      <c r="O6" s="45"/>
    </row>
    <row r="7" spans="1:30" s="24" customFormat="1" ht="61.5" customHeight="1" thickBot="1">
      <c r="B7" s="2250" t="s">
        <v>1249</v>
      </c>
      <c r="C7" s="2251"/>
      <c r="D7" s="2251"/>
      <c r="E7" s="2251"/>
      <c r="F7" s="2251"/>
      <c r="G7" s="2252"/>
      <c r="H7" s="1875"/>
      <c r="I7" s="1875"/>
      <c r="J7" s="1875"/>
      <c r="K7" s="1875"/>
      <c r="L7" s="1875"/>
      <c r="M7" s="45"/>
      <c r="N7" s="45"/>
      <c r="O7" s="45"/>
    </row>
    <row r="8" spans="1:30" s="24" customFormat="1" ht="13.5" thickBot="1">
      <c r="A8" s="52"/>
      <c r="B8" s="45"/>
      <c r="C8" s="45"/>
      <c r="D8" s="45"/>
      <c r="E8" s="229"/>
      <c r="F8" s="229"/>
      <c r="G8" s="229"/>
      <c r="H8" s="229"/>
      <c r="I8" s="229"/>
      <c r="J8" s="229"/>
      <c r="K8" s="229"/>
      <c r="L8" s="229"/>
      <c r="M8" s="230"/>
      <c r="N8" s="230"/>
      <c r="O8" s="230"/>
      <c r="P8" s="230"/>
    </row>
    <row r="9" spans="1:30" s="6" customFormat="1" ht="18.75" customHeight="1" thickBot="1">
      <c r="A9" s="24"/>
      <c r="B9" s="1905" t="s">
        <v>1250</v>
      </c>
      <c r="C9" s="2114"/>
      <c r="D9" s="2114"/>
      <c r="E9" s="2114"/>
      <c r="F9" s="2114"/>
      <c r="G9" s="2114"/>
      <c r="H9" s="2114"/>
      <c r="I9" s="2114"/>
      <c r="J9" s="2114"/>
      <c r="K9" s="2114"/>
      <c r="L9" s="2114"/>
      <c r="M9" s="2114"/>
      <c r="N9" s="2114"/>
      <c r="O9" s="2142"/>
      <c r="P9" s="47"/>
      <c r="Q9" s="24"/>
      <c r="R9" s="24"/>
      <c r="S9" s="24"/>
      <c r="T9" s="24"/>
      <c r="U9" s="24"/>
      <c r="V9" s="24"/>
      <c r="W9" s="24"/>
      <c r="X9" s="24"/>
      <c r="Y9" s="24"/>
      <c r="Z9" s="24"/>
      <c r="AA9" s="24"/>
      <c r="AB9" s="24"/>
      <c r="AC9" s="24"/>
      <c r="AD9" s="24"/>
    </row>
    <row r="10" spans="1:30" s="6" customFormat="1" ht="25.5" customHeight="1">
      <c r="A10" s="24"/>
      <c r="B10" s="1510"/>
      <c r="C10" s="2265" t="s">
        <v>1251</v>
      </c>
      <c r="D10" s="2266"/>
      <c r="E10" s="2266"/>
      <c r="F10" s="2266"/>
      <c r="G10" s="2266"/>
      <c r="H10" s="2267"/>
      <c r="I10" s="2265" t="s">
        <v>1252</v>
      </c>
      <c r="J10" s="2266"/>
      <c r="K10" s="2266"/>
      <c r="L10" s="2267"/>
      <c r="M10" s="2265" t="s">
        <v>1253</v>
      </c>
      <c r="N10" s="2266"/>
      <c r="O10" s="2266"/>
      <c r="P10" s="230"/>
      <c r="Q10" s="230"/>
      <c r="R10" s="230"/>
      <c r="S10" s="24"/>
      <c r="T10" s="24"/>
      <c r="U10" s="24"/>
      <c r="V10" s="24"/>
      <c r="W10" s="24"/>
      <c r="X10" s="24"/>
      <c r="Y10" s="24"/>
      <c r="Z10" s="24"/>
      <c r="AA10" s="24"/>
      <c r="AB10" s="24"/>
      <c r="AC10" s="24"/>
      <c r="AD10" s="24"/>
    </row>
    <row r="11" spans="1:30" s="6" customFormat="1" ht="57" customHeight="1">
      <c r="A11" s="24"/>
      <c r="B11" s="1876" t="s">
        <v>120</v>
      </c>
      <c r="C11" s="1880" t="s">
        <v>121</v>
      </c>
      <c r="D11" s="336" t="s">
        <v>122</v>
      </c>
      <c r="E11" s="357" t="s">
        <v>1254</v>
      </c>
      <c r="F11" s="357" t="s">
        <v>1255</v>
      </c>
      <c r="G11" s="357" t="s">
        <v>1256</v>
      </c>
      <c r="H11" s="1882" t="s">
        <v>1257</v>
      </c>
      <c r="I11" s="357" t="s">
        <v>1258</v>
      </c>
      <c r="J11" s="357" t="s">
        <v>1259</v>
      </c>
      <c r="K11" s="357" t="s">
        <v>1260</v>
      </c>
      <c r="L11" s="1882" t="s">
        <v>1261</v>
      </c>
      <c r="M11" s="1880" t="s">
        <v>1223</v>
      </c>
      <c r="N11" s="336" t="s">
        <v>1262</v>
      </c>
      <c r="O11" s="1882" t="s">
        <v>1263</v>
      </c>
      <c r="P11" s="24"/>
      <c r="Q11" s="48"/>
      <c r="R11" s="48"/>
      <c r="S11" s="48"/>
      <c r="T11" s="48"/>
      <c r="U11" s="48"/>
      <c r="V11" s="49"/>
      <c r="W11" s="49"/>
      <c r="X11" s="49"/>
      <c r="Y11" s="49"/>
      <c r="Z11" s="49"/>
      <c r="AA11" s="49"/>
      <c r="AB11" s="49"/>
      <c r="AC11" s="49"/>
      <c r="AD11" s="49"/>
    </row>
    <row r="12" spans="1:30" s="6" customFormat="1" ht="25.5">
      <c r="A12" s="24"/>
      <c r="B12" s="1519" t="s">
        <v>1264</v>
      </c>
      <c r="C12" s="1306">
        <f>Inputs!C207</f>
        <v>590644</v>
      </c>
      <c r="D12" s="1306">
        <f>Inputs!D207</f>
        <v>100</v>
      </c>
      <c r="E12" s="1507">
        <f>C12*'Emission Factors'!$D$149</f>
        <v>267911.39324800001</v>
      </c>
      <c r="F12" s="1507">
        <f>D12*'Emission Factors'!$D$149</f>
        <v>45.359200000000001</v>
      </c>
      <c r="G12" s="628">
        <f>E12*'Emission Factors'!$D$139</f>
        <v>267.91139324800002</v>
      </c>
      <c r="H12" s="629">
        <f>F12*'Emission Factors'!$D$139</f>
        <v>4.5359200000000002E-2</v>
      </c>
      <c r="I12" s="630" t="s">
        <v>1265</v>
      </c>
      <c r="J12" s="1307">
        <f>Inputs!C199</f>
        <v>124</v>
      </c>
      <c r="K12" s="1307">
        <f>Inputs!D199</f>
        <v>124</v>
      </c>
      <c r="L12" s="526">
        <f>IFERROR(K12/J12,0)</f>
        <v>1</v>
      </c>
      <c r="M12" s="527" t="s">
        <v>1266</v>
      </c>
      <c r="N12" s="528">
        <f>H12*L12</f>
        <v>4.5359200000000002E-2</v>
      </c>
      <c r="O12" s="529">
        <f>G12*L12</f>
        <v>267.91139324800002</v>
      </c>
      <c r="P12" s="24"/>
      <c r="Q12" s="50"/>
      <c r="R12" s="50"/>
      <c r="S12" s="50"/>
      <c r="T12" s="51"/>
      <c r="U12" s="51"/>
      <c r="V12" s="51"/>
      <c r="W12" s="51"/>
      <c r="X12" s="51"/>
      <c r="Y12" s="51"/>
      <c r="Z12" s="51"/>
      <c r="AA12" s="51"/>
      <c r="AB12" s="51"/>
      <c r="AC12" s="51"/>
      <c r="AD12" s="51"/>
    </row>
    <row r="13" spans="1:30" s="6" customFormat="1" ht="25.5">
      <c r="A13" s="24"/>
      <c r="B13" s="1519" t="s">
        <v>1267</v>
      </c>
      <c r="C13" s="1509">
        <f>Inputs!C208</f>
        <v>16793914</v>
      </c>
      <c r="D13" s="1508">
        <f>Inputs!D208</f>
        <v>11490</v>
      </c>
      <c r="E13" s="1507">
        <f>C13*'Emission Factors'!$D$149</f>
        <v>7617585.0390879996</v>
      </c>
      <c r="F13" s="1507">
        <f>D13*'Emission Factors'!$D$149</f>
        <v>5211.7720799999997</v>
      </c>
      <c r="G13" s="628">
        <f>E13*'Emission Factors'!$D$139</f>
        <v>7617.5850390879996</v>
      </c>
      <c r="H13" s="629">
        <f>F13*'Emission Factors'!$D$139</f>
        <v>5.2117720800000003</v>
      </c>
      <c r="I13" s="630" t="s">
        <v>1268</v>
      </c>
      <c r="J13" s="1307">
        <f>Inputs!C200</f>
        <v>141938257</v>
      </c>
      <c r="K13" s="1307">
        <f>Inputs!D200</f>
        <v>141938257</v>
      </c>
      <c r="L13" s="526">
        <f t="shared" ref="L13:L15" si="0">IFERROR(K13/J13,0)</f>
        <v>1</v>
      </c>
      <c r="M13" s="527" t="s">
        <v>1269</v>
      </c>
      <c r="N13" s="530">
        <f>H13*L13</f>
        <v>5.2117720800000003</v>
      </c>
      <c r="O13" s="529">
        <f>G13*L13</f>
        <v>7617.5850390879996</v>
      </c>
      <c r="P13" s="24"/>
      <c r="Q13" s="50"/>
      <c r="R13" s="50"/>
      <c r="S13" s="50"/>
      <c r="T13" s="51"/>
      <c r="U13" s="51"/>
      <c r="V13" s="51"/>
      <c r="W13" s="51"/>
      <c r="X13" s="51"/>
      <c r="Y13" s="51"/>
      <c r="Z13" s="51"/>
      <c r="AA13" s="51"/>
      <c r="AB13" s="51"/>
      <c r="AC13" s="51"/>
      <c r="AD13" s="51"/>
    </row>
    <row r="14" spans="1:30" s="6" customFormat="1" ht="25.5">
      <c r="A14" s="24"/>
      <c r="B14" s="1519" t="s">
        <v>1270</v>
      </c>
      <c r="C14" s="1306">
        <f>Inputs!C209</f>
        <v>965835</v>
      </c>
      <c r="D14" s="1306">
        <f>Inputs!D209</f>
        <v>758</v>
      </c>
      <c r="E14" s="1507">
        <f>C14*'Emission Factors'!$D$149</f>
        <v>438095.02931999997</v>
      </c>
      <c r="F14" s="1507">
        <f>D14*'Emission Factors'!$D$149</f>
        <v>343.82273600000002</v>
      </c>
      <c r="G14" s="628">
        <f>E14*'Emission Factors'!$D$139</f>
        <v>438.09502931999998</v>
      </c>
      <c r="H14" s="629">
        <f>F14*'Emission Factors'!$D$139</f>
        <v>0.34382273600000002</v>
      </c>
      <c r="I14" s="631" t="s">
        <v>1271</v>
      </c>
      <c r="J14" s="1308">
        <f>Inputs!C198-Inputs!C199</f>
        <v>6347</v>
      </c>
      <c r="K14" s="1309">
        <f>Inputs!D198-Inputs!D199</f>
        <v>6347</v>
      </c>
      <c r="L14" s="526">
        <f t="shared" si="0"/>
        <v>1</v>
      </c>
      <c r="M14" s="392" t="s">
        <v>1269</v>
      </c>
      <c r="N14" s="393">
        <f>H14*L14</f>
        <v>0.34382273600000002</v>
      </c>
      <c r="O14" s="531">
        <f>G14*L14</f>
        <v>438.09502931999998</v>
      </c>
      <c r="P14" s="24"/>
      <c r="Q14" s="50"/>
      <c r="R14" s="50"/>
      <c r="S14" s="50"/>
      <c r="T14" s="51"/>
      <c r="U14" s="51"/>
      <c r="V14" s="51"/>
      <c r="W14" s="51"/>
      <c r="X14" s="51"/>
      <c r="Y14" s="51"/>
      <c r="Z14" s="51"/>
      <c r="AA14" s="51"/>
      <c r="AB14" s="51"/>
      <c r="AC14" s="51"/>
      <c r="AD14" s="51"/>
    </row>
    <row r="15" spans="1:30" s="24" customFormat="1" ht="26.25" thickBot="1">
      <c r="B15" s="1520" t="s">
        <v>1272</v>
      </c>
      <c r="C15" s="1518">
        <f>Inputs!C210</f>
        <v>22164714</v>
      </c>
      <c r="D15" s="1739">
        <f>Inputs!D210</f>
        <v>948</v>
      </c>
      <c r="E15" s="1507">
        <f>C15*'Emission Factors'!$D$149</f>
        <v>10053736.952687999</v>
      </c>
      <c r="F15" s="1507">
        <f>D15*'Emission Factors'!$D$149</f>
        <v>430.00521600000002</v>
      </c>
      <c r="G15" s="628">
        <f>E15*'Emission Factors'!$D$139</f>
        <v>10053.736952687999</v>
      </c>
      <c r="H15" s="629">
        <f>F15*'Emission Factors'!$D$139</f>
        <v>0.43000521600000002</v>
      </c>
      <c r="I15" s="631" t="s">
        <v>1273</v>
      </c>
      <c r="J15" s="1308">
        <f>Inputs!C201</f>
        <v>0</v>
      </c>
      <c r="K15" s="1309">
        <f>Inputs!D201</f>
        <v>0</v>
      </c>
      <c r="L15" s="526">
        <f t="shared" si="0"/>
        <v>0</v>
      </c>
      <c r="M15" s="392" t="s">
        <v>126</v>
      </c>
      <c r="N15" s="393">
        <f>H15*L15</f>
        <v>0</v>
      </c>
      <c r="O15" s="531">
        <f>G15*L15</f>
        <v>0</v>
      </c>
      <c r="Q15" s="50"/>
      <c r="R15" s="50"/>
      <c r="S15" s="50"/>
      <c r="T15" s="51"/>
      <c r="U15" s="51"/>
      <c r="V15" s="51"/>
      <c r="W15" s="51"/>
      <c r="X15" s="51"/>
      <c r="Y15" s="51"/>
      <c r="Z15" s="51"/>
      <c r="AA15" s="51"/>
      <c r="AB15" s="51"/>
      <c r="AC15" s="51"/>
      <c r="AD15" s="51"/>
    </row>
    <row r="16" spans="1:30" s="24" customFormat="1" ht="12.75" customHeight="1">
      <c r="B16" s="2239" t="s">
        <v>1274</v>
      </c>
      <c r="C16" s="2240"/>
      <c r="D16" s="2240"/>
      <c r="E16" s="2240"/>
      <c r="F16" s="2240"/>
      <c r="G16" s="2240"/>
      <c r="H16" s="2240"/>
      <c r="I16" s="2240"/>
      <c r="J16" s="2240"/>
      <c r="K16" s="2240"/>
      <c r="L16" s="2240"/>
      <c r="M16" s="2241"/>
      <c r="N16" s="1513">
        <f>N12</f>
        <v>4.5359200000000002E-2</v>
      </c>
      <c r="O16" s="1511">
        <f>O12</f>
        <v>267.91139324800002</v>
      </c>
      <c r="P16" s="50"/>
      <c r="Q16" s="51"/>
      <c r="R16" s="51"/>
      <c r="S16" s="51"/>
      <c r="T16" s="51"/>
      <c r="U16" s="51"/>
      <c r="V16" s="51"/>
      <c r="W16" s="51"/>
      <c r="X16" s="51"/>
      <c r="Y16" s="51"/>
      <c r="Z16" s="51"/>
      <c r="AA16" s="51"/>
    </row>
    <row r="17" spans="2:27" s="24" customFormat="1" ht="12.75" customHeight="1">
      <c r="B17" s="2256" t="s">
        <v>1275</v>
      </c>
      <c r="C17" s="2257"/>
      <c r="D17" s="2257"/>
      <c r="E17" s="2257"/>
      <c r="F17" s="2257"/>
      <c r="G17" s="2257"/>
      <c r="H17" s="2257"/>
      <c r="I17" s="2257"/>
      <c r="J17" s="2257"/>
      <c r="K17" s="2257"/>
      <c r="L17" s="2257"/>
      <c r="M17" s="2258"/>
      <c r="N17" s="1514">
        <f>SUM(N13:N14)</f>
        <v>5.5555948160000002</v>
      </c>
      <c r="O17" s="1512">
        <f>SUM(O13:O14)</f>
        <v>8055.6800684079999</v>
      </c>
      <c r="P17" s="50"/>
      <c r="Q17" s="51"/>
      <c r="R17" s="51"/>
      <c r="S17" s="51"/>
      <c r="T17" s="51"/>
      <c r="U17" s="51"/>
      <c r="V17" s="51"/>
      <c r="W17" s="51"/>
      <c r="X17" s="51"/>
      <c r="Y17" s="51"/>
      <c r="Z17" s="51"/>
      <c r="AA17" s="51"/>
    </row>
    <row r="18" spans="2:27" s="24" customFormat="1" ht="13.5" customHeight="1" thickBot="1">
      <c r="B18" s="2259" t="s">
        <v>1276</v>
      </c>
      <c r="C18" s="2260"/>
      <c r="D18" s="2260"/>
      <c r="E18" s="2260"/>
      <c r="F18" s="2260"/>
      <c r="G18" s="2260"/>
      <c r="H18" s="2260"/>
      <c r="I18" s="2260"/>
      <c r="J18" s="2260"/>
      <c r="K18" s="2260"/>
      <c r="L18" s="2260"/>
      <c r="M18" s="2261"/>
      <c r="N18" s="1517">
        <f>N15</f>
        <v>0</v>
      </c>
      <c r="O18" s="1740">
        <f>O15</f>
        <v>0</v>
      </c>
      <c r="P18" s="50"/>
      <c r="Q18" s="51"/>
      <c r="R18" s="51"/>
      <c r="S18" s="51"/>
      <c r="T18" s="51"/>
      <c r="U18" s="51"/>
      <c r="V18" s="51"/>
      <c r="W18" s="51"/>
      <c r="X18" s="51"/>
      <c r="Y18" s="51"/>
      <c r="Z18" s="51"/>
      <c r="AA18" s="51"/>
    </row>
    <row r="19" spans="2:27" s="24" customFormat="1" ht="13.5" thickBot="1">
      <c r="B19" s="2262" t="s">
        <v>1277</v>
      </c>
      <c r="C19" s="2263"/>
      <c r="D19" s="2263"/>
      <c r="E19" s="2263"/>
      <c r="F19" s="2263"/>
      <c r="G19" s="2263"/>
      <c r="H19" s="2263"/>
      <c r="I19" s="2263"/>
      <c r="J19" s="2263"/>
      <c r="K19" s="2263"/>
      <c r="L19" s="2263"/>
      <c r="M19" s="2264"/>
      <c r="N19" s="1515">
        <f>SUM(N16:N18)</f>
        <v>5.6009540160000002</v>
      </c>
      <c r="O19" s="1516">
        <f>SUM(O16:O18)</f>
        <v>8323.5914616560003</v>
      </c>
    </row>
    <row r="20" spans="2:27" s="24" customFormat="1" ht="40.5" customHeight="1" thickBot="1">
      <c r="B20" s="2242" t="s">
        <v>1278</v>
      </c>
      <c r="C20" s="2157"/>
      <c r="D20" s="2157"/>
      <c r="E20" s="2157"/>
      <c r="F20" s="523" t="s">
        <v>1279</v>
      </c>
      <c r="G20" s="391"/>
      <c r="H20" s="233"/>
      <c r="I20" s="233"/>
      <c r="J20" s="233"/>
      <c r="K20" s="233"/>
      <c r="L20" s="233"/>
      <c r="M20" s="233"/>
      <c r="N20" s="233"/>
      <c r="O20" s="233"/>
      <c r="P20" s="45"/>
    </row>
    <row r="21" spans="2:27" s="24" customFormat="1">
      <c r="B21" s="45"/>
      <c r="C21" s="45"/>
      <c r="D21" s="45"/>
      <c r="E21" s="45"/>
      <c r="F21" s="45"/>
      <c r="G21" s="45"/>
      <c r="H21" s="45"/>
      <c r="I21" s="45"/>
      <c r="J21" s="45"/>
      <c r="K21" s="45"/>
      <c r="L21" s="612"/>
      <c r="M21" s="525"/>
      <c r="N21" s="45"/>
      <c r="O21" s="45"/>
    </row>
    <row r="22" spans="2:27" s="24" customFormat="1"/>
    <row r="23" spans="2:27" s="24" customFormat="1" ht="47.25" customHeight="1"/>
    <row r="24" spans="2:27" s="24" customFormat="1" ht="30" customHeight="1"/>
    <row r="25" spans="2:27" s="24" customFormat="1" ht="30" customHeight="1"/>
    <row r="26" spans="2:27" s="24" customFormat="1" ht="49.5" customHeight="1">
      <c r="I26" s="8"/>
      <c r="J26" s="8"/>
    </row>
    <row r="27" spans="2:27" s="24" customFormat="1" ht="39.75" customHeight="1">
      <c r="I27" s="8"/>
    </row>
    <row r="28" spans="2:27" s="24" customFormat="1">
      <c r="I28" s="8"/>
    </row>
    <row r="29" spans="2:27" s="24" customFormat="1">
      <c r="I29" s="8"/>
    </row>
    <row r="30" spans="2:27" s="24" customFormat="1">
      <c r="I30" s="8"/>
    </row>
    <row r="31" spans="2:27" s="24" customFormat="1">
      <c r="I31" s="8"/>
    </row>
    <row r="32" spans="2:27" s="24" customFormat="1">
      <c r="I32" s="8"/>
    </row>
    <row r="33" spans="2:11" s="24" customFormat="1">
      <c r="I33" s="8"/>
    </row>
    <row r="34" spans="2:11" s="24" customFormat="1">
      <c r="I34" s="8"/>
    </row>
    <row r="35" spans="2:11" s="24" customFormat="1">
      <c r="B35" s="45"/>
      <c r="C35" s="45"/>
      <c r="D35" s="45"/>
      <c r="E35" s="45"/>
      <c r="F35" s="45"/>
      <c r="G35" s="45"/>
      <c r="H35" s="45"/>
      <c r="I35" s="45"/>
      <c r="J35" s="45"/>
      <c r="K35" s="45"/>
    </row>
    <row r="36" spans="2:11" s="24" customFormat="1">
      <c r="B36" s="45"/>
      <c r="C36" s="45"/>
      <c r="D36" s="45"/>
      <c r="E36" s="45"/>
      <c r="F36" s="45"/>
      <c r="G36" s="45"/>
      <c r="H36" s="45"/>
      <c r="I36" s="45"/>
      <c r="J36" s="45"/>
      <c r="K36" s="45"/>
    </row>
    <row r="37" spans="2:11" s="24" customFormat="1">
      <c r="B37" s="45"/>
      <c r="C37" s="45"/>
      <c r="D37" s="45"/>
      <c r="E37" s="45"/>
      <c r="F37" s="45"/>
      <c r="G37" s="45"/>
      <c r="H37" s="45"/>
      <c r="I37" s="45"/>
      <c r="J37" s="45"/>
      <c r="K37" s="45"/>
    </row>
    <row r="38" spans="2:11" s="24" customFormat="1">
      <c r="B38" s="45"/>
      <c r="C38" s="45"/>
      <c r="D38" s="45"/>
      <c r="E38" s="45"/>
      <c r="F38" s="45"/>
      <c r="G38" s="45"/>
      <c r="H38" s="45"/>
      <c r="I38" s="45"/>
      <c r="J38" s="45"/>
      <c r="K38" s="45"/>
    </row>
    <row r="39" spans="2:11" s="24" customFormat="1">
      <c r="B39" s="45"/>
      <c r="C39" s="45"/>
      <c r="D39" s="45"/>
      <c r="E39" s="45"/>
      <c r="F39" s="45"/>
      <c r="G39" s="45"/>
      <c r="H39" s="45"/>
      <c r="I39" s="45"/>
      <c r="J39" s="45"/>
      <c r="K39" s="45"/>
    </row>
    <row r="40" spans="2:11" s="24" customFormat="1"/>
    <row r="41" spans="2:11" s="24" customFormat="1"/>
    <row r="42" spans="2:11" s="24" customFormat="1"/>
    <row r="43" spans="2:11" s="24" customFormat="1"/>
    <row r="44" spans="2:11" s="24" customFormat="1"/>
    <row r="45" spans="2:11" s="24" customFormat="1"/>
    <row r="46" spans="2:11" s="24" customFormat="1"/>
    <row r="47" spans="2:11" s="24" customFormat="1"/>
    <row r="48" spans="2:11"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sheetData>
  <mergeCells count="15">
    <mergeCell ref="B9:O9"/>
    <mergeCell ref="B16:M16"/>
    <mergeCell ref="B20:E20"/>
    <mergeCell ref="B1:L1"/>
    <mergeCell ref="B2:G2"/>
    <mergeCell ref="C3:G3"/>
    <mergeCell ref="C4:G4"/>
    <mergeCell ref="B7:G7"/>
    <mergeCell ref="B6:G6"/>
    <mergeCell ref="B17:M17"/>
    <mergeCell ref="B18:M18"/>
    <mergeCell ref="B19:M19"/>
    <mergeCell ref="C10:H10"/>
    <mergeCell ref="I10:L10"/>
    <mergeCell ref="M10:O10"/>
  </mergeCells>
  <hyperlinks>
    <hyperlink ref="F20" r:id="rId1" xr:uid="{00000000-0004-0000-0A00-000000000000}"/>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BD73"/>
  <sheetViews>
    <sheetView showGridLines="0" topLeftCell="B11" zoomScaleNormal="100" workbookViewId="0">
      <selection activeCell="C11" sqref="C11"/>
    </sheetView>
  </sheetViews>
  <sheetFormatPr defaultRowHeight="12.75"/>
  <cols>
    <col min="1" max="1" width="3.28515625" style="1034" customWidth="1"/>
    <col min="2" max="2" width="21.140625" style="1034" customWidth="1"/>
    <col min="3" max="3" width="70" style="1034" customWidth="1"/>
    <col min="4" max="4" width="27.7109375" style="1034" customWidth="1"/>
    <col min="5" max="5" width="34.28515625" style="1034" customWidth="1"/>
    <col min="6" max="6" width="17.7109375" style="1034" customWidth="1"/>
    <col min="7" max="10" width="46.28515625" style="1034" customWidth="1"/>
    <col min="11" max="11" width="46.28515625" style="1035" customWidth="1"/>
    <col min="12" max="12" width="9.5703125" style="1035" customWidth="1"/>
    <col min="13" max="16" width="46.28515625" style="1035" customWidth="1"/>
    <col min="17" max="17" width="26.28515625" style="1035" customWidth="1"/>
    <col min="18" max="56" width="9.140625" style="1035"/>
    <col min="57" max="16384" width="9.140625" style="1034"/>
  </cols>
  <sheetData>
    <row r="1" spans="1:56" ht="13.5" thickBot="1">
      <c r="A1" s="1036"/>
      <c r="B1" s="1036"/>
      <c r="C1" s="1036"/>
      <c r="D1" s="1036"/>
      <c r="E1" s="1036"/>
      <c r="F1" s="1036"/>
      <c r="G1" s="1036"/>
    </row>
    <row r="2" spans="1:56" s="1035" customFormat="1" ht="24" thickBot="1">
      <c r="A2" s="1034"/>
      <c r="B2" s="2270" t="s">
        <v>1280</v>
      </c>
      <c r="C2" s="2271"/>
      <c r="D2" s="2271"/>
      <c r="E2" s="2272"/>
      <c r="F2" s="1051"/>
      <c r="G2" s="1051"/>
      <c r="H2" s="1051"/>
      <c r="I2" s="1051"/>
    </row>
    <row r="3" spans="1:56" s="1035" customFormat="1">
      <c r="A3" s="1036"/>
      <c r="B3" s="1050" t="s">
        <v>430</v>
      </c>
      <c r="C3" s="2275" t="s">
        <v>441</v>
      </c>
      <c r="D3" s="2276"/>
      <c r="E3" s="2277"/>
    </row>
    <row r="4" spans="1:56" s="1035" customFormat="1" ht="13.5" thickBot="1">
      <c r="A4" s="1036"/>
      <c r="B4" s="1049" t="s">
        <v>1281</v>
      </c>
      <c r="C4" s="2278" t="s">
        <v>1064</v>
      </c>
      <c r="D4" s="2279"/>
      <c r="E4" s="2280"/>
    </row>
    <row r="5" spans="1:56" s="1035" customFormat="1" ht="14.25" customHeight="1" thickBot="1">
      <c r="A5" s="1036"/>
      <c r="B5" s="1036"/>
      <c r="C5" s="1036"/>
      <c r="D5" s="1036"/>
    </row>
    <row r="6" spans="1:56" ht="23.25" customHeight="1">
      <c r="A6" s="1036"/>
      <c r="B6" s="2282" t="s">
        <v>434</v>
      </c>
      <c r="C6" s="2276"/>
      <c r="D6" s="2276"/>
      <c r="E6" s="2277"/>
      <c r="F6" s="1035"/>
      <c r="G6" s="1035"/>
      <c r="H6" s="1035"/>
      <c r="I6" s="1035"/>
      <c r="J6" s="1035"/>
      <c r="BB6" s="1034"/>
      <c r="BC6" s="1034"/>
      <c r="BD6" s="1034"/>
    </row>
    <row r="7" spans="1:56" ht="145.5" customHeight="1" thickBot="1">
      <c r="A7" s="1036"/>
      <c r="B7" s="2281" t="s">
        <v>1282</v>
      </c>
      <c r="C7" s="2279"/>
      <c r="D7" s="2279"/>
      <c r="E7" s="2280"/>
      <c r="F7" s="1035"/>
      <c r="G7" s="1035"/>
      <c r="H7" s="1035"/>
      <c r="I7" s="1035"/>
      <c r="J7" s="1035"/>
      <c r="BB7" s="1034"/>
      <c r="BC7" s="1034"/>
      <c r="BD7" s="1034"/>
    </row>
    <row r="8" spans="1:56" ht="13.5" thickBot="1">
      <c r="A8" s="1036"/>
      <c r="B8" s="1036"/>
      <c r="C8" s="1036"/>
      <c r="D8" s="1036"/>
      <c r="E8" s="1036"/>
      <c r="F8" s="1036"/>
      <c r="G8" s="1036"/>
      <c r="H8" s="1035"/>
      <c r="I8" s="1035"/>
      <c r="J8" s="1035"/>
      <c r="BB8" s="1034"/>
      <c r="BC8" s="1034"/>
      <c r="BD8" s="1034"/>
    </row>
    <row r="9" spans="1:56" ht="18.75" customHeight="1" thickBot="1">
      <c r="A9" s="1036"/>
      <c r="B9" s="2177" t="s">
        <v>1283</v>
      </c>
      <c r="C9" s="2274"/>
      <c r="D9" s="1036"/>
      <c r="E9" s="1036"/>
      <c r="F9" s="1046"/>
      <c r="G9" s="1036"/>
      <c r="H9" s="1036"/>
      <c r="I9" s="1036"/>
      <c r="J9" s="1036"/>
      <c r="BB9" s="1034"/>
      <c r="BC9" s="1034"/>
      <c r="BD9" s="1034"/>
    </row>
    <row r="10" spans="1:56" ht="36" customHeight="1">
      <c r="A10" s="1036"/>
      <c r="B10" s="1048" t="s">
        <v>1284</v>
      </c>
      <c r="C10" s="1047" t="s">
        <v>1285</v>
      </c>
      <c r="D10" s="1036"/>
      <c r="G10" s="1036"/>
      <c r="H10" s="1036"/>
      <c r="I10" s="1036"/>
      <c r="J10" s="1036"/>
      <c r="BB10" s="1034"/>
      <c r="BC10" s="1034"/>
      <c r="BD10" s="1034"/>
    </row>
    <row r="11" spans="1:56" ht="13.5" thickBot="1">
      <c r="A11" s="1036"/>
      <c r="B11" s="1056" t="str">
        <f>Inputs!C12</f>
        <v>Nantucket</v>
      </c>
      <c r="C11" s="1741">
        <f>SUMIF(D15:D72,B11,F15:F72)</f>
        <v>0</v>
      </c>
      <c r="D11" s="1036"/>
      <c r="E11" s="1036"/>
      <c r="F11" s="1046"/>
      <c r="G11" s="1036"/>
      <c r="H11" s="1036"/>
      <c r="I11" s="1036"/>
      <c r="J11" s="1036"/>
      <c r="BB11" s="1034"/>
      <c r="BC11" s="1034"/>
      <c r="BD11" s="1034"/>
    </row>
    <row r="12" spans="1:56" ht="13.5" thickBot="1">
      <c r="A12" s="1036"/>
      <c r="B12" s="1036"/>
      <c r="C12" s="1036"/>
      <c r="D12" s="1036"/>
      <c r="E12" s="1036"/>
      <c r="F12" s="1036"/>
      <c r="G12" s="1036"/>
      <c r="H12" s="1036"/>
      <c r="I12" s="1036"/>
      <c r="J12" s="1036"/>
    </row>
    <row r="13" spans="1:56" ht="22.5" customHeight="1" thickBot="1">
      <c r="A13" s="1036"/>
      <c r="B13" s="2177" t="s">
        <v>1286</v>
      </c>
      <c r="C13" s="2273"/>
      <c r="D13" s="2273"/>
      <c r="E13" s="2273"/>
      <c r="F13" s="2274"/>
      <c r="G13" s="1036"/>
      <c r="H13" s="1036"/>
      <c r="I13" s="1036"/>
      <c r="J13" s="1036"/>
    </row>
    <row r="14" spans="1:56" ht="51.75" customHeight="1">
      <c r="A14" s="1036"/>
      <c r="B14" s="1045" t="s">
        <v>1287</v>
      </c>
      <c r="C14" s="1044" t="s">
        <v>1288</v>
      </c>
      <c r="D14" s="1044" t="s">
        <v>1289</v>
      </c>
      <c r="E14" s="1044" t="s">
        <v>1290</v>
      </c>
      <c r="F14" s="1043" t="s">
        <v>1291</v>
      </c>
      <c r="G14" s="1036"/>
      <c r="H14" s="1036"/>
      <c r="I14" s="1036"/>
      <c r="J14" s="1036"/>
    </row>
    <row r="15" spans="1:56">
      <c r="A15" s="1036"/>
      <c r="B15" s="1042">
        <v>1000056</v>
      </c>
      <c r="C15" s="1041" t="s">
        <v>1292</v>
      </c>
      <c r="D15" s="1053" t="s">
        <v>553</v>
      </c>
      <c r="E15" s="1041" t="s">
        <v>1293</v>
      </c>
      <c r="F15" s="1073">
        <v>136303.79999999999</v>
      </c>
      <c r="G15" s="1036"/>
      <c r="H15" s="1036"/>
      <c r="I15" s="1036"/>
      <c r="J15" s="1036"/>
    </row>
    <row r="16" spans="1:56">
      <c r="A16" s="1036"/>
      <c r="B16" s="1040">
        <v>1001298</v>
      </c>
      <c r="C16" s="1039" t="s">
        <v>1294</v>
      </c>
      <c r="D16" s="1054" t="s">
        <v>557</v>
      </c>
      <c r="E16" s="1039" t="s">
        <v>1295</v>
      </c>
      <c r="F16" s="1074">
        <v>158378</v>
      </c>
      <c r="G16" s="1036"/>
      <c r="H16" s="1036"/>
      <c r="I16" s="1036"/>
      <c r="J16" s="1036"/>
    </row>
    <row r="17" spans="1:10">
      <c r="A17" s="1036"/>
      <c r="B17" s="1040">
        <v>1004865</v>
      </c>
      <c r="C17" s="1039" t="s">
        <v>1296</v>
      </c>
      <c r="D17" s="1054" t="s">
        <v>557</v>
      </c>
      <c r="E17" s="1039" t="s">
        <v>1297</v>
      </c>
      <c r="F17" s="1074">
        <v>42327.6</v>
      </c>
      <c r="I17" s="1036"/>
      <c r="J17" s="1036"/>
    </row>
    <row r="18" spans="1:10">
      <c r="A18" s="1036"/>
      <c r="B18" s="1040">
        <v>1010498</v>
      </c>
      <c r="C18" s="1039" t="s">
        <v>1298</v>
      </c>
      <c r="D18" s="1054" t="s">
        <v>557</v>
      </c>
      <c r="E18" s="1039" t="s">
        <v>1299</v>
      </c>
      <c r="F18" s="1074">
        <v>25751.5</v>
      </c>
      <c r="I18" s="1036"/>
      <c r="J18" s="1036"/>
    </row>
    <row r="19" spans="1:10">
      <c r="A19" s="1036"/>
      <c r="B19" s="1040">
        <v>1005136</v>
      </c>
      <c r="C19" s="1039" t="s">
        <v>1300</v>
      </c>
      <c r="D19" s="1054" t="s">
        <v>565</v>
      </c>
      <c r="E19" s="1039" t="s">
        <v>1301</v>
      </c>
      <c r="F19" s="1074">
        <v>112865.2</v>
      </c>
      <c r="I19" s="1036"/>
      <c r="J19" s="1036"/>
    </row>
    <row r="20" spans="1:10">
      <c r="A20" s="1036"/>
      <c r="B20" s="1040">
        <v>1004343</v>
      </c>
      <c r="C20" s="1039" t="s">
        <v>1302</v>
      </c>
      <c r="D20" s="1054" t="s">
        <v>567</v>
      </c>
      <c r="E20" s="1039" t="s">
        <v>1303</v>
      </c>
      <c r="F20" s="1074">
        <v>45761.4</v>
      </c>
      <c r="I20" s="1036"/>
      <c r="J20" s="1036"/>
    </row>
    <row r="21" spans="1:10">
      <c r="A21" s="1036"/>
      <c r="B21" s="1040">
        <v>1006864</v>
      </c>
      <c r="C21" s="1039" t="s">
        <v>1304</v>
      </c>
      <c r="D21" s="1054" t="s">
        <v>588</v>
      </c>
      <c r="E21" s="1039" t="s">
        <v>1305</v>
      </c>
      <c r="F21" s="1074">
        <v>749948.6</v>
      </c>
      <c r="I21" s="1036"/>
      <c r="J21" s="1036"/>
    </row>
    <row r="22" spans="1:10">
      <c r="A22" s="1036"/>
      <c r="B22" s="1040">
        <v>1001207</v>
      </c>
      <c r="C22" s="1039" t="s">
        <v>588</v>
      </c>
      <c r="D22" s="1054" t="s">
        <v>588</v>
      </c>
      <c r="E22" s="1039" t="s">
        <v>1306</v>
      </c>
      <c r="F22" s="1074">
        <v>353271.7</v>
      </c>
      <c r="I22" s="1036"/>
      <c r="J22" s="1036"/>
    </row>
    <row r="23" spans="1:10">
      <c r="A23" s="1036"/>
      <c r="B23" s="1040">
        <v>1006657</v>
      </c>
      <c r="C23" s="1039" t="s">
        <v>1307</v>
      </c>
      <c r="D23" s="1054" t="s">
        <v>595</v>
      </c>
      <c r="E23" s="1039" t="s">
        <v>1308</v>
      </c>
      <c r="F23" s="1074">
        <v>785362.6</v>
      </c>
      <c r="I23" s="1036"/>
      <c r="J23" s="1036"/>
    </row>
    <row r="24" spans="1:10">
      <c r="A24" s="1036"/>
      <c r="B24" s="1040">
        <v>1000580</v>
      </c>
      <c r="C24" s="1039" t="s">
        <v>1309</v>
      </c>
      <c r="D24" s="1054" t="s">
        <v>598</v>
      </c>
      <c r="E24" s="1039" t="s">
        <v>1310</v>
      </c>
      <c r="F24" s="1074">
        <v>244166.7</v>
      </c>
      <c r="I24" s="1036"/>
      <c r="J24" s="1036"/>
    </row>
    <row r="25" spans="1:10">
      <c r="A25" s="1036"/>
      <c r="B25" s="1040">
        <v>1000092</v>
      </c>
      <c r="C25" s="1039" t="s">
        <v>1311</v>
      </c>
      <c r="D25" s="1054" t="s">
        <v>598</v>
      </c>
      <c r="E25" s="1039" t="s">
        <v>1312</v>
      </c>
      <c r="F25" s="1074">
        <v>74279.5</v>
      </c>
      <c r="I25" s="1036"/>
      <c r="J25" s="1036"/>
    </row>
    <row r="26" spans="1:10">
      <c r="A26" s="1036"/>
      <c r="B26" s="1040">
        <v>1002497</v>
      </c>
      <c r="C26" s="1039" t="s">
        <v>1313</v>
      </c>
      <c r="D26" s="1054" t="s">
        <v>598</v>
      </c>
      <c r="E26" s="1039" t="s">
        <v>1314</v>
      </c>
      <c r="F26" s="1074">
        <v>50663.1</v>
      </c>
      <c r="I26" s="1036"/>
      <c r="J26" s="1036"/>
    </row>
    <row r="27" spans="1:10">
      <c r="A27" s="1036"/>
      <c r="B27" s="1040">
        <v>1002274</v>
      </c>
      <c r="C27" s="1039" t="s">
        <v>1315</v>
      </c>
      <c r="D27" s="1054" t="s">
        <v>598</v>
      </c>
      <c r="E27" s="1039" t="s">
        <v>1316</v>
      </c>
      <c r="F27" s="1074">
        <v>43935</v>
      </c>
      <c r="I27" s="1036"/>
      <c r="J27" s="1036"/>
    </row>
    <row r="28" spans="1:10">
      <c r="A28" s="1036"/>
      <c r="B28" s="1040">
        <v>1005277</v>
      </c>
      <c r="C28" s="1039" t="s">
        <v>1317</v>
      </c>
      <c r="D28" s="1054" t="s">
        <v>598</v>
      </c>
      <c r="E28" s="1039" t="s">
        <v>1318</v>
      </c>
      <c r="F28" s="1074">
        <v>29978.2</v>
      </c>
      <c r="I28" s="1036"/>
      <c r="J28" s="1036"/>
    </row>
    <row r="29" spans="1:10">
      <c r="A29" s="1036"/>
      <c r="B29" s="1040">
        <v>1000653</v>
      </c>
      <c r="C29" s="1039" t="s">
        <v>1319</v>
      </c>
      <c r="D29" s="1054" t="s">
        <v>598</v>
      </c>
      <c r="E29" s="1039" t="s">
        <v>1320</v>
      </c>
      <c r="F29" s="1074">
        <v>2885328.8</v>
      </c>
      <c r="I29" s="1036"/>
      <c r="J29" s="1036"/>
    </row>
    <row r="30" spans="1:10">
      <c r="A30" s="1036"/>
      <c r="B30" s="1040">
        <v>1000665</v>
      </c>
      <c r="C30" s="1039" t="s">
        <v>1321</v>
      </c>
      <c r="D30" s="1054" t="s">
        <v>603</v>
      </c>
      <c r="E30" s="1039" t="s">
        <v>1322</v>
      </c>
      <c r="F30" s="1074">
        <v>26425</v>
      </c>
      <c r="I30" s="1036"/>
      <c r="J30" s="1036"/>
    </row>
    <row r="31" spans="1:10">
      <c r="A31" s="1036"/>
      <c r="B31" s="1040">
        <v>1000657</v>
      </c>
      <c r="C31" s="1039" t="s">
        <v>1323</v>
      </c>
      <c r="D31" s="1054" t="s">
        <v>612</v>
      </c>
      <c r="E31" s="1039" t="s">
        <v>1324</v>
      </c>
      <c r="F31" s="1074">
        <v>789577.6</v>
      </c>
      <c r="I31" s="1036"/>
      <c r="J31" s="1036"/>
    </row>
    <row r="32" spans="1:10">
      <c r="A32" s="1036"/>
      <c r="B32" s="1040">
        <v>1001289</v>
      </c>
      <c r="C32" s="1039" t="s">
        <v>1325</v>
      </c>
      <c r="D32" s="1054" t="s">
        <v>612</v>
      </c>
      <c r="E32" s="1039" t="s">
        <v>1326</v>
      </c>
      <c r="F32" s="1074">
        <v>106676.6</v>
      </c>
      <c r="I32" s="1036"/>
      <c r="J32" s="1036"/>
    </row>
    <row r="33" spans="1:10">
      <c r="A33" s="1036"/>
      <c r="B33" s="1040">
        <v>1000656</v>
      </c>
      <c r="C33" s="1039" t="s">
        <v>1327</v>
      </c>
      <c r="D33" s="1054" t="s">
        <v>612</v>
      </c>
      <c r="E33" s="1039" t="s">
        <v>1328</v>
      </c>
      <c r="F33" s="1074">
        <v>79907.199999999997</v>
      </c>
      <c r="I33" s="1036"/>
      <c r="J33" s="1036"/>
    </row>
    <row r="34" spans="1:10">
      <c r="A34" s="1036"/>
      <c r="B34" s="1040">
        <v>1000383</v>
      </c>
      <c r="C34" s="1039" t="s">
        <v>1329</v>
      </c>
      <c r="D34" s="1054" t="s">
        <v>612</v>
      </c>
      <c r="E34" s="1039" t="s">
        <v>1330</v>
      </c>
      <c r="F34" s="1074">
        <v>29895.1</v>
      </c>
      <c r="I34" s="1036"/>
      <c r="J34" s="1036"/>
    </row>
    <row r="35" spans="1:10">
      <c r="A35" s="1036"/>
      <c r="B35" s="1040">
        <v>1001307</v>
      </c>
      <c r="C35" s="1039" t="s">
        <v>1331</v>
      </c>
      <c r="D35" s="1054" t="s">
        <v>617</v>
      </c>
      <c r="E35" s="1039" t="s">
        <v>1332</v>
      </c>
      <c r="F35" s="1074">
        <v>508840.8</v>
      </c>
      <c r="I35" s="1036"/>
      <c r="J35" s="1036"/>
    </row>
    <row r="36" spans="1:10">
      <c r="A36" s="1036"/>
      <c r="B36" s="1040">
        <v>1009333</v>
      </c>
      <c r="C36" s="1039" t="s">
        <v>1333</v>
      </c>
      <c r="D36" s="1054" t="s">
        <v>617</v>
      </c>
      <c r="E36" s="1039" t="s">
        <v>1334</v>
      </c>
      <c r="F36" s="1074">
        <v>36548.699999999997</v>
      </c>
      <c r="I36" s="1036"/>
      <c r="J36" s="1036"/>
    </row>
    <row r="37" spans="1:10">
      <c r="A37" s="1036"/>
      <c r="B37" s="1040">
        <v>1009167</v>
      </c>
      <c r="C37" s="1039" t="s">
        <v>1335</v>
      </c>
      <c r="D37" s="1054" t="s">
        <v>635</v>
      </c>
      <c r="E37" s="1039" t="s">
        <v>1336</v>
      </c>
      <c r="F37" s="1074">
        <v>45152.5</v>
      </c>
      <c r="I37" s="1036"/>
      <c r="J37" s="1036"/>
    </row>
    <row r="38" spans="1:10">
      <c r="A38" s="1036"/>
      <c r="B38" s="1040">
        <v>1001294</v>
      </c>
      <c r="C38" s="1039" t="s">
        <v>639</v>
      </c>
      <c r="D38" s="1054" t="s">
        <v>639</v>
      </c>
      <c r="E38" s="1039" t="s">
        <v>1337</v>
      </c>
      <c r="F38" s="1074">
        <v>281543.5</v>
      </c>
      <c r="I38" s="1036"/>
      <c r="J38" s="1036"/>
    </row>
    <row r="39" spans="1:10">
      <c r="A39" s="1036"/>
      <c r="B39" s="1040">
        <v>1006452</v>
      </c>
      <c r="C39" s="1039" t="s">
        <v>1338</v>
      </c>
      <c r="D39" s="1054" t="s">
        <v>1339</v>
      </c>
      <c r="E39" s="1039" t="s">
        <v>1340</v>
      </c>
      <c r="F39" s="1074">
        <v>27744.1</v>
      </c>
      <c r="I39" s="1036"/>
      <c r="J39" s="1036"/>
    </row>
    <row r="40" spans="1:10">
      <c r="A40" s="1036"/>
      <c r="B40" s="1040">
        <v>1005037</v>
      </c>
      <c r="C40" s="1039" t="s">
        <v>1341</v>
      </c>
      <c r="D40" s="1054" t="s">
        <v>654</v>
      </c>
      <c r="E40" s="1039" t="s">
        <v>1342</v>
      </c>
      <c r="F40" s="1074">
        <v>33811.1</v>
      </c>
      <c r="I40" s="1036"/>
      <c r="J40" s="1036"/>
    </row>
    <row r="41" spans="1:10">
      <c r="A41" s="1036"/>
      <c r="B41" s="1040">
        <v>1003769</v>
      </c>
      <c r="C41" s="1039" t="s">
        <v>1343</v>
      </c>
      <c r="D41" s="1054" t="s">
        <v>655</v>
      </c>
      <c r="E41" s="1039" t="s">
        <v>1344</v>
      </c>
      <c r="F41" s="1074">
        <v>53770.8</v>
      </c>
      <c r="I41" s="1036"/>
      <c r="J41" s="1036"/>
    </row>
    <row r="42" spans="1:10">
      <c r="A42" s="1036"/>
      <c r="B42" s="1040">
        <v>1005970</v>
      </c>
      <c r="C42" s="1039" t="s">
        <v>1345</v>
      </c>
      <c r="D42" s="1054" t="s">
        <v>659</v>
      </c>
      <c r="E42" s="1039" t="s">
        <v>1346</v>
      </c>
      <c r="F42" s="1074">
        <v>29824.6</v>
      </c>
      <c r="I42" s="1036"/>
      <c r="J42" s="1036"/>
    </row>
    <row r="43" spans="1:10">
      <c r="A43" s="1036"/>
      <c r="B43" s="1040">
        <v>1006872</v>
      </c>
      <c r="C43" s="1039" t="s">
        <v>1347</v>
      </c>
      <c r="D43" s="1054" t="s">
        <v>1348</v>
      </c>
      <c r="E43" s="1039" t="s">
        <v>1349</v>
      </c>
      <c r="F43" s="1074">
        <v>26723.3</v>
      </c>
      <c r="I43" s="1036"/>
      <c r="J43" s="1036"/>
    </row>
    <row r="44" spans="1:10">
      <c r="A44" s="1036"/>
      <c r="B44" s="1040">
        <v>1005179</v>
      </c>
      <c r="C44" s="1039" t="s">
        <v>1350</v>
      </c>
      <c r="D44" s="1054" t="s">
        <v>687</v>
      </c>
      <c r="E44" s="1039" t="s">
        <v>1351</v>
      </c>
      <c r="F44" s="1074">
        <v>233099.5</v>
      </c>
      <c r="I44" s="1036"/>
      <c r="J44" s="1036"/>
    </row>
    <row r="45" spans="1:10">
      <c r="A45" s="1036"/>
      <c r="B45" s="1040">
        <v>1009856</v>
      </c>
      <c r="C45" s="1039" t="s">
        <v>1352</v>
      </c>
      <c r="D45" s="1054" t="s">
        <v>700</v>
      </c>
      <c r="E45" s="1039" t="s">
        <v>1353</v>
      </c>
      <c r="F45" s="1074">
        <v>3206.2</v>
      </c>
      <c r="I45" s="1036"/>
      <c r="J45" s="1036"/>
    </row>
    <row r="46" spans="1:10">
      <c r="A46" s="1036"/>
      <c r="B46" s="1040">
        <v>1007435</v>
      </c>
      <c r="C46" s="1039" t="s">
        <v>1354</v>
      </c>
      <c r="D46" s="1054" t="s">
        <v>1355</v>
      </c>
      <c r="E46" s="1039" t="s">
        <v>1356</v>
      </c>
      <c r="F46" s="1074">
        <v>283809.2</v>
      </c>
      <c r="I46" s="1036"/>
      <c r="J46" s="1036"/>
    </row>
    <row r="47" spans="1:10">
      <c r="A47" s="1036"/>
      <c r="B47" s="1040">
        <v>1005473</v>
      </c>
      <c r="C47" s="1039" t="s">
        <v>1357</v>
      </c>
      <c r="D47" s="1054" t="s">
        <v>709</v>
      </c>
      <c r="E47" s="1039" t="s">
        <v>1358</v>
      </c>
      <c r="F47" s="1074">
        <v>21993.599999999999</v>
      </c>
      <c r="I47" s="1036"/>
      <c r="J47" s="1036"/>
    </row>
    <row r="48" spans="1:10">
      <c r="A48" s="1036"/>
      <c r="B48" s="1040">
        <v>1001279</v>
      </c>
      <c r="C48" s="1039" t="s">
        <v>1359</v>
      </c>
      <c r="D48" s="1054" t="s">
        <v>719</v>
      </c>
      <c r="E48" s="1039" t="s">
        <v>1360</v>
      </c>
      <c r="F48" s="1074">
        <v>29200.2</v>
      </c>
      <c r="I48" s="1036"/>
      <c r="J48" s="1036"/>
    </row>
    <row r="49" spans="1:10">
      <c r="A49" s="1036"/>
      <c r="B49" s="1040">
        <v>1001021</v>
      </c>
      <c r="C49" s="1039" t="s">
        <v>1361</v>
      </c>
      <c r="D49" s="1054" t="s">
        <v>720</v>
      </c>
      <c r="E49" s="1039" t="s">
        <v>1362</v>
      </c>
      <c r="F49" s="1074">
        <v>56548.6</v>
      </c>
      <c r="I49" s="1036"/>
      <c r="J49" s="1036"/>
    </row>
    <row r="50" spans="1:10">
      <c r="A50" s="1036"/>
      <c r="B50" s="1040">
        <v>1001200</v>
      </c>
      <c r="C50" s="1039" t="s">
        <v>1363</v>
      </c>
      <c r="D50" s="1054" t="s">
        <v>722</v>
      </c>
      <c r="E50" s="1039" t="s">
        <v>1364</v>
      </c>
      <c r="F50" s="1074">
        <v>90813.6</v>
      </c>
      <c r="I50" s="1036"/>
      <c r="J50" s="1036"/>
    </row>
    <row r="51" spans="1:10">
      <c r="A51" s="1036"/>
      <c r="B51" s="1040">
        <v>1000655</v>
      </c>
      <c r="C51" s="1039" t="s">
        <v>1365</v>
      </c>
      <c r="D51" s="1054" t="s">
        <v>736</v>
      </c>
      <c r="E51" s="1039" t="s">
        <v>1366</v>
      </c>
      <c r="F51" s="1074">
        <v>7182.1</v>
      </c>
      <c r="I51" s="1036"/>
      <c r="J51" s="1036"/>
    </row>
    <row r="52" spans="1:10">
      <c r="A52" s="1036"/>
      <c r="B52" s="1040">
        <v>1010499</v>
      </c>
      <c r="C52" s="1039" t="s">
        <v>1367</v>
      </c>
      <c r="D52" s="1054" t="s">
        <v>738</v>
      </c>
      <c r="E52" s="1039" t="s">
        <v>1368</v>
      </c>
      <c r="F52" s="1074">
        <v>17029.599999999999</v>
      </c>
      <c r="I52" s="1036"/>
      <c r="J52" s="1036"/>
    </row>
    <row r="53" spans="1:10">
      <c r="A53" s="1036"/>
      <c r="B53" s="1040">
        <v>1006775</v>
      </c>
      <c r="C53" s="1039" t="s">
        <v>1369</v>
      </c>
      <c r="D53" s="1054" t="s">
        <v>744</v>
      </c>
      <c r="E53" s="1039" t="s">
        <v>1370</v>
      </c>
      <c r="F53" s="1074">
        <v>102135.3</v>
      </c>
      <c r="I53" s="1036"/>
      <c r="J53" s="1036"/>
    </row>
    <row r="54" spans="1:10">
      <c r="A54" s="1036"/>
      <c r="B54" s="1040">
        <v>1000006</v>
      </c>
      <c r="C54" s="1039" t="s">
        <v>1371</v>
      </c>
      <c r="D54" s="1054" t="s">
        <v>744</v>
      </c>
      <c r="E54" s="1039" t="s">
        <v>1372</v>
      </c>
      <c r="F54" s="1074">
        <v>37284.6</v>
      </c>
      <c r="I54" s="1036"/>
      <c r="J54" s="1036"/>
    </row>
    <row r="55" spans="1:10">
      <c r="A55" s="1036"/>
      <c r="B55" s="1040">
        <v>1006267</v>
      </c>
      <c r="C55" s="1039" t="s">
        <v>1373</v>
      </c>
      <c r="D55" s="1054" t="s">
        <v>745</v>
      </c>
      <c r="E55" s="1039" t="s">
        <v>1374</v>
      </c>
      <c r="F55" s="1074">
        <v>178668</v>
      </c>
      <c r="I55" s="1036"/>
      <c r="J55" s="1036"/>
    </row>
    <row r="56" spans="1:10">
      <c r="A56" s="1036"/>
      <c r="B56" s="1040">
        <v>1004101</v>
      </c>
      <c r="C56" s="1039" t="s">
        <v>1375</v>
      </c>
      <c r="D56" s="1054" t="s">
        <v>767</v>
      </c>
      <c r="E56" s="1039" t="s">
        <v>1376</v>
      </c>
      <c r="F56" s="1074">
        <v>177595</v>
      </c>
      <c r="I56" s="1036"/>
      <c r="J56" s="1036"/>
    </row>
    <row r="57" spans="1:10">
      <c r="A57" s="1036"/>
      <c r="B57" s="1040">
        <v>1001068</v>
      </c>
      <c r="C57" s="1039" t="s">
        <v>1377</v>
      </c>
      <c r="D57" s="1054" t="s">
        <v>1378</v>
      </c>
      <c r="E57" s="1039" t="s">
        <v>1379</v>
      </c>
      <c r="F57" s="1074">
        <v>40632</v>
      </c>
      <c r="I57" s="1036"/>
      <c r="J57" s="1036"/>
    </row>
    <row r="58" spans="1:10">
      <c r="A58" s="1036"/>
      <c r="B58" s="1040">
        <v>1005731</v>
      </c>
      <c r="C58" s="1039" t="s">
        <v>1380</v>
      </c>
      <c r="D58" s="1054" t="s">
        <v>793</v>
      </c>
      <c r="E58" s="1039" t="s">
        <v>1381</v>
      </c>
      <c r="F58" s="1074">
        <v>81188.7</v>
      </c>
      <c r="I58" s="1036"/>
      <c r="J58" s="1036"/>
    </row>
    <row r="59" spans="1:10">
      <c r="A59" s="1036"/>
      <c r="B59" s="1040">
        <v>1004797</v>
      </c>
      <c r="C59" s="1039" t="s">
        <v>1382</v>
      </c>
      <c r="D59" s="1054" t="s">
        <v>793</v>
      </c>
      <c r="E59" s="1039" t="s">
        <v>1383</v>
      </c>
      <c r="F59" s="1074">
        <v>26555.200000000001</v>
      </c>
      <c r="I59" s="1036"/>
      <c r="J59" s="1036"/>
    </row>
    <row r="60" spans="1:10">
      <c r="A60" s="1036"/>
      <c r="B60" s="1040">
        <v>1005710</v>
      </c>
      <c r="C60" s="1039" t="s">
        <v>1384</v>
      </c>
      <c r="D60" s="1054" t="s">
        <v>806</v>
      </c>
      <c r="E60" s="1039" t="s">
        <v>1385</v>
      </c>
      <c r="F60" s="1074">
        <v>340533</v>
      </c>
      <c r="I60" s="1036"/>
      <c r="J60" s="1036"/>
    </row>
    <row r="61" spans="1:10">
      <c r="A61" s="1036"/>
      <c r="B61" s="1040">
        <v>1000658</v>
      </c>
      <c r="C61" s="1039" t="s">
        <v>1386</v>
      </c>
      <c r="D61" s="1054" t="s">
        <v>817</v>
      </c>
      <c r="E61" s="1039" t="s">
        <v>1387</v>
      </c>
      <c r="F61" s="1074">
        <v>47559.5</v>
      </c>
      <c r="I61" s="1036"/>
      <c r="J61" s="1036"/>
    </row>
    <row r="62" spans="1:10">
      <c r="A62" s="1036"/>
      <c r="B62" s="1040">
        <v>1004287</v>
      </c>
      <c r="C62" s="1039" t="s">
        <v>1388</v>
      </c>
      <c r="D62" s="1054" t="s">
        <v>818</v>
      </c>
      <c r="E62" s="1039" t="s">
        <v>1389</v>
      </c>
      <c r="F62" s="1074">
        <v>132169</v>
      </c>
      <c r="I62" s="1036"/>
      <c r="J62" s="1036"/>
    </row>
    <row r="63" spans="1:10">
      <c r="A63" s="1036"/>
      <c r="B63" s="1040">
        <v>1007239</v>
      </c>
      <c r="C63" s="1039" t="s">
        <v>1390</v>
      </c>
      <c r="D63" s="1054" t="s">
        <v>829</v>
      </c>
      <c r="E63" s="1039" t="s">
        <v>1391</v>
      </c>
      <c r="F63" s="1074">
        <v>1144378.3999999999</v>
      </c>
      <c r="I63" s="1036"/>
      <c r="J63" s="1036"/>
    </row>
    <row r="64" spans="1:10">
      <c r="A64" s="1036"/>
      <c r="B64" s="1040">
        <v>1002299</v>
      </c>
      <c r="C64" s="1039" t="s">
        <v>1392</v>
      </c>
      <c r="D64" s="1054" t="s">
        <v>837</v>
      </c>
      <c r="E64" s="1039" t="s">
        <v>1393</v>
      </c>
      <c r="F64" s="1074">
        <v>88801.1</v>
      </c>
      <c r="I64" s="1036"/>
      <c r="J64" s="1036"/>
    </row>
    <row r="65" spans="1:10">
      <c r="A65" s="1036"/>
      <c r="B65" s="1040">
        <v>1000667</v>
      </c>
      <c r="C65" s="1039" t="s">
        <v>1394</v>
      </c>
      <c r="D65" s="1054" t="s">
        <v>849</v>
      </c>
      <c r="E65" s="1039" t="s">
        <v>1395</v>
      </c>
      <c r="F65" s="1074">
        <v>38561.599999999999</v>
      </c>
      <c r="I65" s="1036"/>
      <c r="J65" s="1036"/>
    </row>
    <row r="66" spans="1:10">
      <c r="A66" s="1036"/>
      <c r="B66" s="1040">
        <v>1006651</v>
      </c>
      <c r="C66" s="1039" t="s">
        <v>1396</v>
      </c>
      <c r="D66" s="1054" t="s">
        <v>873</v>
      </c>
      <c r="E66" s="1039" t="s">
        <v>1397</v>
      </c>
      <c r="F66" s="1074">
        <v>25782.1</v>
      </c>
      <c r="I66" s="1036"/>
      <c r="J66" s="1036"/>
    </row>
    <row r="67" spans="1:10">
      <c r="A67" s="1036"/>
      <c r="B67" s="1040">
        <v>1000663</v>
      </c>
      <c r="C67" s="1039" t="s">
        <v>881</v>
      </c>
      <c r="D67" s="1054" t="s">
        <v>881</v>
      </c>
      <c r="E67" s="1039" t="s">
        <v>1398</v>
      </c>
      <c r="F67" s="1074">
        <v>22262.799999999999</v>
      </c>
      <c r="I67" s="1036"/>
      <c r="J67" s="1036"/>
    </row>
    <row r="68" spans="1:10">
      <c r="A68" s="1036"/>
      <c r="B68" s="1040">
        <v>1001410</v>
      </c>
      <c r="C68" s="1039" t="s">
        <v>1399</v>
      </c>
      <c r="D68" s="1054" t="s">
        <v>892</v>
      </c>
      <c r="E68" s="1039" t="s">
        <v>1400</v>
      </c>
      <c r="F68" s="1074">
        <v>1721510</v>
      </c>
      <c r="I68" s="1036"/>
      <c r="J68" s="1036"/>
    </row>
    <row r="69" spans="1:10">
      <c r="A69" s="1036"/>
      <c r="B69" s="1040">
        <v>1003759</v>
      </c>
      <c r="C69" s="1039" t="s">
        <v>1401</v>
      </c>
      <c r="D69" s="1054" t="s">
        <v>898</v>
      </c>
      <c r="E69" s="1039" t="s">
        <v>1402</v>
      </c>
      <c r="F69" s="1074">
        <v>4742.7</v>
      </c>
      <c r="I69" s="1036"/>
      <c r="J69" s="1036"/>
    </row>
    <row r="70" spans="1:10">
      <c r="A70" s="1036"/>
      <c r="B70" s="1040">
        <v>1009735</v>
      </c>
      <c r="C70" s="1039" t="s">
        <v>1403</v>
      </c>
      <c r="D70" s="1054" t="s">
        <v>903</v>
      </c>
      <c r="E70" s="1039" t="s">
        <v>1404</v>
      </c>
      <c r="F70" s="1074">
        <v>4343.6000000000004</v>
      </c>
      <c r="I70" s="1036"/>
      <c r="J70" s="1036"/>
    </row>
    <row r="71" spans="1:10">
      <c r="A71" s="1036"/>
      <c r="B71" s="1040">
        <v>1006902</v>
      </c>
      <c r="C71" s="1039" t="s">
        <v>1405</v>
      </c>
      <c r="D71" s="1054" t="s">
        <v>577</v>
      </c>
      <c r="E71" s="1039" t="s">
        <v>1406</v>
      </c>
      <c r="F71" s="1074">
        <v>86837.6</v>
      </c>
      <c r="I71" s="1036"/>
      <c r="J71" s="1036"/>
    </row>
    <row r="72" spans="1:10" ht="13.5" thickBot="1">
      <c r="A72" s="1036"/>
      <c r="B72" s="1038">
        <v>1003037</v>
      </c>
      <c r="C72" s="1037" t="s">
        <v>1407</v>
      </c>
      <c r="D72" s="1055" t="s">
        <v>577</v>
      </c>
      <c r="E72" s="1037" t="s">
        <v>1408</v>
      </c>
      <c r="F72" s="1075">
        <v>64626.1</v>
      </c>
      <c r="I72" s="1036"/>
      <c r="J72" s="1036"/>
    </row>
    <row r="73" spans="1:10" ht="36" customHeight="1" thickBot="1">
      <c r="B73" s="2268" t="s">
        <v>1409</v>
      </c>
      <c r="C73" s="2269"/>
      <c r="D73" s="2269"/>
      <c r="E73" s="2269"/>
      <c r="F73" s="827" t="s">
        <v>1410</v>
      </c>
    </row>
  </sheetData>
  <autoFilter ref="B14:F14" xr:uid="{00000000-0009-0000-0000-00000B000000}">
    <sortState xmlns:xlrd2="http://schemas.microsoft.com/office/spreadsheetml/2017/richdata2" ref="B15:F72">
      <sortCondition ref="D14"/>
    </sortState>
  </autoFilter>
  <mergeCells count="8">
    <mergeCell ref="B73:E73"/>
    <mergeCell ref="B2:E2"/>
    <mergeCell ref="B13:F13"/>
    <mergeCell ref="C3:E3"/>
    <mergeCell ref="C4:E4"/>
    <mergeCell ref="B9:C9"/>
    <mergeCell ref="B7:E7"/>
    <mergeCell ref="B6:E6"/>
  </mergeCells>
  <hyperlinks>
    <hyperlink ref="F73" r:id="rId1" xr:uid="{00000000-0004-0000-0B00-000000000000}"/>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5CDF-7165-4488-AF8B-AE67AD1B6138}">
  <sheetPr>
    <tabColor rgb="FFFF0000"/>
  </sheetPr>
  <dimension ref="A1:I31"/>
  <sheetViews>
    <sheetView workbookViewId="0">
      <selection activeCell="G14" sqref="G14"/>
    </sheetView>
  </sheetViews>
  <sheetFormatPr defaultRowHeight="12.75"/>
  <cols>
    <col min="2" max="2" width="37.28515625" customWidth="1"/>
    <col min="3" max="3" width="28" customWidth="1"/>
    <col min="4" max="6" width="27.5703125" customWidth="1"/>
    <col min="7" max="7" width="27.28515625" customWidth="1"/>
    <col min="8" max="8" width="50.28515625" customWidth="1"/>
  </cols>
  <sheetData>
    <row r="1" spans="1:9">
      <c r="A1" s="1787"/>
      <c r="B1" s="1787"/>
      <c r="C1" s="1787"/>
      <c r="D1" s="1787"/>
      <c r="E1" s="1787"/>
      <c r="F1" s="1787"/>
      <c r="G1" s="1787"/>
      <c r="H1" s="23"/>
      <c r="I1" s="23"/>
    </row>
    <row r="2" spans="1:9">
      <c r="A2" s="1787"/>
      <c r="B2" s="1787"/>
      <c r="C2" s="1787"/>
      <c r="D2" s="1787"/>
      <c r="E2" s="1787"/>
      <c r="F2" s="1787"/>
      <c r="G2" s="1787"/>
      <c r="H2" s="23"/>
      <c r="I2" s="23"/>
    </row>
    <row r="3" spans="1:9">
      <c r="A3" s="1787"/>
      <c r="B3" s="1787"/>
      <c r="C3" s="1787"/>
      <c r="D3" s="1787"/>
      <c r="E3" s="1787"/>
      <c r="F3" s="1787"/>
      <c r="G3" s="1787"/>
      <c r="H3" s="23"/>
      <c r="I3" s="23"/>
    </row>
    <row r="4" spans="1:9">
      <c r="A4" s="1787"/>
      <c r="B4" s="1787"/>
      <c r="C4" s="1787"/>
      <c r="D4" s="1787"/>
      <c r="E4" s="1787"/>
      <c r="F4" s="1787"/>
      <c r="G4" s="1787"/>
      <c r="H4" s="23"/>
      <c r="I4" s="23"/>
    </row>
    <row r="5" spans="1:9">
      <c r="A5" s="1787"/>
      <c r="B5" s="1787"/>
      <c r="C5" s="1787"/>
      <c r="D5" s="1787"/>
      <c r="E5" s="1787"/>
      <c r="F5" s="1787"/>
      <c r="G5" s="1787"/>
      <c r="H5" s="23"/>
      <c r="I5" s="23"/>
    </row>
    <row r="6" spans="1:9">
      <c r="A6" s="1787"/>
      <c r="B6" s="1787"/>
      <c r="C6" s="1787"/>
      <c r="D6" s="1787"/>
      <c r="E6" s="1787"/>
      <c r="F6" s="1787"/>
      <c r="G6" s="1787"/>
      <c r="H6" s="23"/>
      <c r="I6" s="23"/>
    </row>
    <row r="7" spans="1:9">
      <c r="A7" s="1787"/>
      <c r="B7" s="1787"/>
      <c r="C7" s="1787"/>
      <c r="D7" s="1787"/>
      <c r="E7" s="1787"/>
      <c r="F7" s="1787"/>
      <c r="G7" s="1787"/>
      <c r="H7" s="23"/>
      <c r="I7" s="23"/>
    </row>
    <row r="8" spans="1:9">
      <c r="A8" s="1787"/>
      <c r="B8" s="1787"/>
      <c r="C8" s="1787"/>
      <c r="D8" s="1787"/>
      <c r="E8" s="1787"/>
      <c r="F8" s="1787"/>
      <c r="G8" s="1787"/>
      <c r="H8" s="23"/>
      <c r="I8" s="23"/>
    </row>
    <row r="9" spans="1:9">
      <c r="A9" s="1787"/>
      <c r="B9" s="1787"/>
      <c r="C9" s="1787"/>
      <c r="D9" s="1787"/>
      <c r="E9" s="1787"/>
      <c r="F9" s="1787"/>
      <c r="G9" s="1787"/>
      <c r="H9" s="23"/>
      <c r="I9" s="23"/>
    </row>
    <row r="10" spans="1:9">
      <c r="A10" s="1787"/>
      <c r="B10" s="1787"/>
      <c r="C10" s="1787"/>
      <c r="D10" s="1787"/>
      <c r="E10" s="1787"/>
      <c r="F10" s="1787"/>
      <c r="G10" s="1787"/>
      <c r="H10" s="23"/>
      <c r="I10" s="23"/>
    </row>
    <row r="11" spans="1:9">
      <c r="A11" s="1787"/>
      <c r="B11" s="1787"/>
      <c r="C11" s="1787"/>
      <c r="D11" s="1787"/>
      <c r="E11" s="1787"/>
      <c r="F11" s="1787"/>
      <c r="G11" s="1787"/>
      <c r="H11" s="23"/>
      <c r="I11" s="23"/>
    </row>
    <row r="12" spans="1:9" ht="15">
      <c r="A12" s="1787"/>
      <c r="B12" s="2286" t="s">
        <v>1411</v>
      </c>
      <c r="C12" s="2287"/>
      <c r="D12" s="2287"/>
      <c r="E12" s="2287"/>
      <c r="F12" s="2287"/>
      <c r="G12" s="2287"/>
      <c r="H12" s="2288"/>
      <c r="I12" s="23"/>
    </row>
    <row r="13" spans="1:9" ht="25.5">
      <c r="A13" s="1787"/>
      <c r="B13" s="1848" t="s">
        <v>1412</v>
      </c>
      <c r="C13" s="1817" t="s">
        <v>1413</v>
      </c>
      <c r="D13" s="1817" t="s">
        <v>1414</v>
      </c>
      <c r="E13" s="1817" t="s">
        <v>1415</v>
      </c>
      <c r="F13" s="1817" t="s">
        <v>1416</v>
      </c>
      <c r="G13" s="1817" t="s">
        <v>1417</v>
      </c>
      <c r="H13" s="1849" t="s">
        <v>1418</v>
      </c>
      <c r="I13" s="23"/>
    </row>
    <row r="14" spans="1:9">
      <c r="A14" s="23"/>
      <c r="B14" s="1850" t="s">
        <v>1419</v>
      </c>
      <c r="C14" s="1845">
        <f>'Additional Inputs'!C17</f>
        <v>5317638</v>
      </c>
      <c r="D14" s="1846">
        <f>C14*C23</f>
        <v>1.43576226</v>
      </c>
      <c r="E14" s="1846">
        <f>C14*D23</f>
        <v>30416.889360000001</v>
      </c>
      <c r="F14" s="1846">
        <f>C14*E23</f>
        <v>0.2658819</v>
      </c>
      <c r="G14" s="1846">
        <f>(D14*'Emission Factors'!$B$126)+E14+(F14*'Emission Factors'!$C$126)</f>
        <v>30527.549406780003</v>
      </c>
      <c r="H14" s="1855">
        <f>0.091452*C14</f>
        <v>486308.63037600002</v>
      </c>
      <c r="I14" s="23"/>
    </row>
    <row r="15" spans="1:9" ht="15" customHeight="1">
      <c r="A15" s="1787"/>
      <c r="B15" s="1851" t="s">
        <v>1420</v>
      </c>
      <c r="C15" s="1845">
        <f>'Additional Inputs'!C18</f>
        <v>53357</v>
      </c>
      <c r="D15" s="1846">
        <f>C15*C23</f>
        <v>1.440639E-2</v>
      </c>
      <c r="E15" s="1846">
        <f>C15*D23</f>
        <v>305.20204000000001</v>
      </c>
      <c r="F15" s="1846">
        <f>C15*E23</f>
        <v>2.6678499999999998E-3</v>
      </c>
      <c r="G15" s="1847">
        <f>(D15*'Emission Factors'!$B$126)+E15+(F15*'Emission Factors'!$C$126)</f>
        <v>306.31239917000005</v>
      </c>
      <c r="H15" s="1855">
        <f t="shared" ref="H15:H17" si="0">0.091452*C15</f>
        <v>4879.6043640000007</v>
      </c>
      <c r="I15" s="23"/>
    </row>
    <row r="16" spans="1:9">
      <c r="A16" s="1787"/>
      <c r="B16" s="1851" t="s">
        <v>281</v>
      </c>
      <c r="C16" s="1845">
        <f>'Additional Inputs'!C19</f>
        <v>53357</v>
      </c>
      <c r="D16" s="1846">
        <f>C16*C23</f>
        <v>1.440639E-2</v>
      </c>
      <c r="E16" s="1846">
        <f>C16*D23</f>
        <v>305.20204000000001</v>
      </c>
      <c r="F16" s="1846">
        <f>C16*E23</f>
        <v>2.6678499999999998E-3</v>
      </c>
      <c r="G16" s="1847">
        <f>(D16*'Emission Factors'!$B$126)+E16+(F16*'Emission Factors'!$C$126)</f>
        <v>306.31239917000005</v>
      </c>
      <c r="H16" s="1855">
        <f t="shared" si="0"/>
        <v>4879.6043640000007</v>
      </c>
      <c r="I16" s="23"/>
    </row>
    <row r="17" spans="1:9">
      <c r="A17" s="1787"/>
      <c r="B17" s="1852" t="s">
        <v>1421</v>
      </c>
      <c r="C17" s="1853">
        <f>SUM(C14:C15)</f>
        <v>5370995</v>
      </c>
      <c r="D17" s="1854">
        <f>SUM(D14:D15)</f>
        <v>1.4501686499999999</v>
      </c>
      <c r="E17" s="1854">
        <f t="shared" ref="E17:G17" si="1">SUM(E14:E15)</f>
        <v>30722.091400000001</v>
      </c>
      <c r="F17" s="1854">
        <f t="shared" si="1"/>
        <v>0.26854975000000003</v>
      </c>
      <c r="G17" s="1854">
        <f t="shared" si="1"/>
        <v>30833.861805950004</v>
      </c>
      <c r="H17" s="1855">
        <f t="shared" si="0"/>
        <v>491188.23474000004</v>
      </c>
      <c r="I17" s="23"/>
    </row>
    <row r="18" spans="1:9">
      <c r="A18" s="1787"/>
      <c r="B18" s="1787"/>
      <c r="C18" s="1787"/>
      <c r="D18" s="1787"/>
      <c r="E18" s="1787"/>
      <c r="F18" s="1787"/>
      <c r="G18" s="1787"/>
      <c r="H18" s="23"/>
      <c r="I18" s="23"/>
    </row>
    <row r="19" spans="1:9">
      <c r="A19" s="1787"/>
      <c r="B19" s="23"/>
      <c r="C19" s="23"/>
      <c r="D19" s="23"/>
      <c r="E19" s="23"/>
      <c r="F19" s="23"/>
      <c r="G19" s="1798"/>
      <c r="H19" s="23"/>
      <c r="I19" s="23"/>
    </row>
    <row r="20" spans="1:9">
      <c r="A20" s="23"/>
      <c r="B20" s="23"/>
      <c r="C20" s="23"/>
      <c r="D20" s="23"/>
      <c r="E20" s="23"/>
      <c r="F20" s="1810"/>
      <c r="G20" s="23"/>
      <c r="H20" s="23"/>
      <c r="I20" s="23"/>
    </row>
    <row r="21" spans="1:9" ht="15">
      <c r="A21" s="23"/>
      <c r="B21" s="2283" t="s">
        <v>1422</v>
      </c>
      <c r="C21" s="2284"/>
      <c r="D21" s="2284"/>
      <c r="E21" s="2285"/>
      <c r="F21" s="1811"/>
      <c r="G21" s="23"/>
      <c r="H21" s="23"/>
      <c r="I21" s="23"/>
    </row>
    <row r="22" spans="1:9" ht="25.5">
      <c r="A22" s="23"/>
      <c r="B22" s="1812"/>
      <c r="C22" s="1813" t="s">
        <v>1423</v>
      </c>
      <c r="D22" s="1813" t="s">
        <v>1424</v>
      </c>
      <c r="E22" s="1818" t="s">
        <v>1425</v>
      </c>
      <c r="F22" s="1810"/>
      <c r="G22" s="23"/>
      <c r="H22" s="23"/>
      <c r="I22" s="23"/>
    </row>
    <row r="23" spans="1:9">
      <c r="A23" s="23"/>
      <c r="B23" s="1816" t="s">
        <v>291</v>
      </c>
      <c r="C23" s="1814">
        <f>0.001*0.001*'Additional Inputs'!D30</f>
        <v>2.7000000000000001E-7</v>
      </c>
      <c r="D23" s="1814">
        <f>0.001*'Additional Inputs'!C30</f>
        <v>5.7200000000000003E-3</v>
      </c>
      <c r="E23" s="1815">
        <f>0.001*0.001*'Additional Inputs'!E30</f>
        <v>4.9999999999999998E-8</v>
      </c>
      <c r="F23" s="1810"/>
      <c r="G23" s="23"/>
      <c r="H23" s="23"/>
      <c r="I23" s="23"/>
    </row>
    <row r="24" spans="1:9">
      <c r="A24" s="23"/>
      <c r="B24" s="23"/>
      <c r="C24" s="23"/>
      <c r="D24" s="23"/>
      <c r="E24" s="23"/>
      <c r="F24" s="1810"/>
      <c r="G24" s="23"/>
      <c r="H24" s="23"/>
      <c r="I24" s="23"/>
    </row>
    <row r="25" spans="1:9">
      <c r="A25" s="23"/>
      <c r="B25" s="23"/>
      <c r="C25" s="23"/>
      <c r="D25" s="23"/>
      <c r="E25" s="23"/>
      <c r="F25" s="2"/>
      <c r="G25" s="23"/>
      <c r="H25" s="23"/>
      <c r="I25" s="23"/>
    </row>
    <row r="26" spans="1:9">
      <c r="A26" s="23"/>
      <c r="B26" s="23"/>
      <c r="C26" s="23"/>
      <c r="D26" s="23"/>
      <c r="E26" s="23"/>
      <c r="F26" s="23"/>
      <c r="G26" s="23"/>
      <c r="H26" s="23"/>
      <c r="I26" s="23"/>
    </row>
    <row r="27" spans="1:9">
      <c r="A27" s="23"/>
      <c r="B27" s="23"/>
      <c r="C27" s="23"/>
      <c r="D27" s="23"/>
      <c r="E27" s="23"/>
      <c r="F27" s="23"/>
      <c r="G27" s="23"/>
      <c r="H27" s="23"/>
      <c r="I27" s="23"/>
    </row>
    <row r="28" spans="1:9">
      <c r="A28" s="23"/>
      <c r="B28" s="23"/>
      <c r="C28" s="23"/>
      <c r="D28" s="23"/>
      <c r="E28" s="23"/>
      <c r="F28" s="23"/>
      <c r="G28" s="23"/>
      <c r="H28" s="23"/>
      <c r="I28" s="23"/>
    </row>
    <row r="29" spans="1:9">
      <c r="A29" s="23"/>
      <c r="B29" s="23"/>
      <c r="C29" s="23"/>
      <c r="D29" s="23"/>
      <c r="E29" s="23"/>
      <c r="F29" s="23"/>
      <c r="G29" s="23"/>
      <c r="H29" s="23"/>
      <c r="I29" s="23"/>
    </row>
    <row r="30" spans="1:9">
      <c r="A30" s="23"/>
      <c r="B30" s="23"/>
      <c r="C30" s="23"/>
      <c r="D30" s="23"/>
      <c r="E30" s="23"/>
      <c r="F30" s="23"/>
      <c r="G30" s="23"/>
      <c r="H30" s="23"/>
      <c r="I30" s="23"/>
    </row>
    <row r="31" spans="1:9">
      <c r="A31" s="23"/>
      <c r="B31" s="23"/>
      <c r="C31" s="23"/>
      <c r="D31" s="23"/>
      <c r="E31" s="23"/>
      <c r="F31" s="23"/>
      <c r="G31" s="23"/>
      <c r="H31" s="23"/>
      <c r="I31" s="23"/>
    </row>
  </sheetData>
  <mergeCells count="2">
    <mergeCell ref="B21:E21"/>
    <mergeCell ref="B12:H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N23"/>
  <sheetViews>
    <sheetView showGridLines="0" topLeftCell="D11" zoomScaleNormal="100" workbookViewId="0">
      <selection activeCell="E11" sqref="E11"/>
    </sheetView>
  </sheetViews>
  <sheetFormatPr defaultRowHeight="12.75"/>
  <cols>
    <col min="1" max="1" width="2.7109375" style="24" customWidth="1"/>
    <col min="2" max="2" width="12" style="6" bestFit="1" customWidth="1"/>
    <col min="3" max="3" width="22.28515625" style="6" customWidth="1"/>
    <col min="4" max="8" width="16" style="6" customWidth="1"/>
    <col min="9" max="9" width="14.42578125" style="6" customWidth="1"/>
    <col min="10" max="10" width="18.85546875" style="6" customWidth="1"/>
    <col min="11" max="11" width="16.28515625" style="6" customWidth="1"/>
    <col min="12" max="12" width="10.28515625" style="6" bestFit="1" customWidth="1"/>
    <col min="13" max="13" width="16.5703125" style="6" bestFit="1" customWidth="1"/>
    <col min="14" max="14" width="16.28515625" style="6" customWidth="1"/>
    <col min="15" max="15" width="12.28515625" style="6" bestFit="1" customWidth="1"/>
    <col min="16" max="16" width="10.28515625" style="6" bestFit="1" customWidth="1"/>
    <col min="17" max="16384" width="9.140625" style="6"/>
  </cols>
  <sheetData>
    <row r="1" spans="2:14" s="24" customFormat="1" ht="13.5" thickBot="1"/>
    <row r="2" spans="2:14" ht="24" thickBot="1">
      <c r="B2" s="2244" t="s">
        <v>1426</v>
      </c>
      <c r="C2" s="2245"/>
      <c r="D2" s="2245"/>
      <c r="E2" s="2245"/>
      <c r="F2" s="2245"/>
      <c r="G2" s="2246"/>
      <c r="H2" s="24"/>
      <c r="I2" s="227"/>
      <c r="J2" s="24"/>
      <c r="K2" s="24"/>
      <c r="L2" s="24"/>
      <c r="M2" s="24"/>
      <c r="N2" s="24"/>
    </row>
    <row r="3" spans="2:14" s="24" customFormat="1" ht="15.75" customHeight="1">
      <c r="B3" s="228" t="s">
        <v>430</v>
      </c>
      <c r="C3" s="2182" t="s">
        <v>442</v>
      </c>
      <c r="D3" s="2183"/>
      <c r="E3" s="2183"/>
      <c r="F3" s="2183"/>
      <c r="G3" s="2184"/>
      <c r="H3" s="84"/>
      <c r="I3" s="84"/>
    </row>
    <row r="4" spans="2:14" s="24" customFormat="1" ht="15.75" customHeight="1" thickBot="1">
      <c r="B4" s="166" t="s">
        <v>432</v>
      </c>
      <c r="C4" s="2185" t="s">
        <v>1427</v>
      </c>
      <c r="D4" s="2172"/>
      <c r="E4" s="2172"/>
      <c r="F4" s="2172"/>
      <c r="G4" s="2173"/>
      <c r="H4" s="84"/>
      <c r="I4" s="84"/>
    </row>
    <row r="5" spans="2:14" s="24" customFormat="1" ht="17.25" customHeight="1" thickBot="1">
      <c r="B5" s="1875"/>
      <c r="C5" s="1875"/>
      <c r="D5" s="1875"/>
      <c r="E5" s="1875"/>
      <c r="F5" s="84"/>
      <c r="G5" s="84"/>
      <c r="H5" s="84"/>
      <c r="I5" s="84"/>
    </row>
    <row r="6" spans="2:14" s="24" customFormat="1" ht="18" customHeight="1" thickBot="1">
      <c r="B6" s="1936" t="s">
        <v>434</v>
      </c>
      <c r="C6" s="1937"/>
      <c r="D6" s="1937"/>
      <c r="E6" s="1937"/>
      <c r="F6" s="1937"/>
      <c r="G6" s="1938"/>
      <c r="H6" s="84"/>
      <c r="I6" s="84"/>
    </row>
    <row r="7" spans="2:14" s="24" customFormat="1" ht="159" customHeight="1" thickBot="1">
      <c r="B7" s="2070" t="s">
        <v>1428</v>
      </c>
      <c r="C7" s="2172"/>
      <c r="D7" s="2172"/>
      <c r="E7" s="2172"/>
      <c r="F7" s="2172"/>
      <c r="G7" s="2173"/>
      <c r="H7" s="84"/>
      <c r="I7" s="84"/>
    </row>
    <row r="8" spans="2:14" ht="13.5" thickBot="1">
      <c r="B8" s="1875"/>
      <c r="C8" s="1875"/>
      <c r="D8" s="1875"/>
      <c r="E8" s="1875"/>
      <c r="F8" s="1875"/>
      <c r="G8" s="1875"/>
      <c r="H8" s="1875"/>
      <c r="I8" s="1875"/>
      <c r="J8" s="1875"/>
      <c r="K8" s="24"/>
      <c r="L8" s="24"/>
      <c r="M8" s="24"/>
      <c r="N8" s="24"/>
    </row>
    <row r="9" spans="2:14" s="24" customFormat="1" ht="16.5" customHeight="1" thickBot="1">
      <c r="B9" s="1936" t="s">
        <v>1429</v>
      </c>
      <c r="C9" s="2195"/>
      <c r="D9" s="2195"/>
      <c r="E9" s="2195"/>
      <c r="F9" s="2195"/>
      <c r="G9" s="2195"/>
      <c r="H9" s="2195"/>
      <c r="I9" s="2195"/>
      <c r="J9" s="1958"/>
    </row>
    <row r="10" spans="2:14" s="24" customFormat="1" ht="57" customHeight="1" thickBot="1">
      <c r="B10" s="1251" t="s">
        <v>453</v>
      </c>
      <c r="C10" s="90" t="s">
        <v>287</v>
      </c>
      <c r="D10" s="328" t="s">
        <v>1430</v>
      </c>
      <c r="E10" s="328" t="s">
        <v>1431</v>
      </c>
      <c r="F10" s="328" t="s">
        <v>986</v>
      </c>
      <c r="G10" s="132" t="s">
        <v>1033</v>
      </c>
      <c r="H10" s="358" t="s">
        <v>1414</v>
      </c>
      <c r="I10" s="328" t="s">
        <v>1415</v>
      </c>
      <c r="J10" s="327" t="s">
        <v>1416</v>
      </c>
      <c r="K10" s="12"/>
      <c r="L10" s="11"/>
      <c r="M10" s="10"/>
      <c r="N10" s="10"/>
    </row>
    <row r="11" spans="2:14" s="24" customFormat="1">
      <c r="B11" s="2295" t="s">
        <v>456</v>
      </c>
      <c r="C11" s="94" t="s">
        <v>473</v>
      </c>
      <c r="D11" s="750"/>
      <c r="E11" s="94">
        <f>'Transportation - On Road'!D11</f>
        <v>0</v>
      </c>
      <c r="F11" s="750"/>
      <c r="G11" s="753"/>
      <c r="H11" s="828"/>
      <c r="I11" s="307">
        <f>'Transportation - On Road'!G11</f>
        <v>0</v>
      </c>
      <c r="J11" s="829"/>
      <c r="K11" s="144"/>
      <c r="L11" s="11"/>
      <c r="M11" s="10"/>
      <c r="N11" s="10"/>
    </row>
    <row r="12" spans="2:14" s="24" customFormat="1">
      <c r="B12" s="2096"/>
      <c r="C12" s="95" t="s">
        <v>373</v>
      </c>
      <c r="D12" s="95">
        <f>'Transportation - On Road'!C12</f>
        <v>194293.05392443069</v>
      </c>
      <c r="E12" s="742"/>
      <c r="F12" s="742"/>
      <c r="G12" s="751"/>
      <c r="H12" s="347">
        <f>'Transportation - On Road'!F12</f>
        <v>0.11723856596159464</v>
      </c>
      <c r="I12" s="306">
        <f>'Transportation - On Road'!G12</f>
        <v>1983.7320805684376</v>
      </c>
      <c r="J12" s="330">
        <f>'Transportation - On Road'!H12</f>
        <v>7.0819235276293219E-2</v>
      </c>
      <c r="K12" s="12"/>
      <c r="L12" s="11"/>
      <c r="M12" s="10"/>
      <c r="N12" s="10"/>
    </row>
    <row r="13" spans="2:14" s="24" customFormat="1">
      <c r="B13" s="2096"/>
      <c r="C13" s="95" t="s">
        <v>467</v>
      </c>
      <c r="D13" s="742"/>
      <c r="E13" s="742"/>
      <c r="F13" s="95">
        <f>'Transportation - On Road'!E13</f>
        <v>18120.77117642857</v>
      </c>
      <c r="G13" s="751"/>
      <c r="H13" s="347">
        <f>'Transportation - On Road'!F13</f>
        <v>3.5083729495348606E-4</v>
      </c>
      <c r="I13" s="306">
        <f>'Transportation - On Road'!G13</f>
        <v>4.0527756486006146</v>
      </c>
      <c r="J13" s="396">
        <f>'Transportation - On Road'!H13</f>
        <v>4.8391351028067038E-5</v>
      </c>
      <c r="K13" s="12"/>
      <c r="L13" s="11"/>
      <c r="M13" s="10"/>
      <c r="N13" s="10"/>
    </row>
    <row r="14" spans="2:14" s="24" customFormat="1">
      <c r="B14" s="2096"/>
      <c r="C14" s="95" t="s">
        <v>1432</v>
      </c>
      <c r="D14" s="742"/>
      <c r="E14" s="742"/>
      <c r="F14" s="742"/>
      <c r="G14" s="131">
        <f>'Transportation - On Road'!E96</f>
        <v>713.86170280130318</v>
      </c>
      <c r="H14" s="394">
        <f>'Transportation - On Road'!F14</f>
        <v>1.7187598646822323E-5</v>
      </c>
      <c r="I14" s="95">
        <f>'Transportation - On Road'!G14</f>
        <v>0.19854639816156819</v>
      </c>
      <c r="J14" s="397">
        <f>'Transportation - On Road'!H14</f>
        <v>2.3707032616306655E-6</v>
      </c>
      <c r="K14" s="144"/>
      <c r="L14" s="11"/>
      <c r="M14" s="10"/>
      <c r="N14" s="10"/>
    </row>
    <row r="15" spans="2:14" s="24" customFormat="1">
      <c r="B15" s="2096"/>
      <c r="C15" s="96" t="s">
        <v>375</v>
      </c>
      <c r="D15" s="96">
        <f>'Transportation - On Road'!C15</f>
        <v>4225563.3806958459</v>
      </c>
      <c r="E15" s="744"/>
      <c r="F15" s="744"/>
      <c r="G15" s="752"/>
      <c r="H15" s="346">
        <f>'Transportation - On Road'!F15</f>
        <v>2.192876995539665</v>
      </c>
      <c r="I15" s="329">
        <f>'Transportation - On Road'!G15</f>
        <v>37104.517691026485</v>
      </c>
      <c r="J15" s="331">
        <f>'Transportation - On Road'!H15</f>
        <v>1.3246312815696453</v>
      </c>
      <c r="K15" s="12"/>
      <c r="L15" s="11"/>
      <c r="M15" s="10"/>
      <c r="N15" s="10"/>
    </row>
    <row r="16" spans="2:14" s="24" customFormat="1" ht="13.5" thickBot="1">
      <c r="B16" s="2095"/>
      <c r="C16" s="2292" t="s">
        <v>1433</v>
      </c>
      <c r="D16" s="2293"/>
      <c r="E16" s="2293"/>
      <c r="F16" s="2293"/>
      <c r="G16" s="2294"/>
      <c r="H16" s="345">
        <f>SUM(H11:H15)</f>
        <v>2.3104835863948598</v>
      </c>
      <c r="I16" s="1742">
        <f t="shared" ref="I16:J16" si="0">SUM(I11:I15)</f>
        <v>39092.501093641687</v>
      </c>
      <c r="J16" s="1743">
        <f t="shared" si="0"/>
        <v>1.3955012789002281</v>
      </c>
      <c r="K16" s="12"/>
      <c r="L16" s="11"/>
      <c r="M16" s="10"/>
      <c r="N16" s="10"/>
    </row>
    <row r="17" spans="2:14" s="24" customFormat="1">
      <c r="B17" s="2043" t="s">
        <v>474</v>
      </c>
      <c r="C17" s="95" t="s">
        <v>373</v>
      </c>
      <c r="D17" s="95">
        <f>'Transportation - Rail'!C11</f>
        <v>0</v>
      </c>
      <c r="E17" s="742"/>
      <c r="F17" s="742"/>
      <c r="G17" s="751"/>
      <c r="H17" s="344">
        <f>'Transportation - Rail'!E11</f>
        <v>0</v>
      </c>
      <c r="I17" s="306">
        <f>'Transportation - Rail'!F11</f>
        <v>0</v>
      </c>
      <c r="J17" s="396">
        <f>'Transportation - Rail'!G11</f>
        <v>0</v>
      </c>
      <c r="K17" s="12"/>
      <c r="L17" s="11"/>
      <c r="M17" s="10"/>
      <c r="N17" s="10"/>
    </row>
    <row r="18" spans="2:14" s="24" customFormat="1">
      <c r="B18" s="2096"/>
      <c r="C18" s="95" t="s">
        <v>467</v>
      </c>
      <c r="D18" s="742"/>
      <c r="E18" s="742"/>
      <c r="F18" s="95">
        <f>'Transportation - Rail'!D12</f>
        <v>0</v>
      </c>
      <c r="G18" s="751"/>
      <c r="H18" s="344">
        <f>'Transportation - Rail'!E12</f>
        <v>0</v>
      </c>
      <c r="I18" s="306">
        <f>'Transportation - Rail'!F12</f>
        <v>0</v>
      </c>
      <c r="J18" s="308">
        <f>'Transportation - Rail'!G12</f>
        <v>0</v>
      </c>
      <c r="K18" s="12"/>
      <c r="L18" s="11"/>
      <c r="M18" s="10"/>
      <c r="N18" s="10"/>
    </row>
    <row r="19" spans="2:14" s="24" customFormat="1">
      <c r="B19" s="2096"/>
      <c r="C19" s="96" t="s">
        <v>1432</v>
      </c>
      <c r="D19" s="744"/>
      <c r="E19" s="744"/>
      <c r="F19" s="744"/>
      <c r="G19" s="140">
        <f>'Transportation - Rail'!D13</f>
        <v>0</v>
      </c>
      <c r="H19" s="341">
        <f>'Transportation - Rail'!E13</f>
        <v>0</v>
      </c>
      <c r="I19" s="96">
        <f>'Transportation - Rail'!F13</f>
        <v>0</v>
      </c>
      <c r="J19" s="395">
        <f>'Transportation - Rail'!G13</f>
        <v>0</v>
      </c>
      <c r="K19" s="12"/>
      <c r="L19" s="11"/>
      <c r="M19" s="10"/>
      <c r="N19" s="10"/>
    </row>
    <row r="20" spans="2:14" s="24" customFormat="1" ht="13.5" thickBot="1">
      <c r="B20" s="2095"/>
      <c r="C20" s="2292" t="s">
        <v>1434</v>
      </c>
      <c r="D20" s="2293"/>
      <c r="E20" s="2293"/>
      <c r="F20" s="2293"/>
      <c r="G20" s="2294"/>
      <c r="H20" s="337">
        <f>SUM(H17:H19)</f>
        <v>0</v>
      </c>
      <c r="I20" s="1742">
        <f t="shared" ref="I20:J20" si="1">SUM(I17:I19)</f>
        <v>0</v>
      </c>
      <c r="J20" s="1744">
        <f t="shared" si="1"/>
        <v>0</v>
      </c>
      <c r="K20" s="12"/>
      <c r="L20" s="11"/>
      <c r="M20" s="10"/>
      <c r="N20" s="10"/>
    </row>
    <row r="21" spans="2:14" s="24" customFormat="1" ht="13.5" thickBot="1">
      <c r="B21" s="2289" t="s">
        <v>1435</v>
      </c>
      <c r="C21" s="2290"/>
      <c r="D21" s="2290"/>
      <c r="E21" s="2290"/>
      <c r="F21" s="2290"/>
      <c r="G21" s="2291"/>
      <c r="H21" s="343">
        <f>SUM(H16,H20)</f>
        <v>2.3104835863948598</v>
      </c>
      <c r="I21" s="398">
        <f t="shared" ref="I21:J21" si="2">SUM(I16,I20)</f>
        <v>39092.501093641687</v>
      </c>
      <c r="J21" s="332">
        <f t="shared" si="2"/>
        <v>1.3955012789002281</v>
      </c>
      <c r="K21" s="12"/>
      <c r="L21" s="11"/>
      <c r="M21" s="10"/>
      <c r="N21" s="10"/>
    </row>
    <row r="22" spans="2:14" s="24" customFormat="1">
      <c r="B22" s="9"/>
      <c r="C22" s="10"/>
      <c r="D22" s="10"/>
      <c r="E22" s="10"/>
      <c r="F22" s="10"/>
      <c r="G22" s="10"/>
      <c r="H22" s="12"/>
      <c r="I22" s="12"/>
      <c r="J22" s="11"/>
      <c r="K22" s="10"/>
      <c r="L22" s="10"/>
    </row>
    <row r="23" spans="2:14" s="24" customFormat="1">
      <c r="I23" s="12"/>
      <c r="J23" s="11"/>
      <c r="K23" s="10"/>
      <c r="L23" s="10"/>
    </row>
  </sheetData>
  <mergeCells count="11">
    <mergeCell ref="B9:J9"/>
    <mergeCell ref="B21:G21"/>
    <mergeCell ref="B17:B20"/>
    <mergeCell ref="C16:G16"/>
    <mergeCell ref="C20:G20"/>
    <mergeCell ref="B11:B16"/>
    <mergeCell ref="B2:G2"/>
    <mergeCell ref="C3:G3"/>
    <mergeCell ref="C4:G4"/>
    <mergeCell ref="B6:G6"/>
    <mergeCell ref="B7:G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H573"/>
  <sheetViews>
    <sheetView showGridLines="0" zoomScaleNormal="100" workbookViewId="0">
      <selection activeCell="C16" sqref="C16"/>
    </sheetView>
  </sheetViews>
  <sheetFormatPr defaultRowHeight="12.75"/>
  <cols>
    <col min="1" max="1" width="2.7109375" style="6" customWidth="1"/>
    <col min="2" max="2" width="42.140625" customWidth="1"/>
    <col min="3" max="3" width="21.5703125" customWidth="1"/>
    <col min="4" max="4" width="20.140625" customWidth="1"/>
    <col min="5" max="5" width="17.85546875" customWidth="1"/>
    <col min="6" max="8" width="18.28515625" style="6" customWidth="1"/>
    <col min="9" max="9" width="17.85546875" style="6" customWidth="1"/>
    <col min="10" max="10" width="18.85546875" style="6" bestFit="1" customWidth="1"/>
    <col min="11" max="11" width="15.5703125" style="6" customWidth="1"/>
    <col min="12" max="12" width="18.85546875" style="6" customWidth="1"/>
    <col min="13" max="13" width="16.42578125" style="6" customWidth="1"/>
    <col min="14" max="14" width="15.7109375" style="6" customWidth="1"/>
    <col min="15" max="15" width="17.5703125" style="6" customWidth="1"/>
    <col min="16" max="18" width="14.7109375" style="6" customWidth="1"/>
    <col min="19" max="29" width="17" style="6" customWidth="1"/>
    <col min="30" max="34" width="9.140625" style="6"/>
  </cols>
  <sheetData>
    <row r="1" spans="1:34" s="23" customFormat="1" ht="15.75" thickBot="1">
      <c r="A1" s="15"/>
      <c r="B1" s="15"/>
      <c r="C1" s="15"/>
      <c r="D1" s="15"/>
      <c r="E1" s="15"/>
      <c r="F1" s="15"/>
      <c r="G1" s="15"/>
      <c r="H1" s="15"/>
      <c r="I1" s="15"/>
      <c r="J1" s="15"/>
      <c r="K1" s="24"/>
      <c r="L1" s="24"/>
      <c r="M1" s="24"/>
      <c r="N1" s="24"/>
      <c r="O1" s="24"/>
      <c r="P1" s="24"/>
      <c r="Q1" s="24"/>
      <c r="R1" s="24"/>
      <c r="S1" s="24"/>
      <c r="T1" s="24"/>
      <c r="U1" s="24"/>
      <c r="V1" s="24"/>
      <c r="W1" s="24"/>
      <c r="X1" s="24"/>
      <c r="Y1" s="24"/>
      <c r="Z1" s="24"/>
      <c r="AA1" s="24"/>
      <c r="AB1" s="24"/>
      <c r="AC1" s="24"/>
      <c r="AD1" s="24"/>
      <c r="AE1" s="24"/>
      <c r="AF1" s="24"/>
      <c r="AG1" s="24"/>
      <c r="AH1" s="24"/>
    </row>
    <row r="2" spans="1:34" s="23" customFormat="1" ht="24.75" customHeight="1" thickBot="1">
      <c r="A2" s="24"/>
      <c r="B2" s="2305" t="s">
        <v>1436</v>
      </c>
      <c r="C2" s="2306"/>
      <c r="D2" s="2306"/>
      <c r="E2" s="2307"/>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row>
    <row r="3" spans="1:34" s="23" customFormat="1">
      <c r="A3" s="24"/>
      <c r="B3" s="165" t="s">
        <v>430</v>
      </c>
      <c r="C3" s="2182" t="s">
        <v>442</v>
      </c>
      <c r="D3" s="2231"/>
      <c r="E3" s="2232"/>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row>
    <row r="4" spans="1:34" s="23" customFormat="1" ht="13.5" thickBot="1">
      <c r="A4" s="24"/>
      <c r="B4" s="166" t="s">
        <v>1281</v>
      </c>
      <c r="C4" s="2233" t="s">
        <v>456</v>
      </c>
      <c r="D4" s="2048"/>
      <c r="E4" s="2049"/>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row>
    <row r="5" spans="1:34" s="23" customFormat="1" ht="13.5" thickBot="1">
      <c r="A5" s="24"/>
      <c r="B5" s="1875"/>
      <c r="C5" s="1875"/>
      <c r="D5" s="1875"/>
      <c r="E5" s="1875"/>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row>
    <row r="6" spans="1:34" s="23" customFormat="1" ht="15.75" thickBot="1">
      <c r="A6" s="24"/>
      <c r="B6" s="1936" t="s">
        <v>434</v>
      </c>
      <c r="C6" s="1937"/>
      <c r="D6" s="1937"/>
      <c r="E6" s="1938"/>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row>
    <row r="7" spans="1:34" s="23" customFormat="1" ht="109.5" customHeight="1" thickBot="1">
      <c r="A7" s="24"/>
      <c r="B7" s="2070" t="s">
        <v>1437</v>
      </c>
      <c r="C7" s="2071"/>
      <c r="D7" s="2071"/>
      <c r="E7" s="2072"/>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row>
    <row r="8" spans="1:34" s="15" customFormat="1" ht="15" customHeight="1" thickBot="1">
      <c r="A8" s="2296"/>
      <c r="B8" s="2296"/>
      <c r="C8" s="2296"/>
      <c r="D8" s="2296"/>
      <c r="E8" s="2296"/>
      <c r="F8" s="2296"/>
    </row>
    <row r="9" spans="1:34" s="15" customFormat="1" ht="15" customHeight="1" thickBot="1">
      <c r="A9" s="1879"/>
      <c r="B9" s="2303" t="s">
        <v>1438</v>
      </c>
      <c r="C9" s="2168"/>
      <c r="D9" s="2168"/>
      <c r="E9" s="2168"/>
      <c r="F9" s="1932"/>
      <c r="G9" s="1932"/>
      <c r="H9" s="1933"/>
    </row>
    <row r="10" spans="1:34" s="15" customFormat="1" ht="38.25">
      <c r="A10" s="1879"/>
      <c r="B10" s="1419" t="s">
        <v>287</v>
      </c>
      <c r="C10" s="91" t="s">
        <v>1430</v>
      </c>
      <c r="D10" s="91" t="s">
        <v>1431</v>
      </c>
      <c r="E10" s="298" t="s">
        <v>986</v>
      </c>
      <c r="F10" s="310" t="s">
        <v>1047</v>
      </c>
      <c r="G10" s="92" t="s">
        <v>1048</v>
      </c>
      <c r="H10" s="296" t="s">
        <v>1439</v>
      </c>
    </row>
    <row r="11" spans="1:34" s="15" customFormat="1" ht="15">
      <c r="A11" s="1879"/>
      <c r="B11" s="247" t="s">
        <v>473</v>
      </c>
      <c r="C11" s="996"/>
      <c r="D11" s="125">
        <f>SUM(L79,K89)</f>
        <v>0</v>
      </c>
      <c r="E11" s="316"/>
      <c r="F11" s="311"/>
      <c r="G11" s="125">
        <f>SUM(M79,L89)</f>
        <v>0</v>
      </c>
      <c r="H11" s="312"/>
    </row>
    <row r="12" spans="1:34" s="15" customFormat="1" ht="15">
      <c r="A12" s="1879"/>
      <c r="B12" s="145" t="s">
        <v>373</v>
      </c>
      <c r="C12" s="129">
        <f>SUM(E29,G79,G77,G89)</f>
        <v>194293.05392443069</v>
      </c>
      <c r="D12" s="143"/>
      <c r="E12" s="317"/>
      <c r="F12" s="313">
        <f>SUM(G29,H77,H79,H89)</f>
        <v>0.11723856596159464</v>
      </c>
      <c r="G12" s="129">
        <f>SUM(H29,I77,I79,I89)</f>
        <v>1983.7320805684376</v>
      </c>
      <c r="H12" s="314">
        <f>SUM(I29,J77,J79,J89)</f>
        <v>7.0819235276293219E-2</v>
      </c>
    </row>
    <row r="13" spans="1:34" s="15" customFormat="1" ht="15">
      <c r="A13" s="1879"/>
      <c r="B13" s="145" t="s">
        <v>467</v>
      </c>
      <c r="C13" s="130"/>
      <c r="D13" s="130"/>
      <c r="E13" s="1025">
        <f>SUM(F32,P77,P78,M89)</f>
        <v>18120.77117642857</v>
      </c>
      <c r="F13" s="313">
        <f>SUM(G32,Q77,Q78,N89)</f>
        <v>3.5083729495348606E-4</v>
      </c>
      <c r="G13" s="129">
        <f>SUM(H32,R77,R78,O89)</f>
        <v>4.0527756486006146</v>
      </c>
      <c r="H13" s="318">
        <f>SUM(I32,S77,S78,P89)</f>
        <v>4.8391351028067038E-5</v>
      </c>
    </row>
    <row r="14" spans="1:34" s="15" customFormat="1" ht="15">
      <c r="A14" s="1879"/>
      <c r="B14" s="145" t="s">
        <v>1432</v>
      </c>
      <c r="C14" s="130"/>
      <c r="D14" s="130"/>
      <c r="E14" s="1025">
        <f>E98</f>
        <v>884.16386625097357</v>
      </c>
      <c r="F14" s="319">
        <f>F98</f>
        <v>1.7187598646822323E-5</v>
      </c>
      <c r="G14" s="129">
        <f t="shared" ref="G14:H14" si="0">G98</f>
        <v>0.19854639816156819</v>
      </c>
      <c r="H14" s="320">
        <f t="shared" si="0"/>
        <v>2.3707032616306655E-6</v>
      </c>
    </row>
    <row r="15" spans="1:34" s="15" customFormat="1" ht="15">
      <c r="A15" s="1879"/>
      <c r="B15" s="321" t="s">
        <v>375</v>
      </c>
      <c r="C15" s="126">
        <f>SUM(C89,E28,E30,E31)</f>
        <v>4225563.3806958459</v>
      </c>
      <c r="D15" s="322"/>
      <c r="E15" s="323"/>
      <c r="F15" s="324">
        <f>SUM(D89,G28,G30,G31)</f>
        <v>2.192876995539665</v>
      </c>
      <c r="G15" s="126">
        <f>SUM(E89,H28,H30,H31)</f>
        <v>37104.517691026485</v>
      </c>
      <c r="H15" s="325">
        <f>SUM(F89,I28,I30,I31)</f>
        <v>1.3246312815696453</v>
      </c>
    </row>
    <row r="16" spans="1:34" s="15" customFormat="1" ht="15.75" thickBot="1">
      <c r="A16" s="1879"/>
      <c r="B16" s="315" t="s">
        <v>1440</v>
      </c>
      <c r="C16" s="1745">
        <f>SUM(C11:C15)</f>
        <v>4419856.434620277</v>
      </c>
      <c r="D16" s="1745">
        <f>SUM(D11:D15)</f>
        <v>0</v>
      </c>
      <c r="E16" s="1596">
        <f>SUM(E11:E15)</f>
        <v>19004.935042679543</v>
      </c>
      <c r="F16" s="326">
        <f t="shared" ref="F16:H16" si="1">SUM(F11:F15)</f>
        <v>2.3104835863948598</v>
      </c>
      <c r="G16" s="1705">
        <f t="shared" si="1"/>
        <v>39092.501093641687</v>
      </c>
      <c r="H16" s="1710">
        <f t="shared" si="1"/>
        <v>1.3955012789002281</v>
      </c>
    </row>
    <row r="17" spans="1:13" s="15" customFormat="1" ht="27.75" customHeight="1" thickBot="1">
      <c r="A17" s="1879"/>
      <c r="B17" s="2304" t="s">
        <v>1441</v>
      </c>
      <c r="C17" s="1908"/>
      <c r="D17" s="1909"/>
      <c r="E17" s="1879"/>
      <c r="H17" s="1879"/>
    </row>
    <row r="18" spans="1:13" s="6" customFormat="1" ht="13.5" thickBot="1">
      <c r="A18" s="24"/>
      <c r="B18" s="24"/>
      <c r="C18" s="45"/>
      <c r="D18" s="24"/>
      <c r="E18" s="24"/>
      <c r="F18" s="24"/>
      <c r="G18" s="24"/>
      <c r="H18" s="24"/>
      <c r="I18" s="24"/>
      <c r="J18" s="24"/>
      <c r="K18" s="24"/>
      <c r="L18" s="24"/>
      <c r="M18" s="24"/>
    </row>
    <row r="19" spans="1:13" s="24" customFormat="1" ht="15.75" thickBot="1">
      <c r="B19" s="1961" t="s">
        <v>1442</v>
      </c>
      <c r="C19" s="2205"/>
      <c r="D19" s="2205"/>
      <c r="E19" s="2205"/>
      <c r="F19" s="2205"/>
      <c r="G19" s="2205"/>
      <c r="H19" s="2205"/>
      <c r="I19" s="2205"/>
      <c r="J19" s="2205"/>
      <c r="K19" s="2205"/>
      <c r="L19" s="1908"/>
      <c r="M19" s="1909"/>
    </row>
    <row r="20" spans="1:13" s="24" customFormat="1" ht="38.25">
      <c r="B20" s="256" t="s">
        <v>287</v>
      </c>
      <c r="C20" s="91" t="s">
        <v>1443</v>
      </c>
      <c r="D20" s="633" t="s">
        <v>1413</v>
      </c>
      <c r="E20" s="633" t="s">
        <v>1444</v>
      </c>
      <c r="F20" s="633" t="s">
        <v>1239</v>
      </c>
      <c r="G20" s="633" t="s">
        <v>1445</v>
      </c>
      <c r="H20" s="91" t="s">
        <v>1446</v>
      </c>
      <c r="I20" s="91" t="s">
        <v>1447</v>
      </c>
      <c r="J20" s="91" t="s">
        <v>1448</v>
      </c>
      <c r="K20" s="268" t="s">
        <v>1449</v>
      </c>
      <c r="L20" s="91" t="s">
        <v>1450</v>
      </c>
      <c r="M20" s="93" t="s">
        <v>1451</v>
      </c>
    </row>
    <row r="21" spans="1:13" s="24" customFormat="1">
      <c r="B21" s="830" t="s">
        <v>375</v>
      </c>
      <c r="C21" s="831">
        <f>SUM(D28,D30,D31)</f>
        <v>69334799.063999996</v>
      </c>
      <c r="D21" s="831">
        <f>SUM(E28,E30,E31)</f>
        <v>4185449.3806958459</v>
      </c>
      <c r="E21" s="832">
        <f>C21/D21</f>
        <v>16.565676169394465</v>
      </c>
      <c r="F21" s="833"/>
      <c r="G21" s="833"/>
      <c r="H21" s="834">
        <f>SUM(G28,G30,G31)</f>
        <v>2.1720619211676651</v>
      </c>
      <c r="I21" s="831">
        <f>SUM(H28,H30,H31)</f>
        <v>36752.316771026482</v>
      </c>
      <c r="J21" s="834">
        <f>SUM(I28,I30,I31)</f>
        <v>1.3120577087256453</v>
      </c>
      <c r="K21" s="835">
        <f>(H21*'Emission Factors'!$B$126)+(I21)+(J21*'Emission Factors'!$C$126)</f>
        <v>37160.829797631479</v>
      </c>
      <c r="L21" s="836">
        <f>K21/D21</f>
        <v>8.8785758511439362E-3</v>
      </c>
      <c r="M21" s="837"/>
    </row>
    <row r="22" spans="1:13" s="24" customFormat="1">
      <c r="B22" s="154" t="s">
        <v>373</v>
      </c>
      <c r="C22" s="128">
        <f>D29</f>
        <v>1784997.6425000001</v>
      </c>
      <c r="D22" s="128">
        <f>E29</f>
        <v>160757.05392443069</v>
      </c>
      <c r="E22" s="305">
        <f>C22/D22</f>
        <v>11.103697156201299</v>
      </c>
      <c r="F22" s="130"/>
      <c r="G22" s="130"/>
      <c r="H22" s="304">
        <f>G29</f>
        <v>9.7002574665594643E-2</v>
      </c>
      <c r="I22" s="128">
        <f>H29</f>
        <v>1641.3295205684376</v>
      </c>
      <c r="J22" s="304">
        <f>I29</f>
        <v>5.8595463884293215E-2</v>
      </c>
      <c r="K22" s="432">
        <f>(H22*'Emission Factors'!$B$126)+(I22)+(J22*'Emission Factors'!$C$126)</f>
        <v>1659.5733905884119</v>
      </c>
      <c r="L22" s="434">
        <f>K22/D22</f>
        <v>1.0323487213000002E-2</v>
      </c>
      <c r="M22" s="431"/>
    </row>
    <row r="23" spans="1:13" s="24" customFormat="1" ht="13.5" thickBot="1">
      <c r="B23" s="277" t="s">
        <v>1452</v>
      </c>
      <c r="C23" s="426">
        <f>D32</f>
        <v>56881.344499999999</v>
      </c>
      <c r="D23" s="427"/>
      <c r="E23" s="427"/>
      <c r="F23" s="426">
        <f>F32</f>
        <v>18120.77117642857</v>
      </c>
      <c r="G23" s="428">
        <f>F23/C23</f>
        <v>0.31857142857142856</v>
      </c>
      <c r="H23" s="429">
        <f>G32+F96</f>
        <v>3.6471432488585745E-4</v>
      </c>
      <c r="I23" s="430">
        <f>H32+G96</f>
        <v>4.2130792702331803</v>
      </c>
      <c r="J23" s="429">
        <f>I32+H96</f>
        <v>5.0305424122187227E-5</v>
      </c>
      <c r="K23" s="433">
        <f>(H23*'Emission Factors'!$B$126)+(I23)+(J23*'Emission Factors'!$C$126)</f>
        <v>4.2366222087223635</v>
      </c>
      <c r="L23" s="435"/>
      <c r="M23" s="436">
        <f>K23/F23</f>
        <v>2.3379922231087745E-4</v>
      </c>
    </row>
    <row r="24" spans="1:13" s="24" customFormat="1" ht="13.5" thickBot="1">
      <c r="C24" s="45"/>
    </row>
    <row r="25" spans="1:13" s="24" customFormat="1" ht="14.25" thickBot="1">
      <c r="B25" s="1961" t="s">
        <v>1453</v>
      </c>
      <c r="C25" s="1908"/>
      <c r="D25" s="1908"/>
      <c r="E25" s="1908"/>
      <c r="F25" s="1908"/>
      <c r="G25" s="1908"/>
      <c r="H25" s="1908"/>
      <c r="I25" s="1909"/>
    </row>
    <row r="26" spans="1:13" s="24" customFormat="1" ht="39" thickBot="1">
      <c r="B26" s="97" t="s">
        <v>1412</v>
      </c>
      <c r="C26" s="98" t="s">
        <v>1454</v>
      </c>
      <c r="D26" s="91" t="s">
        <v>1443</v>
      </c>
      <c r="E26" s="100" t="s">
        <v>1413</v>
      </c>
      <c r="F26" s="99" t="s">
        <v>1239</v>
      </c>
      <c r="G26" s="268" t="s">
        <v>1446</v>
      </c>
      <c r="H26" s="268" t="s">
        <v>1447</v>
      </c>
      <c r="I26" s="93" t="s">
        <v>1448</v>
      </c>
    </row>
    <row r="27" spans="1:13" s="24" customFormat="1">
      <c r="B27" s="260" t="s">
        <v>1455</v>
      </c>
      <c r="C27" s="400">
        <f>SUM(F37,F48)</f>
        <v>13332</v>
      </c>
      <c r="D27" s="400">
        <f>SUM(I37,I48)</f>
        <v>71176678.050999999</v>
      </c>
      <c r="E27" s="261"/>
      <c r="F27" s="262"/>
      <c r="G27" s="262"/>
      <c r="H27" s="262"/>
      <c r="I27" s="263"/>
    </row>
    <row r="28" spans="1:13" s="24" customFormat="1">
      <c r="B28" s="258" t="s">
        <v>136</v>
      </c>
      <c r="C28" s="297">
        <f>SUM(F39,F50)</f>
        <v>12293</v>
      </c>
      <c r="D28" s="297">
        <f>SUM(I39,I50)</f>
        <v>64178651.529999994</v>
      </c>
      <c r="E28" s="1024">
        <f>SUM(L39,L50)</f>
        <v>3900008.9010358811</v>
      </c>
      <c r="F28" s="259"/>
      <c r="G28" s="401">
        <f t="shared" ref="G28:I32" si="2">SUM(N39,N50)</f>
        <v>2.0237068187297167</v>
      </c>
      <c r="H28" s="402">
        <f t="shared" si="2"/>
        <v>34242.078151095033</v>
      </c>
      <c r="I28" s="403">
        <f t="shared" si="2"/>
        <v>1.2224421899940927</v>
      </c>
    </row>
    <row r="29" spans="1:13" s="24" customFormat="1">
      <c r="B29" s="138" t="s">
        <v>137</v>
      </c>
      <c r="C29" s="279">
        <f>SUM(F40,F51)</f>
        <v>235</v>
      </c>
      <c r="D29" s="279">
        <f>SUM(I40,I51)</f>
        <v>1784997.6425000001</v>
      </c>
      <c r="E29" s="715">
        <f>SUM(L40,L51)</f>
        <v>160757.05392443069</v>
      </c>
      <c r="F29" s="142"/>
      <c r="G29" s="303">
        <f t="shared" si="2"/>
        <v>9.7002574665594643E-2</v>
      </c>
      <c r="H29" s="306">
        <f t="shared" si="2"/>
        <v>1641.3295205684376</v>
      </c>
      <c r="I29" s="308">
        <f t="shared" si="2"/>
        <v>5.8595463884293215E-2</v>
      </c>
    </row>
    <row r="30" spans="1:13" s="24" customFormat="1">
      <c r="B30" s="138" t="s">
        <v>138</v>
      </c>
      <c r="C30" s="279">
        <f>SUM(F41,F52)</f>
        <v>646</v>
      </c>
      <c r="D30" s="279">
        <f>SUM(I41,I52)</f>
        <v>4253871.33</v>
      </c>
      <c r="E30" s="715">
        <f>SUM(L41,L52)</f>
        <v>259695.12875334366</v>
      </c>
      <c r="F30" s="142"/>
      <c r="G30" s="303">
        <f t="shared" si="2"/>
        <v>0.1347552829198525</v>
      </c>
      <c r="H30" s="306">
        <f t="shared" si="2"/>
        <v>2280.1232304543573</v>
      </c>
      <c r="I30" s="308">
        <f t="shared" si="2"/>
        <v>8.1400399327220568E-2</v>
      </c>
    </row>
    <row r="31" spans="1:13" s="24" customFormat="1">
      <c r="B31" s="138" t="s">
        <v>139</v>
      </c>
      <c r="C31" s="279">
        <f>SUM(F42,F53)</f>
        <v>152</v>
      </c>
      <c r="D31" s="279">
        <f>SUM(I42,I53)</f>
        <v>902276.20400000014</v>
      </c>
      <c r="E31" s="715">
        <f>SUM(L42,L53)</f>
        <v>25745.350906620988</v>
      </c>
      <c r="F31" s="142"/>
      <c r="G31" s="303">
        <f t="shared" si="2"/>
        <v>1.3599819518095902E-2</v>
      </c>
      <c r="H31" s="306">
        <f t="shared" si="2"/>
        <v>230.11538947708806</v>
      </c>
      <c r="I31" s="308">
        <f t="shared" si="2"/>
        <v>8.2151194043320434E-3</v>
      </c>
    </row>
    <row r="32" spans="1:13" s="24" customFormat="1" ht="13.5" thickBot="1">
      <c r="B32" s="139" t="s">
        <v>140</v>
      </c>
      <c r="C32" s="283">
        <f>SUM(F43,F54)</f>
        <v>6</v>
      </c>
      <c r="D32" s="283">
        <f>SUM(I43,I54)</f>
        <v>56881.344499999999</v>
      </c>
      <c r="E32" s="136"/>
      <c r="F32" s="286">
        <f>SUM(M43,M54)</f>
        <v>18120.77117642857</v>
      </c>
      <c r="G32" s="853">
        <f t="shared" si="2"/>
        <v>3.5083729495348606E-4</v>
      </c>
      <c r="H32" s="854">
        <f t="shared" si="2"/>
        <v>4.0527756486006146</v>
      </c>
      <c r="I32" s="855">
        <f t="shared" si="2"/>
        <v>4.8391351028067038E-5</v>
      </c>
    </row>
    <row r="33" spans="2:18" s="24" customFormat="1" ht="54" customHeight="1" thickBot="1">
      <c r="B33" s="2300" t="s">
        <v>1456</v>
      </c>
      <c r="C33" s="2301"/>
      <c r="D33" s="2301"/>
      <c r="E33" s="2302"/>
    </row>
    <row r="34" spans="2:18" s="24" customFormat="1" ht="13.5" thickBot="1">
      <c r="C34" s="45"/>
    </row>
    <row r="35" spans="2:18" s="6" customFormat="1" ht="14.25" customHeight="1" thickBot="1">
      <c r="B35" s="2122" t="s">
        <v>1457</v>
      </c>
      <c r="C35" s="2123"/>
      <c r="D35" s="2123"/>
      <c r="E35" s="2123"/>
      <c r="F35" s="2123"/>
      <c r="G35" s="2123"/>
      <c r="H35" s="2123"/>
      <c r="I35" s="2123"/>
      <c r="J35" s="2123"/>
      <c r="K35" s="2123"/>
      <c r="L35" s="2123"/>
      <c r="M35" s="2123"/>
      <c r="N35" s="2123"/>
      <c r="O35" s="2123"/>
      <c r="P35" s="2123"/>
      <c r="Q35" s="2128"/>
      <c r="R35" s="24"/>
    </row>
    <row r="36" spans="2:18" s="6" customFormat="1" ht="123.75" customHeight="1" thickBot="1">
      <c r="B36" s="256" t="s">
        <v>130</v>
      </c>
      <c r="C36" s="91" t="s">
        <v>1458</v>
      </c>
      <c r="D36" s="91" t="s">
        <v>1459</v>
      </c>
      <c r="E36" s="91" t="s">
        <v>1460</v>
      </c>
      <c r="F36" s="91" t="s">
        <v>1461</v>
      </c>
      <c r="G36" s="91" t="s">
        <v>1462</v>
      </c>
      <c r="H36" s="91" t="s">
        <v>1463</v>
      </c>
      <c r="I36" s="91" t="s">
        <v>1443</v>
      </c>
      <c r="J36" s="93" t="s">
        <v>1464</v>
      </c>
      <c r="K36" s="91" t="s">
        <v>1465</v>
      </c>
      <c r="L36" s="91" t="s">
        <v>1413</v>
      </c>
      <c r="M36" s="91" t="s">
        <v>1239</v>
      </c>
      <c r="N36" s="91" t="s">
        <v>1446</v>
      </c>
      <c r="O36" s="91" t="s">
        <v>1447</v>
      </c>
      <c r="P36" s="93" t="s">
        <v>1448</v>
      </c>
      <c r="Q36" s="1462" t="s">
        <v>1466</v>
      </c>
      <c r="R36" s="24"/>
    </row>
    <row r="37" spans="2:18" s="6" customFormat="1">
      <c r="B37" s="941" t="s">
        <v>135</v>
      </c>
      <c r="C37" s="942">
        <f>Inputs!C217</f>
        <v>12155</v>
      </c>
      <c r="D37" s="943"/>
      <c r="E37" s="944"/>
      <c r="F37" s="945">
        <f>SUM(F39:F43)</f>
        <v>12155</v>
      </c>
      <c r="G37" s="949"/>
      <c r="H37" s="951"/>
      <c r="I37" s="952">
        <f>SUM(I39:I43)</f>
        <v>63719966.030999996</v>
      </c>
      <c r="J37" s="948"/>
      <c r="K37" s="949"/>
      <c r="L37" s="949"/>
      <c r="M37" s="949"/>
      <c r="N37" s="949"/>
      <c r="O37" s="949"/>
      <c r="P37" s="950"/>
      <c r="Q37" s="950"/>
      <c r="R37" s="24"/>
    </row>
    <row r="38" spans="2:18" s="24" customFormat="1">
      <c r="B38" s="954" t="s">
        <v>1467</v>
      </c>
      <c r="C38" s="955">
        <f>SUM(C39:C43)</f>
        <v>12155</v>
      </c>
      <c r="D38" s="956"/>
      <c r="E38" s="957"/>
      <c r="F38" s="958"/>
      <c r="G38" s="959"/>
      <c r="H38" s="953"/>
      <c r="I38" s="953"/>
      <c r="J38" s="953"/>
      <c r="K38" s="404"/>
      <c r="L38" s="404"/>
      <c r="M38" s="404"/>
      <c r="N38" s="404"/>
      <c r="O38" s="404"/>
      <c r="P38" s="405"/>
      <c r="Q38" s="405"/>
    </row>
    <row r="39" spans="2:18" s="6" customFormat="1">
      <c r="B39" s="133" t="s">
        <v>136</v>
      </c>
      <c r="C39" s="838">
        <f>Inputs!C218</f>
        <v>11299</v>
      </c>
      <c r="D39" s="838">
        <f>Inputs!D218</f>
        <v>4302</v>
      </c>
      <c r="E39" s="290">
        <f>IFERROR(C39/C$38,0)</f>
        <v>0.92957630604689423</v>
      </c>
      <c r="F39" s="287">
        <f>E39*C$37</f>
        <v>11299</v>
      </c>
      <c r="G39" s="840">
        <f>Inputs!E218</f>
        <v>14.142799999999999</v>
      </c>
      <c r="H39" s="289">
        <f>F39*G39</f>
        <v>159799.49719999998</v>
      </c>
      <c r="I39" s="289">
        <f>H39*365</f>
        <v>58326816.477999993</v>
      </c>
      <c r="J39" s="843">
        <f>Inputs!F218</f>
        <v>17.024699999999999</v>
      </c>
      <c r="K39" s="141"/>
      <c r="L39" s="289">
        <f>IFERROR(I39/J39,0)</f>
        <v>3426011.4115373543</v>
      </c>
      <c r="M39" s="141"/>
      <c r="N39" s="288">
        <f>L39*'Emission Factors'!$D$131</f>
        <v>1.7777504694239099</v>
      </c>
      <c r="O39" s="847">
        <f>L39*'Emission Factors'!$E$131</f>
        <v>30080.38019329797</v>
      </c>
      <c r="P39" s="848">
        <f>L39*'Emission Factors'!$F$131</f>
        <v>1.0738695729007375</v>
      </c>
      <c r="Q39" s="848">
        <f>(N39*'Emission Factors'!$B$126)+O39+(P39*'Emission Factors'!$C$126)</f>
        <v>30414.732643260537</v>
      </c>
      <c r="R39" s="24"/>
    </row>
    <row r="40" spans="2:18" s="6" customFormat="1">
      <c r="B40" s="134" t="s">
        <v>137</v>
      </c>
      <c r="C40" s="820">
        <f>Inputs!C219</f>
        <v>161</v>
      </c>
      <c r="D40" s="820">
        <f>Inputs!D219</f>
        <v>44</v>
      </c>
      <c r="E40" s="290">
        <f>IFERROR(C40/C$38,0)</f>
        <v>1.3245577951460304E-2</v>
      </c>
      <c r="F40" s="291">
        <f>E40*C$37</f>
        <v>161</v>
      </c>
      <c r="G40" s="841">
        <f>Inputs!E219</f>
        <v>18.869700000000002</v>
      </c>
      <c r="H40" s="289">
        <f t="shared" ref="H40:H43" si="3">F40*G40</f>
        <v>3038.0217000000002</v>
      </c>
      <c r="I40" s="289">
        <f t="shared" ref="I40:I43" si="4">H40*365</f>
        <v>1108877.9205</v>
      </c>
      <c r="J40" s="844">
        <f>Inputs!F219</f>
        <v>14.9087</v>
      </c>
      <c r="K40" s="142"/>
      <c r="L40" s="292">
        <f>IFERROR(I40/J40,0)</f>
        <v>74377.90823478908</v>
      </c>
      <c r="M40" s="142"/>
      <c r="N40" s="282">
        <f>L40*'Emission Factors'!$D$130</f>
        <v>4.4880447985862312E-2</v>
      </c>
      <c r="O40" s="279">
        <f>L40*'Emission Factors'!$E$130</f>
        <v>759.39844307719648</v>
      </c>
      <c r="P40" s="852">
        <f>L40*'Emission Factors'!$F$130</f>
        <v>2.7110524417855913E-2</v>
      </c>
      <c r="Q40" s="852">
        <f>(N40*'Emission Factors'!$B$126)+O40+(P40*'Emission Factors'!$C$126)</f>
        <v>767.83938459153239</v>
      </c>
      <c r="R40" s="24"/>
    </row>
    <row r="41" spans="2:18" s="6" customFormat="1">
      <c r="B41" s="134" t="s">
        <v>138</v>
      </c>
      <c r="C41" s="820">
        <f>Inputs!C220</f>
        <v>546</v>
      </c>
      <c r="D41" s="820">
        <f>Inputs!D220</f>
        <v>194</v>
      </c>
      <c r="E41" s="290">
        <f t="shared" ref="E41:E42" si="5">IFERROR(C41/C$38,0)</f>
        <v>4.4919786096256686E-2</v>
      </c>
      <c r="F41" s="291">
        <f>E41*C$37</f>
        <v>546</v>
      </c>
      <c r="G41" s="841">
        <f>Inputs!E220</f>
        <v>17.141999999999999</v>
      </c>
      <c r="H41" s="289">
        <f>F41*G41</f>
        <v>9359.5319999999992</v>
      </c>
      <c r="I41" s="289">
        <f t="shared" si="4"/>
        <v>3416229.1799999997</v>
      </c>
      <c r="J41" s="844">
        <f>Inputs!F220</f>
        <v>16.3506</v>
      </c>
      <c r="K41" s="142"/>
      <c r="L41" s="292">
        <f>IFERROR(I41/J41,0)</f>
        <v>208936.01335730797</v>
      </c>
      <c r="M41" s="142"/>
      <c r="N41" s="282">
        <f>L41*'Emission Factors'!$D$131</f>
        <v>0.10841647945908038</v>
      </c>
      <c r="O41" s="279">
        <f>L41*'Emission Factors'!$E$131</f>
        <v>1834.4581972771639</v>
      </c>
      <c r="P41" s="852">
        <f>L41*'Emission Factors'!$F$131</f>
        <v>6.5490157642794755E-2</v>
      </c>
      <c r="Q41" s="852">
        <f>(N41*'Emission Factors'!$B$126)+O41+(P41*'Emission Factors'!$C$126)</f>
        <v>1854.8487504773586</v>
      </c>
      <c r="R41" s="24"/>
    </row>
    <row r="42" spans="2:18" s="6" customFormat="1">
      <c r="B42" s="134" t="s">
        <v>139</v>
      </c>
      <c r="C42" s="820">
        <f>Inputs!C221</f>
        <v>144</v>
      </c>
      <c r="D42" s="820">
        <f>Inputs!D221</f>
        <v>53</v>
      </c>
      <c r="E42" s="290">
        <f t="shared" si="5"/>
        <v>1.1846976552858907E-2</v>
      </c>
      <c r="F42" s="291">
        <f>E42*C$37</f>
        <v>144</v>
      </c>
      <c r="G42" s="841">
        <f>Inputs!E221</f>
        <v>15.641500000000001</v>
      </c>
      <c r="H42" s="289">
        <f t="shared" si="3"/>
        <v>2252.3760000000002</v>
      </c>
      <c r="I42" s="289">
        <f t="shared" si="4"/>
        <v>822117.24000000011</v>
      </c>
      <c r="J42" s="844">
        <f>Inputs!F221</f>
        <v>35.902900000000002</v>
      </c>
      <c r="K42" s="142"/>
      <c r="L42" s="292">
        <f>IFERROR(I42/J42,0)</f>
        <v>22898.351943714853</v>
      </c>
      <c r="M42" s="142"/>
      <c r="N42" s="282">
        <f>L42*'Emission Factors'!$D$131</f>
        <v>1.1881909026889749E-2</v>
      </c>
      <c r="O42" s="279">
        <f>L42*'Emission Factors'!$E$131</f>
        <v>201.0475300658164</v>
      </c>
      <c r="P42" s="852">
        <f>L42*'Emission Factors'!$F$131</f>
        <v>7.1773968233496454E-3</v>
      </c>
      <c r="Q42" s="852">
        <f>(N42*'Emission Factors'!$B$126)+O42+(P42*'Emission Factors'!$C$126)</f>
        <v>203.28223367675699</v>
      </c>
      <c r="R42" s="24"/>
    </row>
    <row r="43" spans="2:18" s="6" customFormat="1" ht="13.5" thickBot="1">
      <c r="B43" s="135" t="s">
        <v>140</v>
      </c>
      <c r="C43" s="839">
        <f>Inputs!C222</f>
        <v>5</v>
      </c>
      <c r="D43" s="839">
        <f>Inputs!D222</f>
        <v>0</v>
      </c>
      <c r="E43" s="1559">
        <f>IFERROR(C43/C$38,0)</f>
        <v>4.1135335252982314E-4</v>
      </c>
      <c r="F43" s="293">
        <f>E43*C$37</f>
        <v>5</v>
      </c>
      <c r="G43" s="842">
        <f>Inputs!E222</f>
        <v>25.1645</v>
      </c>
      <c r="H43" s="1746">
        <f t="shared" si="3"/>
        <v>125.82250000000001</v>
      </c>
      <c r="I43" s="1746">
        <f t="shared" si="4"/>
        <v>45925.212500000001</v>
      </c>
      <c r="J43" s="845">
        <f>Inputs!F222</f>
        <v>0</v>
      </c>
      <c r="K43" s="137">
        <f>D71</f>
        <v>0.31857142857142856</v>
      </c>
      <c r="L43" s="294" t="s">
        <v>1468</v>
      </c>
      <c r="M43" s="295">
        <f>I43*K43</f>
        <v>14630.460553571429</v>
      </c>
      <c r="N43" s="856">
        <f>M43*'Emission Factors'!$G$120</f>
        <v>2.8366269819038724E-4</v>
      </c>
      <c r="O43" s="854">
        <f>M43*'Emission Factors'!$H$120</f>
        <v>3.2767932377165421</v>
      </c>
      <c r="P43" s="855">
        <f>M43*'Emission Factors'!$I$120</f>
        <v>3.9125889405570645E-5</v>
      </c>
      <c r="Q43" s="1033">
        <f>(N43*'Emission Factors'!$B$126)+O43+(P43*'Emission Factors'!$C$126)</f>
        <v>3.295104153958349</v>
      </c>
      <c r="R43" s="24"/>
    </row>
    <row r="44" spans="2:18" s="24" customFormat="1" ht="51.75" customHeight="1" thickBot="1">
      <c r="B44" s="2297" t="s">
        <v>1456</v>
      </c>
      <c r="C44" s="2298"/>
      <c r="D44" s="2298"/>
      <c r="E44" s="2299"/>
      <c r="G44" s="937"/>
      <c r="I44" s="8"/>
      <c r="P44" s="8"/>
    </row>
    <row r="45" spans="2:18" s="24" customFormat="1" ht="13.5" thickBot="1"/>
    <row r="46" spans="2:18" s="24" customFormat="1" ht="14.25" customHeight="1" thickBot="1">
      <c r="B46" s="2122" t="s">
        <v>1469</v>
      </c>
      <c r="C46" s="2123"/>
      <c r="D46" s="2123"/>
      <c r="E46" s="2123"/>
      <c r="F46" s="2123"/>
      <c r="G46" s="2123"/>
      <c r="H46" s="2123"/>
      <c r="I46" s="2123"/>
      <c r="J46" s="2123"/>
      <c r="K46" s="2123"/>
      <c r="L46" s="2123"/>
      <c r="M46" s="2123"/>
      <c r="N46" s="2123"/>
      <c r="O46" s="2123"/>
      <c r="P46" s="2123"/>
      <c r="Q46" s="2128"/>
    </row>
    <row r="47" spans="2:18" s="24" customFormat="1" ht="102.75" thickBot="1">
      <c r="B47" s="256" t="s">
        <v>1412</v>
      </c>
      <c r="C47" s="91" t="s">
        <v>1470</v>
      </c>
      <c r="D47" s="91" t="s">
        <v>1459</v>
      </c>
      <c r="E47" s="91" t="s">
        <v>1460</v>
      </c>
      <c r="F47" s="91" t="s">
        <v>1461</v>
      </c>
      <c r="G47" s="91" t="s">
        <v>1462</v>
      </c>
      <c r="H47" s="91" t="s">
        <v>1463</v>
      </c>
      <c r="I47" s="91" t="s">
        <v>1443</v>
      </c>
      <c r="J47" s="93" t="s">
        <v>1464</v>
      </c>
      <c r="K47" s="91" t="s">
        <v>1465</v>
      </c>
      <c r="L47" s="91" t="s">
        <v>1413</v>
      </c>
      <c r="M47" s="91" t="s">
        <v>1239</v>
      </c>
      <c r="N47" s="91" t="s">
        <v>1446</v>
      </c>
      <c r="O47" s="91" t="s">
        <v>1447</v>
      </c>
      <c r="P47" s="93" t="s">
        <v>1448</v>
      </c>
      <c r="Q47" s="1462" t="s">
        <v>1466</v>
      </c>
    </row>
    <row r="48" spans="2:18" s="24" customFormat="1">
      <c r="B48" s="941" t="s">
        <v>145</v>
      </c>
      <c r="C48" s="942">
        <f>Inputs!C226</f>
        <v>1177</v>
      </c>
      <c r="D48" s="943"/>
      <c r="E48" s="944"/>
      <c r="F48" s="945">
        <f>SUM(F50:F54)</f>
        <v>1177</v>
      </c>
      <c r="G48" s="946"/>
      <c r="H48" s="943"/>
      <c r="I48" s="947">
        <f>SUM(I50:I54)</f>
        <v>7456712.0200000005</v>
      </c>
      <c r="J48" s="948"/>
      <c r="K48" s="949"/>
      <c r="L48" s="949"/>
      <c r="M48" s="949"/>
      <c r="N48" s="949"/>
      <c r="O48" s="949"/>
      <c r="P48" s="950"/>
      <c r="Q48" s="950"/>
    </row>
    <row r="49" spans="2:17" s="24" customFormat="1">
      <c r="B49" s="253" t="s">
        <v>1471</v>
      </c>
      <c r="C49" s="278">
        <f>SUM(C50:C54)</f>
        <v>1177</v>
      </c>
      <c r="D49" s="938"/>
      <c r="E49" s="939"/>
      <c r="F49" s="940"/>
      <c r="G49" s="953"/>
      <c r="H49" s="938"/>
      <c r="I49" s="953"/>
      <c r="J49" s="953"/>
      <c r="K49" s="404"/>
      <c r="L49" s="404"/>
      <c r="M49" s="404"/>
      <c r="N49" s="404"/>
      <c r="O49" s="404"/>
      <c r="P49" s="405"/>
      <c r="Q49" s="405"/>
    </row>
    <row r="50" spans="2:17" s="24" customFormat="1">
      <c r="B50" s="134" t="s">
        <v>136</v>
      </c>
      <c r="C50" s="820">
        <f>Inputs!C227</f>
        <v>994</v>
      </c>
      <c r="D50" s="820">
        <f>Inputs!D227</f>
        <v>379</v>
      </c>
      <c r="E50" s="280">
        <f>IFERROR(C50/C$49,0)</f>
        <v>0.84451996601529311</v>
      </c>
      <c r="F50" s="281">
        <f>E50*C$48</f>
        <v>994</v>
      </c>
      <c r="G50" s="841">
        <f>Inputs!E227</f>
        <v>16.129200000000001</v>
      </c>
      <c r="H50" s="279">
        <f>G50*F50</f>
        <v>16032.424800000001</v>
      </c>
      <c r="I50" s="279">
        <f>H50*365</f>
        <v>5851835.0520000001</v>
      </c>
      <c r="J50" s="844">
        <f>Inputs!F227</f>
        <v>15.7835</v>
      </c>
      <c r="K50" s="141"/>
      <c r="L50" s="279">
        <f>(IFERROR(I50/J50,0))+Inputs!D236</f>
        <v>473997.48949852696</v>
      </c>
      <c r="M50" s="141"/>
      <c r="N50" s="846">
        <f>L50*'Emission Factors'!$D$131</f>
        <v>0.24595634930580662</v>
      </c>
      <c r="O50" s="847">
        <f>L50*'Emission Factors'!$E$131</f>
        <v>4161.6979577970669</v>
      </c>
      <c r="P50" s="848">
        <f>L50*'Emission Factors'!$F$131</f>
        <v>0.14857261709335529</v>
      </c>
      <c r="Q50" s="848">
        <f>(N50*'Emission Factors'!$B$126)+O50+(P50*'Emission Factors'!$C$126)</f>
        <v>4207.956479107369</v>
      </c>
    </row>
    <row r="51" spans="2:17" s="24" customFormat="1">
      <c r="B51" s="134" t="s">
        <v>137</v>
      </c>
      <c r="C51" s="820">
        <f>Inputs!C228</f>
        <v>74</v>
      </c>
      <c r="D51" s="820">
        <f>Inputs!D228</f>
        <v>14</v>
      </c>
      <c r="E51" s="280">
        <f t="shared" ref="E51:E53" si="6">IFERROR(C51/C$49,0)</f>
        <v>6.2871707731520815E-2</v>
      </c>
      <c r="F51" s="281">
        <f t="shared" ref="F51:F54" si="7">E51*C$48</f>
        <v>74</v>
      </c>
      <c r="G51" s="841">
        <f>Inputs!E228</f>
        <v>25.0322</v>
      </c>
      <c r="H51" s="279">
        <f>G51*F51</f>
        <v>1852.3827999999999</v>
      </c>
      <c r="I51" s="279">
        <f t="shared" ref="I51:I54" si="8">H51*365</f>
        <v>676119.72199999995</v>
      </c>
      <c r="J51" s="844">
        <f>Inputs!F228</f>
        <v>12.729799999999999</v>
      </c>
      <c r="K51" s="142"/>
      <c r="L51" s="279">
        <f>(IFERROR(I51/J51,0))+Inputs!D237</f>
        <v>86379.14568964162</v>
      </c>
      <c r="M51" s="142"/>
      <c r="N51" s="849">
        <f>L51*'Emission Factors'!$D$130</f>
        <v>5.2122126679732338E-2</v>
      </c>
      <c r="O51" s="850">
        <f>L51*'Emission Factors'!$E$130</f>
        <v>881.93107749124101</v>
      </c>
      <c r="P51" s="851">
        <f>L51*'Emission Factors'!$F$130</f>
        <v>3.1484939466437302E-2</v>
      </c>
      <c r="Q51" s="852">
        <f>(N51*'Emission Factors'!$B$126)+O51+(P51*'Emission Factors'!$C$126)</f>
        <v>891.73400599687943</v>
      </c>
    </row>
    <row r="52" spans="2:17" s="24" customFormat="1">
      <c r="B52" s="134" t="s">
        <v>138</v>
      </c>
      <c r="C52" s="820">
        <f>Inputs!C229</f>
        <v>100</v>
      </c>
      <c r="D52" s="820">
        <f>Inputs!D229</f>
        <v>30</v>
      </c>
      <c r="E52" s="280">
        <f t="shared" si="6"/>
        <v>8.4961767204757857E-2</v>
      </c>
      <c r="F52" s="281">
        <f t="shared" si="7"/>
        <v>100</v>
      </c>
      <c r="G52" s="841">
        <f>Inputs!E229</f>
        <v>22.949100000000001</v>
      </c>
      <c r="H52" s="279">
        <f>G52*F52</f>
        <v>2294.9100000000003</v>
      </c>
      <c r="I52" s="279">
        <f t="shared" si="8"/>
        <v>837642.15000000014</v>
      </c>
      <c r="J52" s="844">
        <f>Inputs!F229</f>
        <v>16.502300000000002</v>
      </c>
      <c r="K52" s="142"/>
      <c r="L52" s="279">
        <f t="shared" ref="L52:L53" si="9">IFERROR(I52/J52,0)</f>
        <v>50759.115396035704</v>
      </c>
      <c r="M52" s="142"/>
      <c r="N52" s="257">
        <f>L52*'Emission Factors'!$D$131</f>
        <v>2.6338803460772133E-2</v>
      </c>
      <c r="O52" s="279">
        <f>L52*'Emission Factors'!$E$131</f>
        <v>445.66503317719344</v>
      </c>
      <c r="P52" s="852">
        <f>L52*'Emission Factors'!$F$131</f>
        <v>1.5910241684425806E-2</v>
      </c>
      <c r="Q52" s="852">
        <f>(N52*'Emission Factors'!$B$126)+O52+(P52*'Emission Factors'!$C$126)</f>
        <v>450.6187337204679</v>
      </c>
    </row>
    <row r="53" spans="2:17" s="24" customFormat="1">
      <c r="B53" s="134" t="s">
        <v>139</v>
      </c>
      <c r="C53" s="820">
        <f>Inputs!C230</f>
        <v>8</v>
      </c>
      <c r="D53" s="820">
        <f>Inputs!D230</f>
        <v>2</v>
      </c>
      <c r="E53" s="280">
        <f t="shared" si="6"/>
        <v>6.7969413763806288E-3</v>
      </c>
      <c r="F53" s="281">
        <f t="shared" si="7"/>
        <v>8</v>
      </c>
      <c r="G53" s="841">
        <f>Inputs!E230</f>
        <v>27.451699999999999</v>
      </c>
      <c r="H53" s="279">
        <f>G53*F53</f>
        <v>219.61359999999999</v>
      </c>
      <c r="I53" s="279">
        <f t="shared" si="8"/>
        <v>80158.963999999993</v>
      </c>
      <c r="J53" s="844">
        <f>Inputs!F230</f>
        <v>28.1556</v>
      </c>
      <c r="K53" s="142"/>
      <c r="L53" s="279">
        <f t="shared" si="9"/>
        <v>2846.9989629061356</v>
      </c>
      <c r="M53" s="142"/>
      <c r="N53" s="257">
        <f>L53*'Emission Factors'!$D$130</f>
        <v>1.7179104912061541E-3</v>
      </c>
      <c r="O53" s="279">
        <f>L53*'Emission Factors'!$E$130</f>
        <v>29.067859411271645</v>
      </c>
      <c r="P53" s="852">
        <f>L53*'Emission Factors'!$F$130</f>
        <v>1.0377225809823976E-3</v>
      </c>
      <c r="Q53" s="852">
        <f>(N53*'Emission Factors'!$B$126)+O53+(P53*'Emission Factors'!$C$126)</f>
        <v>29.390957388985754</v>
      </c>
    </row>
    <row r="54" spans="2:17" s="24" customFormat="1" ht="13.5" thickBot="1">
      <c r="B54" s="135" t="s">
        <v>140</v>
      </c>
      <c r="C54" s="839">
        <f>Inputs!C231</f>
        <v>1</v>
      </c>
      <c r="D54" s="839">
        <f>Inputs!D231</f>
        <v>0</v>
      </c>
      <c r="E54" s="284">
        <f>IFERROR(C54/C$49,0)</f>
        <v>8.4961767204757861E-4</v>
      </c>
      <c r="F54" s="285">
        <f t="shared" si="7"/>
        <v>1</v>
      </c>
      <c r="G54" s="842">
        <f>Inputs!E231</f>
        <v>30.0168</v>
      </c>
      <c r="H54" s="283">
        <f>G54*F54</f>
        <v>30.0168</v>
      </c>
      <c r="I54" s="283">
        <f t="shared" si="8"/>
        <v>10956.132</v>
      </c>
      <c r="J54" s="845">
        <f>Inputs!F231</f>
        <v>0</v>
      </c>
      <c r="K54" s="254">
        <f>D71</f>
        <v>0.31857142857142856</v>
      </c>
      <c r="L54" s="254" t="s">
        <v>1468</v>
      </c>
      <c r="M54" s="286">
        <f>I54*K54</f>
        <v>3490.3106228571428</v>
      </c>
      <c r="N54" s="853">
        <f>M54*'Emission Factors'!$G$121</f>
        <v>6.7174596763098834E-5</v>
      </c>
      <c r="O54" s="854">
        <f>M54*'Emission Factors'!$H$121</f>
        <v>0.7759824108840726</v>
      </c>
      <c r="P54" s="855">
        <f>M54*'Emission Factors'!$I$121</f>
        <v>9.2654616224963896E-6</v>
      </c>
      <c r="Q54" s="1033">
        <f>(N54*'Emission Factors'!$B$126)+O54+(P54*'Emission Factors'!$C$126)</f>
        <v>0.78031864692340092</v>
      </c>
    </row>
    <row r="55" spans="2:17" s="24" customFormat="1" ht="54.75" customHeight="1" thickBot="1">
      <c r="B55" s="2319" t="s">
        <v>1456</v>
      </c>
      <c r="C55" s="1900"/>
      <c r="D55" s="1900"/>
      <c r="E55" s="1901"/>
    </row>
    <row r="56" spans="2:17" s="24" customFormat="1" ht="18.75" customHeight="1" thickBot="1">
      <c r="B56" s="1473"/>
      <c r="C56" s="1474"/>
      <c r="D56" s="1474"/>
      <c r="E56" s="1474"/>
    </row>
    <row r="57" spans="2:17" s="24" customFormat="1" ht="18.75" customHeight="1" thickBot="1">
      <c r="B57" s="2201" t="s">
        <v>1472</v>
      </c>
      <c r="C57" s="2202"/>
      <c r="D57" s="2202"/>
      <c r="E57" s="2202"/>
      <c r="F57" s="2202"/>
      <c r="G57" s="2203"/>
    </row>
    <row r="58" spans="2:17" s="24" customFormat="1" ht="48" customHeight="1">
      <c r="B58" s="1484" t="s">
        <v>1412</v>
      </c>
      <c r="C58" s="1485" t="s">
        <v>1413</v>
      </c>
      <c r="D58" s="1485" t="s">
        <v>1446</v>
      </c>
      <c r="E58" s="1485" t="s">
        <v>1447</v>
      </c>
      <c r="F58" s="1486" t="s">
        <v>1448</v>
      </c>
      <c r="G58" s="1260" t="s">
        <v>1466</v>
      </c>
    </row>
    <row r="59" spans="2:17" s="24" customFormat="1" ht="15" customHeight="1">
      <c r="B59" s="1475" t="s">
        <v>375</v>
      </c>
      <c r="C59" s="1477">
        <f>Inputs!D236</f>
        <v>103241</v>
      </c>
      <c r="D59" s="846">
        <f>C59*'Emission Factors'!$D$131</f>
        <v>5.3571548417999999E-2</v>
      </c>
      <c r="E59" s="847">
        <f>C59*'Emission Factors'!$E$131</f>
        <v>906.45597999999995</v>
      </c>
      <c r="F59" s="1483">
        <f>C59*'Emission Factors'!$F$131</f>
        <v>3.2360478485999995E-2</v>
      </c>
      <c r="G59" s="848">
        <f>(D59*'Emission Factors'!$B$126)+E59+(F59*'Emission Factors'!$C$126)</f>
        <v>916.53151015449396</v>
      </c>
    </row>
    <row r="60" spans="2:17" s="24" customFormat="1" ht="15" customHeight="1" thickBot="1">
      <c r="B60" s="1476" t="s">
        <v>373</v>
      </c>
      <c r="C60" s="1478">
        <f>Inputs!D237</f>
        <v>33266</v>
      </c>
      <c r="D60" s="1479">
        <f>C60*'Emission Factors'!$D$130</f>
        <v>2.0073070326E-2</v>
      </c>
      <c r="E60" s="1480">
        <f>C60*'Emission Factors'!$E$130</f>
        <v>339.64586000000003</v>
      </c>
      <c r="F60" s="1481">
        <f>C60*'Emission Factors'!$F$130</f>
        <v>1.2125357202E-2</v>
      </c>
      <c r="G60" s="1482">
        <f>(D60*'Emission Factors'!$B$126)+E60+(F60*'Emission Factors'!$C$126)</f>
        <v>343.42112562765806</v>
      </c>
    </row>
    <row r="61" spans="2:17" s="24" customFormat="1" ht="13.5" thickBot="1">
      <c r="J61" s="8"/>
    </row>
    <row r="62" spans="2:17" s="6" customFormat="1" ht="16.5" customHeight="1" thickBot="1">
      <c r="B62" s="1961" t="s">
        <v>9</v>
      </c>
      <c r="C62" s="2148"/>
      <c r="D62" s="2148"/>
      <c r="E62" s="2149"/>
      <c r="F62" s="24"/>
      <c r="G62" s="24"/>
      <c r="H62" s="24"/>
      <c r="I62" s="24"/>
      <c r="J62" s="24"/>
      <c r="K62" s="24"/>
      <c r="L62" s="24"/>
      <c r="M62" s="24"/>
      <c r="N62" s="24"/>
      <c r="O62" s="24"/>
      <c r="P62" s="24"/>
      <c r="Q62" s="24"/>
    </row>
    <row r="63" spans="2:17" s="6" customFormat="1" ht="30.75" customHeight="1">
      <c r="B63" s="1419" t="s">
        <v>389</v>
      </c>
      <c r="C63" s="1420" t="s">
        <v>390</v>
      </c>
      <c r="D63" s="1420" t="s">
        <v>391</v>
      </c>
      <c r="E63" s="1881" t="s">
        <v>1473</v>
      </c>
      <c r="F63" s="24"/>
      <c r="G63" s="24"/>
      <c r="H63" s="24"/>
      <c r="I63" s="24"/>
      <c r="J63" s="24"/>
      <c r="K63" s="24"/>
      <c r="L63" s="24"/>
      <c r="M63" s="24"/>
      <c r="N63" s="24"/>
      <c r="O63" s="24"/>
      <c r="P63" s="24"/>
      <c r="Q63" s="24"/>
    </row>
    <row r="64" spans="2:17" s="6" customFormat="1">
      <c r="B64" s="383" t="str">
        <f>'Adjust Inventory Year'!B100</f>
        <v>Nisan</v>
      </c>
      <c r="C64" s="495" t="str">
        <f>'Adjust Inventory Year'!C100</f>
        <v>Leaf</v>
      </c>
      <c r="D64" s="1597">
        <f>'Adjust Inventory Year'!D100</f>
        <v>0.3</v>
      </c>
      <c r="E64" s="539" t="s">
        <v>1474</v>
      </c>
      <c r="F64" s="24"/>
      <c r="G64" s="24"/>
      <c r="H64" s="24"/>
      <c r="I64" s="24"/>
      <c r="J64" s="24"/>
      <c r="K64" s="24"/>
      <c r="L64" s="24"/>
      <c r="M64" s="24"/>
      <c r="N64" s="24"/>
      <c r="O64" s="24"/>
      <c r="P64" s="24"/>
      <c r="Q64" s="24"/>
    </row>
    <row r="65" spans="2:19" s="24" customFormat="1">
      <c r="B65" s="383" t="str">
        <f>'Adjust Inventory Year'!B101</f>
        <v xml:space="preserve">Chevrolet </v>
      </c>
      <c r="C65" s="495" t="str">
        <f>'Adjust Inventory Year'!C101</f>
        <v>Bolt</v>
      </c>
      <c r="D65" s="1597">
        <f>'Adjust Inventory Year'!D101</f>
        <v>0.28000000000000003</v>
      </c>
      <c r="E65" s="540" t="s">
        <v>1474</v>
      </c>
    </row>
    <row r="66" spans="2:19" s="24" customFormat="1">
      <c r="B66" s="383" t="str">
        <f>'Adjust Inventory Year'!B102</f>
        <v>Audi</v>
      </c>
      <c r="C66" s="495" t="str">
        <f>'Adjust Inventory Year'!C102</f>
        <v>e-tron</v>
      </c>
      <c r="D66" s="1597">
        <f>'Adjust Inventory Year'!D102</f>
        <v>0.46</v>
      </c>
      <c r="E66" s="539" t="s">
        <v>1474</v>
      </c>
    </row>
    <row r="67" spans="2:19" s="24" customFormat="1">
      <c r="B67" s="383" t="str">
        <f>'Adjust Inventory Year'!B103</f>
        <v>Volkswagon</v>
      </c>
      <c r="C67" s="495" t="str">
        <f>'Adjust Inventory Year'!C103</f>
        <v>e-Golf</v>
      </c>
      <c r="D67" s="1597">
        <f>'Adjust Inventory Year'!D103</f>
        <v>0.28000000000000003</v>
      </c>
      <c r="E67" s="540" t="s">
        <v>1474</v>
      </c>
    </row>
    <row r="68" spans="2:19" s="24" customFormat="1">
      <c r="B68" s="383" t="str">
        <f>'Adjust Inventory Year'!B104</f>
        <v>Tesla</v>
      </c>
      <c r="C68" s="495" t="str">
        <f>'Adjust Inventory Year'!C104</f>
        <v>Model X</v>
      </c>
      <c r="D68" s="1597">
        <f>'Adjust Inventory Year'!D104</f>
        <v>0.35</v>
      </c>
      <c r="E68" s="540" t="s">
        <v>1474</v>
      </c>
    </row>
    <row r="69" spans="2:19" s="6" customFormat="1">
      <c r="B69" s="383" t="str">
        <f>'Adjust Inventory Year'!B105</f>
        <v>Tesla</v>
      </c>
      <c r="C69" s="495" t="str">
        <f>'Adjust Inventory Year'!C105</f>
        <v>Model 3</v>
      </c>
      <c r="D69" s="1597">
        <f>'Adjust Inventory Year'!D105</f>
        <v>0.26</v>
      </c>
      <c r="E69" s="540" t="s">
        <v>1474</v>
      </c>
      <c r="F69" s="24"/>
      <c r="G69" s="24"/>
      <c r="H69" s="24"/>
      <c r="I69" s="24"/>
      <c r="J69" s="24"/>
      <c r="K69" s="24"/>
      <c r="L69" s="24"/>
      <c r="M69" s="24"/>
      <c r="N69" s="24"/>
      <c r="O69" s="24"/>
      <c r="P69" s="24"/>
      <c r="Q69" s="24"/>
      <c r="R69" s="24"/>
      <c r="S69" s="24"/>
    </row>
    <row r="70" spans="2:19" s="6" customFormat="1" ht="13.5" thickBot="1">
      <c r="B70" s="383" t="str">
        <f>'Adjust Inventory Year'!B106</f>
        <v>Tesla</v>
      </c>
      <c r="C70" s="495" t="str">
        <f>'Adjust Inventory Year'!C106</f>
        <v>Model S</v>
      </c>
      <c r="D70" s="1597">
        <f>'Adjust Inventory Year'!D106</f>
        <v>0.3</v>
      </c>
      <c r="E70" s="540" t="s">
        <v>1474</v>
      </c>
      <c r="F70" s="24"/>
      <c r="G70" s="24"/>
      <c r="H70" s="24"/>
      <c r="I70" s="24"/>
      <c r="J70" s="24"/>
      <c r="K70" s="24"/>
      <c r="L70" s="24"/>
      <c r="M70" s="24"/>
      <c r="N70" s="24"/>
      <c r="O70" s="24"/>
      <c r="P70" s="24"/>
      <c r="Q70" s="24"/>
      <c r="R70" s="24"/>
      <c r="S70" s="24"/>
    </row>
    <row r="71" spans="2:19" s="6" customFormat="1" ht="13.5" thickBot="1">
      <c r="B71" s="2320" t="s">
        <v>1475</v>
      </c>
      <c r="C71" s="2321"/>
      <c r="D71" s="162">
        <f>AVERAGE(D64:D70)</f>
        <v>0.31857142857142856</v>
      </c>
      <c r="E71" s="163"/>
      <c r="F71" s="24"/>
      <c r="G71" s="24"/>
      <c r="H71" s="24"/>
      <c r="I71" s="24"/>
      <c r="J71" s="24"/>
      <c r="K71" s="24"/>
      <c r="L71" s="24"/>
      <c r="M71" s="24"/>
      <c r="N71" s="24"/>
      <c r="O71" s="24"/>
      <c r="P71" s="24"/>
      <c r="Q71" s="24"/>
      <c r="R71" s="24"/>
      <c r="S71" s="24"/>
    </row>
    <row r="72" spans="2:19" s="6" customFormat="1" ht="41.25" customHeight="1" thickBot="1">
      <c r="B72" s="2194" t="s">
        <v>1476</v>
      </c>
      <c r="C72" s="2195"/>
      <c r="D72" s="2195"/>
      <c r="E72" s="1958"/>
      <c r="F72" s="24"/>
      <c r="G72" s="24"/>
      <c r="H72" s="24"/>
      <c r="I72" s="24"/>
      <c r="J72" s="24"/>
      <c r="K72" s="24"/>
      <c r="L72" s="24"/>
      <c r="M72" s="24"/>
      <c r="N72" s="24"/>
      <c r="O72" s="24"/>
      <c r="P72" s="24"/>
      <c r="Q72" s="24"/>
      <c r="R72" s="24"/>
      <c r="S72" s="24"/>
    </row>
    <row r="73" spans="2:19" s="24" customFormat="1" ht="13.5" thickBot="1"/>
    <row r="74" spans="2:19" s="6" customFormat="1" ht="14.25" customHeight="1" thickBot="1">
      <c r="B74" s="2122" t="s">
        <v>1477</v>
      </c>
      <c r="C74" s="2123"/>
      <c r="D74" s="2123"/>
      <c r="E74" s="2123"/>
      <c r="F74" s="2123"/>
      <c r="G74" s="2123"/>
      <c r="H74" s="2123"/>
      <c r="I74" s="2123"/>
      <c r="J74" s="2123"/>
      <c r="K74" s="2123"/>
      <c r="L74" s="2123"/>
      <c r="M74" s="2123"/>
      <c r="N74" s="2123"/>
      <c r="O74" s="2123"/>
      <c r="P74" s="2123"/>
      <c r="Q74" s="2123"/>
      <c r="R74" s="2123"/>
      <c r="S74" s="2128"/>
    </row>
    <row r="75" spans="2:19" s="6" customFormat="1" ht="15.75" customHeight="1" thickBot="1">
      <c r="B75" s="2253" t="s">
        <v>1478</v>
      </c>
      <c r="C75" s="2308"/>
      <c r="D75" s="2308"/>
      <c r="E75" s="2309"/>
      <c r="F75" s="2253" t="s">
        <v>1479</v>
      </c>
      <c r="G75" s="2308"/>
      <c r="H75" s="2308"/>
      <c r="I75" s="2308"/>
      <c r="J75" s="2309"/>
      <c r="K75" s="2253" t="s">
        <v>1480</v>
      </c>
      <c r="L75" s="2308"/>
      <c r="M75" s="2309"/>
      <c r="N75" s="2253" t="s">
        <v>1481</v>
      </c>
      <c r="O75" s="2254"/>
      <c r="P75" s="2254"/>
      <c r="Q75" s="2254"/>
      <c r="R75" s="2254"/>
      <c r="S75" s="2255"/>
    </row>
    <row r="76" spans="2:19" s="6" customFormat="1" ht="73.5" customHeight="1" thickBot="1">
      <c r="B76" s="101" t="s">
        <v>1482</v>
      </c>
      <c r="C76" s="102" t="s">
        <v>158</v>
      </c>
      <c r="D76" s="102" t="s">
        <v>1483</v>
      </c>
      <c r="E76" s="104" t="s">
        <v>1484</v>
      </c>
      <c r="F76" s="101" t="s">
        <v>1485</v>
      </c>
      <c r="G76" s="103" t="s">
        <v>175</v>
      </c>
      <c r="H76" s="251" t="s">
        <v>1486</v>
      </c>
      <c r="I76" s="251" t="s">
        <v>1487</v>
      </c>
      <c r="J76" s="104" t="s">
        <v>1488</v>
      </c>
      <c r="K76" s="102" t="s">
        <v>156</v>
      </c>
      <c r="L76" s="251" t="s">
        <v>176</v>
      </c>
      <c r="M76" s="104" t="s">
        <v>1489</v>
      </c>
      <c r="N76" s="101" t="s">
        <v>1490</v>
      </c>
      <c r="O76" s="102" t="s">
        <v>1491</v>
      </c>
      <c r="P76" s="103" t="s">
        <v>177</v>
      </c>
      <c r="Q76" s="251" t="s">
        <v>987</v>
      </c>
      <c r="R76" s="251" t="s">
        <v>988</v>
      </c>
      <c r="S76" s="104" t="s">
        <v>989</v>
      </c>
    </row>
    <row r="77" spans="2:19" s="24" customFormat="1">
      <c r="B77" s="960" t="s">
        <v>1492</v>
      </c>
      <c r="C77" s="1088">
        <f>Inputs!G242</f>
        <v>1019693.24894229</v>
      </c>
      <c r="D77" s="961">
        <f>Inputs!C242</f>
        <v>0</v>
      </c>
      <c r="E77" s="962">
        <f>(D77/C77)</f>
        <v>0</v>
      </c>
      <c r="F77" s="1092">
        <f>Inputs!D242</f>
        <v>176435.485681791</v>
      </c>
      <c r="G77" s="279">
        <f>F77*E77</f>
        <v>0</v>
      </c>
      <c r="H77" s="992">
        <f>G77*'Emission Factors'!$D$130</f>
        <v>0</v>
      </c>
      <c r="I77" s="990">
        <f>G77*'Emission Factors'!$E$130</f>
        <v>0</v>
      </c>
      <c r="J77" s="852">
        <f>G77*'Emission Factors'!$F$130</f>
        <v>0</v>
      </c>
      <c r="K77" s="963"/>
      <c r="L77" s="964"/>
      <c r="M77" s="965"/>
      <c r="N77" s="1093">
        <f>Inputs!F242</f>
        <v>4828.9972650347199</v>
      </c>
      <c r="O77" s="1365">
        <f>N77*1000</f>
        <v>4828997.2650347203</v>
      </c>
      <c r="P77" s="966">
        <f>O77*E77</f>
        <v>0</v>
      </c>
      <c r="Q77" s="967">
        <f>P77*'Emission Factors'!$G$43</f>
        <v>0</v>
      </c>
      <c r="R77" s="968">
        <f>P77*'Emission Factors'!$H$43</f>
        <v>0</v>
      </c>
      <c r="S77" s="969">
        <f>P77*'Emission Factors'!$I$43</f>
        <v>0</v>
      </c>
    </row>
    <row r="78" spans="2:19" s="6" customFormat="1">
      <c r="B78" s="476" t="s">
        <v>160</v>
      </c>
      <c r="C78" s="1089">
        <f>Inputs!G243</f>
        <v>592315</v>
      </c>
      <c r="D78" s="970">
        <f>Inputs!C243</f>
        <v>0</v>
      </c>
      <c r="E78" s="971">
        <f>D78/C78</f>
        <v>0</v>
      </c>
      <c r="F78" s="972"/>
      <c r="G78" s="973"/>
      <c r="H78" s="974"/>
      <c r="I78" s="974"/>
      <c r="J78" s="975"/>
      <c r="K78" s="976"/>
      <c r="L78" s="977"/>
      <c r="M78" s="978"/>
      <c r="N78" s="1092">
        <f>Inputs!F243</f>
        <v>8050.7800929865898</v>
      </c>
      <c r="O78" s="1366">
        <f>N78*1000</f>
        <v>8050780.0929865902</v>
      </c>
      <c r="P78" s="279">
        <f>O78*E78</f>
        <v>0</v>
      </c>
      <c r="Q78" s="979">
        <f>P78*'Emission Factors'!$G$43</f>
        <v>0</v>
      </c>
      <c r="R78" s="303">
        <f>P78*'Emission Factors'!$H$43</f>
        <v>0</v>
      </c>
      <c r="S78" s="980">
        <f>P78*'Emission Factors'!$I$43</f>
        <v>0</v>
      </c>
    </row>
    <row r="79" spans="2:19" s="6" customFormat="1" ht="13.5" thickBot="1">
      <c r="B79" s="981" t="s">
        <v>161</v>
      </c>
      <c r="C79" s="1090">
        <f>Inputs!G244</f>
        <v>21427919.751057699</v>
      </c>
      <c r="D79" s="982">
        <f>Inputs!C244</f>
        <v>0</v>
      </c>
      <c r="E79" s="983">
        <f>D79/C79</f>
        <v>0</v>
      </c>
      <c r="F79" s="1091">
        <f>Inputs!D244</f>
        <v>5690208.5143182101</v>
      </c>
      <c r="G79" s="283">
        <f>F79*E79</f>
        <v>0</v>
      </c>
      <c r="H79" s="991">
        <f>G79*'Emission Factors'!$D$130</f>
        <v>0</v>
      </c>
      <c r="I79" s="984">
        <f>G79*'Emission Factors'!$E$130</f>
        <v>0</v>
      </c>
      <c r="J79" s="993">
        <f>G79*'Emission Factors'!$F$130</f>
        <v>0</v>
      </c>
      <c r="K79" s="1091">
        <f>Inputs!E244</f>
        <v>290151</v>
      </c>
      <c r="L79" s="283">
        <f>K79*E79</f>
        <v>0</v>
      </c>
      <c r="M79" s="985">
        <f>L79*'Emission Factors'!$E$132</f>
        <v>0</v>
      </c>
      <c r="N79" s="986"/>
      <c r="O79" s="1364"/>
      <c r="P79" s="987"/>
      <c r="Q79" s="987"/>
      <c r="R79" s="987"/>
      <c r="S79" s="988"/>
    </row>
    <row r="80" spans="2:19" s="6" customFormat="1" ht="33" customHeight="1" thickBot="1">
      <c r="B80" s="2310" t="s">
        <v>1493</v>
      </c>
      <c r="C80" s="2311"/>
      <c r="D80" s="2311"/>
      <c r="E80" s="2312"/>
      <c r="F80" s="146"/>
      <c r="G80" s="24"/>
      <c r="H80" s="45"/>
      <c r="I80" s="45"/>
      <c r="J80" s="45"/>
      <c r="K80" s="45"/>
      <c r="L80" s="45"/>
      <c r="M80" s="45"/>
      <c r="N80" s="45"/>
      <c r="O80" s="24"/>
      <c r="P80" s="24"/>
      <c r="Q80" s="24"/>
      <c r="R80" s="24"/>
      <c r="S80" s="24"/>
    </row>
    <row r="81" spans="2:16" s="6" customFormat="1" ht="13.5" thickBot="1">
      <c r="B81" s="147"/>
      <c r="C81" s="147"/>
      <c r="D81" s="147"/>
      <c r="E81" s="147"/>
      <c r="F81" s="25"/>
      <c r="G81" s="24"/>
      <c r="H81" s="24"/>
      <c r="I81" s="45"/>
      <c r="J81" s="45"/>
      <c r="K81" s="45"/>
      <c r="L81" s="45"/>
      <c r="M81" s="45"/>
      <c r="N81" s="24"/>
      <c r="O81" s="24"/>
      <c r="P81" s="24"/>
    </row>
    <row r="82" spans="2:16" s="24" customFormat="1" ht="24" customHeight="1" thickBot="1">
      <c r="B82" s="2322" t="s">
        <v>1494</v>
      </c>
      <c r="C82" s="2323"/>
      <c r="D82" s="2323"/>
      <c r="E82" s="2323"/>
      <c r="F82" s="2323"/>
      <c r="G82" s="2323"/>
      <c r="H82" s="2323"/>
      <c r="I82" s="2323"/>
      <c r="J82" s="2323"/>
      <c r="K82" s="2323"/>
      <c r="L82" s="2323"/>
      <c r="M82" s="2323"/>
      <c r="N82" s="2323"/>
      <c r="O82" s="2323"/>
      <c r="P82" s="2324"/>
    </row>
    <row r="83" spans="2:16" s="24" customFormat="1" ht="14.25">
      <c r="B83" s="1878" t="s">
        <v>1478</v>
      </c>
      <c r="C83" s="2325" t="s">
        <v>1495</v>
      </c>
      <c r="D83" s="2326"/>
      <c r="E83" s="2326"/>
      <c r="F83" s="2327"/>
      <c r="G83" s="2313" t="s">
        <v>1479</v>
      </c>
      <c r="H83" s="2328"/>
      <c r="I83" s="2328"/>
      <c r="J83" s="2329"/>
      <c r="K83" s="2315" t="s">
        <v>1480</v>
      </c>
      <c r="L83" s="2316"/>
      <c r="M83" s="2313" t="s">
        <v>1481</v>
      </c>
      <c r="N83" s="2314"/>
      <c r="O83" s="2314"/>
      <c r="P83" s="1927"/>
    </row>
    <row r="84" spans="2:16" s="24" customFormat="1" ht="51">
      <c r="B84" s="1001" t="s">
        <v>1482</v>
      </c>
      <c r="C84" s="997" t="s">
        <v>174</v>
      </c>
      <c r="D84" s="998" t="s">
        <v>1496</v>
      </c>
      <c r="E84" s="998" t="s">
        <v>1497</v>
      </c>
      <c r="F84" s="999" t="s">
        <v>1498</v>
      </c>
      <c r="G84" s="997" t="s">
        <v>175</v>
      </c>
      <c r="H84" s="998" t="s">
        <v>1486</v>
      </c>
      <c r="I84" s="998" t="s">
        <v>1487</v>
      </c>
      <c r="J84" s="999" t="s">
        <v>1488</v>
      </c>
      <c r="K84" s="1002" t="s">
        <v>176</v>
      </c>
      <c r="L84" s="1000" t="s">
        <v>1489</v>
      </c>
      <c r="M84" s="997" t="s">
        <v>1499</v>
      </c>
      <c r="N84" s="998" t="s">
        <v>987</v>
      </c>
      <c r="O84" s="998" t="s">
        <v>988</v>
      </c>
      <c r="P84" s="999" t="s">
        <v>989</v>
      </c>
    </row>
    <row r="85" spans="2:16" s="24" customFormat="1">
      <c r="B85" s="1007" t="s">
        <v>1500</v>
      </c>
      <c r="C85" s="1008">
        <f>Inputs!C260</f>
        <v>0</v>
      </c>
      <c r="D85" s="1343">
        <f>C85*'Emission Factors'!$D$131</f>
        <v>0</v>
      </c>
      <c r="E85" s="1340">
        <f>C85*'Emission Factors'!$E$131</f>
        <v>0</v>
      </c>
      <c r="F85" s="1345">
        <f>C85*'Emission Factors'!$F$131</f>
        <v>0</v>
      </c>
      <c r="G85" s="1008">
        <f>Inputs!D260</f>
        <v>33536</v>
      </c>
      <c r="H85" s="846">
        <f>G85*'Emission Factors'!$D$130</f>
        <v>2.0235991296000001E-2</v>
      </c>
      <c r="I85" s="847">
        <f>G85*'Emission Factors'!$E$130</f>
        <v>342.40255999999999</v>
      </c>
      <c r="J85" s="848">
        <f>G85*'Emission Factors'!$F$130</f>
        <v>1.2223771392E-2</v>
      </c>
      <c r="K85" s="1009">
        <f>Inputs!E260</f>
        <v>0</v>
      </c>
      <c r="L85" s="1010">
        <f>K85*'Emission Factors'!$E$132</f>
        <v>0</v>
      </c>
      <c r="M85" s="1008">
        <f>Inputs!F260</f>
        <v>0</v>
      </c>
      <c r="N85" s="1011">
        <f>M85*'Emission Factors'!$G$43</f>
        <v>0</v>
      </c>
      <c r="O85" s="386">
        <f>M85*'Emission Factors'!$H$43</f>
        <v>0</v>
      </c>
      <c r="P85" s="1012">
        <f>M85*'Emission Factors'!$I$43</f>
        <v>0</v>
      </c>
    </row>
    <row r="86" spans="2:16" s="24" customFormat="1">
      <c r="B86" s="995" t="s">
        <v>1501</v>
      </c>
      <c r="C86" s="994">
        <f>Inputs!C261</f>
        <v>37973</v>
      </c>
      <c r="D86" s="1344">
        <f>C86*'Emission Factors'!$D$131</f>
        <v>1.9704113754E-2</v>
      </c>
      <c r="E86" s="1341">
        <f>C86*'Emission Factors'!$E$131</f>
        <v>333.40294</v>
      </c>
      <c r="F86" s="1346">
        <f>C86*'Emission Factors'!$F$131</f>
        <v>1.1902484958E-2</v>
      </c>
      <c r="G86" s="994">
        <f>Inputs!D261</f>
        <v>0</v>
      </c>
      <c r="H86" s="257">
        <f>G86*'Emission Factors'!$D$130</f>
        <v>0</v>
      </c>
      <c r="I86" s="279">
        <f>G86*'Emission Factors'!$E$130</f>
        <v>0</v>
      </c>
      <c r="J86" s="852">
        <f>G86*'Emission Factors'!$F$130</f>
        <v>0</v>
      </c>
      <c r="K86" s="1013">
        <f>Inputs!E261</f>
        <v>0</v>
      </c>
      <c r="L86" s="990">
        <f>K86*'Emission Factors'!$E$132</f>
        <v>0</v>
      </c>
      <c r="M86" s="994">
        <f>Inputs!F261</f>
        <v>0</v>
      </c>
      <c r="N86" s="979">
        <f>M86*'Emission Factors'!$G$43</f>
        <v>0</v>
      </c>
      <c r="O86" s="303">
        <f>M86*'Emission Factors'!$H$43</f>
        <v>0</v>
      </c>
      <c r="P86" s="980">
        <f>M86*'Emission Factors'!$I$43</f>
        <v>0</v>
      </c>
    </row>
    <row r="87" spans="2:16" s="24" customFormat="1">
      <c r="B87" s="1014" t="s">
        <v>1502</v>
      </c>
      <c r="C87" s="994">
        <f>Inputs!C262</f>
        <v>2141</v>
      </c>
      <c r="D87" s="1344">
        <f>C87*'Emission Factors'!$D$131</f>
        <v>1.1109606179999999E-3</v>
      </c>
      <c r="E87" s="1342">
        <f>C87*'Emission Factors'!$E$131</f>
        <v>18.797979999999999</v>
      </c>
      <c r="F87" s="1347">
        <f>C87*'Emission Factors'!$F$131</f>
        <v>6.7108788599999994E-4</v>
      </c>
      <c r="G87" s="1015">
        <f>Inputs!D262</f>
        <v>0</v>
      </c>
      <c r="H87" s="1016">
        <f>G87*'Emission Factors'!$D$130</f>
        <v>0</v>
      </c>
      <c r="I87" s="1017">
        <f>G87*'Emission Factors'!$E$130</f>
        <v>0</v>
      </c>
      <c r="J87" s="1018">
        <f>G87*'Emission Factors'!$F$130</f>
        <v>0</v>
      </c>
      <c r="K87" s="1019">
        <f>Inputs!E262</f>
        <v>0</v>
      </c>
      <c r="L87" s="1020">
        <f>K87*'Emission Factors'!$E$132</f>
        <v>0</v>
      </c>
      <c r="M87" s="1015">
        <f>Inputs!F262</f>
        <v>0</v>
      </c>
      <c r="N87" s="1021">
        <f>M87*'Emission Factors'!$G$43</f>
        <v>0</v>
      </c>
      <c r="O87" s="1022">
        <f>M87*'Emission Factors'!$H$43</f>
        <v>0</v>
      </c>
      <c r="P87" s="1023">
        <f>M87*'Emission Factors'!$I$43</f>
        <v>0</v>
      </c>
    </row>
    <row r="88" spans="2:16" s="24" customFormat="1">
      <c r="B88" s="1014" t="s">
        <v>1503</v>
      </c>
      <c r="C88" s="994">
        <f>Inputs!C267</f>
        <v>0</v>
      </c>
      <c r="D88" s="1344">
        <f>C88*'Emission Factors'!$D$131</f>
        <v>0</v>
      </c>
      <c r="E88" s="1342">
        <f>C88*'Emission Factors'!$E$131</f>
        <v>0</v>
      </c>
      <c r="F88" s="1347">
        <f>C88*'Emission Factors'!$F$131</f>
        <v>0</v>
      </c>
      <c r="G88" s="1015">
        <f>Inputs!D267</f>
        <v>0</v>
      </c>
      <c r="H88" s="1016">
        <f>G88*'Emission Factors'!$D$130</f>
        <v>0</v>
      </c>
      <c r="I88" s="1017">
        <f>G88*'Emission Factors'!$E$130</f>
        <v>0</v>
      </c>
      <c r="J88" s="1018">
        <f>G88*'Emission Factors'!$F$130</f>
        <v>0</v>
      </c>
      <c r="K88" s="1019">
        <f>Inputs!E267</f>
        <v>0</v>
      </c>
      <c r="L88" s="1020">
        <f>K88*'Emission Factors'!$E$132</f>
        <v>0</v>
      </c>
      <c r="M88" s="1015">
        <f>Inputs!F267</f>
        <v>0</v>
      </c>
      <c r="N88" s="1021">
        <f>M88*'Emission Factors'!$G$43</f>
        <v>0</v>
      </c>
      <c r="O88" s="1022">
        <f>M88*'Emission Factors'!$H$43</f>
        <v>0</v>
      </c>
      <c r="P88" s="1023">
        <f>M88*'Emission Factors'!$I$43</f>
        <v>0</v>
      </c>
    </row>
    <row r="89" spans="2:16" s="24" customFormat="1" ht="13.5" thickBot="1">
      <c r="B89" s="1003" t="s">
        <v>1504</v>
      </c>
      <c r="C89" s="1004">
        <f t="shared" ref="C89:H89" si="10">SUM(C85:C88)</f>
        <v>40114</v>
      </c>
      <c r="D89" s="1747">
        <f t="shared" si="10"/>
        <v>2.0815074372E-2</v>
      </c>
      <c r="E89" s="1748">
        <f t="shared" si="10"/>
        <v>352.20092</v>
      </c>
      <c r="F89" s="1749">
        <f t="shared" si="10"/>
        <v>1.2573572844E-2</v>
      </c>
      <c r="G89" s="1004">
        <f t="shared" si="10"/>
        <v>33536</v>
      </c>
      <c r="H89" s="1750">
        <f t="shared" si="10"/>
        <v>2.0235991296000001E-2</v>
      </c>
      <c r="I89" s="1750">
        <f t="shared" ref="I89:J89" si="11">SUM(I85:I88)</f>
        <v>342.40255999999999</v>
      </c>
      <c r="J89" s="1750">
        <f t="shared" si="11"/>
        <v>1.2223771392E-2</v>
      </c>
      <c r="K89" s="1005">
        <f t="shared" ref="K89:P89" si="12">SUM(K85:K88)</f>
        <v>0</v>
      </c>
      <c r="L89" s="1006">
        <f t="shared" si="12"/>
        <v>0</v>
      </c>
      <c r="M89" s="1004">
        <f t="shared" si="12"/>
        <v>0</v>
      </c>
      <c r="N89" s="1750">
        <f t="shared" si="12"/>
        <v>0</v>
      </c>
      <c r="O89" s="1750">
        <f t="shared" si="12"/>
        <v>0</v>
      </c>
      <c r="P89" s="1751">
        <f t="shared" si="12"/>
        <v>0</v>
      </c>
    </row>
    <row r="90" spans="2:16" s="24" customFormat="1" ht="108" customHeight="1" thickBot="1">
      <c r="B90" s="1945" t="s">
        <v>1505</v>
      </c>
      <c r="C90" s="2195"/>
      <c r="D90" s="2195"/>
      <c r="E90" s="1958"/>
      <c r="F90" s="45"/>
      <c r="G90" s="45"/>
      <c r="H90" s="45"/>
    </row>
    <row r="91" spans="2:16" s="24" customFormat="1" ht="13.5" thickBot="1">
      <c r="B91" s="25"/>
      <c r="C91" s="25"/>
      <c r="D91" s="25"/>
      <c r="E91" s="25"/>
      <c r="F91" s="25"/>
      <c r="J91" s="45"/>
      <c r="K91" s="45"/>
      <c r="L91" s="45"/>
      <c r="M91" s="45"/>
      <c r="N91" s="45"/>
    </row>
    <row r="92" spans="2:16" s="6" customFormat="1" ht="14.25" customHeight="1" thickBot="1">
      <c r="B92" s="1905" t="s">
        <v>1506</v>
      </c>
      <c r="C92" s="2114"/>
      <c r="D92" s="2114"/>
      <c r="E92" s="2114"/>
      <c r="F92" s="2114"/>
      <c r="G92" s="2114"/>
      <c r="H92" s="2114"/>
      <c r="I92" s="2142"/>
      <c r="J92" s="24"/>
      <c r="K92" s="24"/>
      <c r="L92" s="24"/>
      <c r="M92" s="24"/>
      <c r="N92" s="24"/>
      <c r="O92" s="24"/>
      <c r="P92" s="24"/>
    </row>
    <row r="93" spans="2:16" s="6" customFormat="1" ht="48.75" customHeight="1">
      <c r="B93" s="1874" t="s">
        <v>1507</v>
      </c>
      <c r="C93" s="75" t="s">
        <v>1508</v>
      </c>
      <c r="D93" s="75" t="s">
        <v>1509</v>
      </c>
      <c r="E93" s="75" t="s">
        <v>1225</v>
      </c>
      <c r="F93" s="1470" t="s">
        <v>1446</v>
      </c>
      <c r="G93" s="1470" t="s">
        <v>1447</v>
      </c>
      <c r="H93" s="1470" t="s">
        <v>1448</v>
      </c>
      <c r="I93" s="1881" t="s">
        <v>1466</v>
      </c>
      <c r="J93" s="24"/>
      <c r="K93" s="24"/>
      <c r="L93" s="24"/>
      <c r="M93" s="24"/>
      <c r="N93" s="24"/>
      <c r="O93" s="24"/>
      <c r="P93" s="24"/>
    </row>
    <row r="94" spans="2:16" s="24" customFormat="1">
      <c r="B94" s="383" t="s">
        <v>1492</v>
      </c>
      <c r="C94" s="384">
        <f>P77</f>
        <v>0</v>
      </c>
      <c r="D94" s="382">
        <f>'Stationary Energy - Buildings'!F211</f>
        <v>4.8792838761801183E-2</v>
      </c>
      <c r="E94" s="406">
        <f>D94*C94</f>
        <v>0</v>
      </c>
      <c r="F94" s="915">
        <f>E94*'Emission Factors'!$G$43</f>
        <v>0</v>
      </c>
      <c r="G94" s="916">
        <f>E94*'Emission Factors'!$H$43</f>
        <v>0</v>
      </c>
      <c r="H94" s="1468">
        <f>E94*'Emission Factors'!$I$43</f>
        <v>0</v>
      </c>
      <c r="I94" s="1471">
        <f>(F94*'Emission Factors'!$B$126)+G94+(H94*'Emission Factors'!$C$126)</f>
        <v>0</v>
      </c>
    </row>
    <row r="95" spans="2:16" s="24" customFormat="1">
      <c r="B95" s="383" t="s">
        <v>160</v>
      </c>
      <c r="C95" s="384">
        <f>P78</f>
        <v>0</v>
      </c>
      <c r="D95" s="382">
        <f>'Stationary Energy - Buildings'!F211</f>
        <v>4.8792838761801183E-2</v>
      </c>
      <c r="E95" s="406">
        <f t="shared" ref="E95" si="13">D95*C95</f>
        <v>0</v>
      </c>
      <c r="F95" s="915">
        <f>E95*'Emission Factors'!$G$43</f>
        <v>0</v>
      </c>
      <c r="G95" s="916">
        <f>E95*'Emission Factors'!$H$43</f>
        <v>0</v>
      </c>
      <c r="H95" s="1468">
        <f>E95*'Emission Factors'!$I$43</f>
        <v>0</v>
      </c>
      <c r="I95" s="1471">
        <f>(F95*'Emission Factors'!$B$126)+G95+(H95*'Emission Factors'!$C$126)</f>
        <v>0</v>
      </c>
    </row>
    <row r="96" spans="2:16" s="6" customFormat="1">
      <c r="B96" s="383" t="s">
        <v>1510</v>
      </c>
      <c r="C96" s="384">
        <f>M43</f>
        <v>14630.460553571429</v>
      </c>
      <c r="D96" s="382">
        <f>'Stationary Energy - Buildings'!F211</f>
        <v>4.8792838761801183E-2</v>
      </c>
      <c r="E96" s="406">
        <f t="shared" ref="E96:E97" si="14">D96*C96</f>
        <v>713.86170280130318</v>
      </c>
      <c r="F96" s="1467">
        <f>E96*'Emission Factors'!$G$43</f>
        <v>1.387702993237137E-5</v>
      </c>
      <c r="G96" s="916">
        <f>E96*'Emission Factors'!$H$43</f>
        <v>0.16030362163256581</v>
      </c>
      <c r="H96" s="1468">
        <f>E96*'Emission Factors'!$I$43</f>
        <v>1.9140730941201894E-6</v>
      </c>
      <c r="I96" s="1471">
        <f>(F96*'Emission Factors'!$B$126)+G96+(H96*'Emission Factors'!$C$126)</f>
        <v>0.16119940784061407</v>
      </c>
      <c r="J96" s="24"/>
      <c r="K96" s="24"/>
      <c r="L96" s="24"/>
      <c r="M96" s="24"/>
      <c r="N96" s="24"/>
      <c r="O96" s="24"/>
      <c r="P96" s="24"/>
    </row>
    <row r="97" spans="2:9" s="24" customFormat="1" ht="13.5" thickBot="1">
      <c r="B97" s="1465" t="s">
        <v>1511</v>
      </c>
      <c r="C97" s="1466">
        <f>M54</f>
        <v>3490.3106228571428</v>
      </c>
      <c r="D97" s="382">
        <f>'Stationary Energy - Buildings'!F211</f>
        <v>4.8792838761801183E-2</v>
      </c>
      <c r="E97" s="406">
        <f t="shared" si="14"/>
        <v>170.30216344967042</v>
      </c>
      <c r="F97" s="1467">
        <f>E97*'Emission Factors'!$G$43</f>
        <v>3.3105687144509518E-6</v>
      </c>
      <c r="G97" s="916">
        <f>E97*'Emission Factors'!$H$43</f>
        <v>3.8242776529002376E-2</v>
      </c>
      <c r="H97" s="1468">
        <f>E97*'Emission Factors'!$I$43</f>
        <v>4.5663016751047621E-7</v>
      </c>
      <c r="I97" s="1719">
        <f>(F97*'Emission Factors'!$B$126)+G97+(H97*'Emission Factors'!$C$126)</f>
        <v>3.8456479447397281E-2</v>
      </c>
    </row>
    <row r="98" spans="2:9" s="24" customFormat="1" ht="13.5" thickBot="1">
      <c r="B98" s="124" t="s">
        <v>1512</v>
      </c>
      <c r="C98" s="408">
        <f>SUM(C94:C97)</f>
        <v>18120.77117642857</v>
      </c>
      <c r="D98" s="409">
        <f>'Stationary Energy - Buildings'!F211</f>
        <v>4.8792838761801183E-2</v>
      </c>
      <c r="E98" s="408">
        <f>SUM(E94:E97)</f>
        <v>884.16386625097357</v>
      </c>
      <c r="F98" s="410">
        <f>SUM(F94:F97)</f>
        <v>1.7187598646822323E-5</v>
      </c>
      <c r="G98" s="410">
        <f>SUM(G94:G97)</f>
        <v>0.19854639816156819</v>
      </c>
      <c r="H98" s="1469">
        <f>SUM(H94:H97)</f>
        <v>2.3707032616306655E-6</v>
      </c>
      <c r="I98" s="1472">
        <f>SUM(I94:I97)</f>
        <v>0.19965588728801134</v>
      </c>
    </row>
    <row r="99" spans="2:9" s="24" customFormat="1" ht="44.25" customHeight="1" thickBot="1">
      <c r="B99" s="2317" t="s">
        <v>1513</v>
      </c>
      <c r="C99" s="2223"/>
      <c r="D99" s="2223"/>
      <c r="E99" s="2318"/>
      <c r="F99" s="159" t="s">
        <v>1514</v>
      </c>
    </row>
    <row r="100" spans="2:9" s="6" customFormat="1">
      <c r="B100" s="24"/>
      <c r="C100" s="24"/>
      <c r="D100" s="24"/>
      <c r="E100" s="24"/>
      <c r="F100" s="24"/>
      <c r="G100" s="24"/>
      <c r="H100" s="24"/>
      <c r="I100" s="24"/>
    </row>
    <row r="101" spans="2:9" s="6" customFormat="1" ht="16.5" customHeight="1">
      <c r="B101" s="24"/>
      <c r="C101" s="24"/>
      <c r="D101" s="24"/>
      <c r="E101" s="24"/>
      <c r="F101" s="24"/>
      <c r="G101" s="24"/>
      <c r="H101" s="24"/>
      <c r="I101" s="24"/>
    </row>
    <row r="102" spans="2:9" s="6" customFormat="1" ht="63.75" customHeight="1">
      <c r="B102" s="24"/>
      <c r="C102" s="24"/>
      <c r="D102" s="24"/>
      <c r="E102" s="24"/>
      <c r="F102" s="24"/>
      <c r="G102" s="24"/>
      <c r="H102" s="24"/>
      <c r="I102" s="24"/>
    </row>
    <row r="103" spans="2:9" s="6" customFormat="1">
      <c r="B103" s="24"/>
      <c r="C103" s="24"/>
      <c r="D103" s="24"/>
      <c r="E103" s="24"/>
      <c r="F103" s="24"/>
      <c r="G103" s="24"/>
      <c r="H103" s="24"/>
      <c r="I103" s="24"/>
    </row>
    <row r="104" spans="2:9" s="6" customFormat="1">
      <c r="B104" s="24"/>
      <c r="C104" s="24"/>
      <c r="D104" s="24"/>
      <c r="E104" s="24"/>
      <c r="F104" s="24"/>
      <c r="G104" s="24"/>
      <c r="H104" s="24"/>
      <c r="I104" s="24"/>
    </row>
    <row r="105" spans="2:9" s="6" customFormat="1">
      <c r="B105" s="24"/>
      <c r="C105" s="24"/>
      <c r="D105" s="24"/>
      <c r="E105" s="24"/>
      <c r="F105" s="24"/>
      <c r="G105" s="24"/>
      <c r="H105" s="24"/>
      <c r="I105" s="24"/>
    </row>
    <row r="106" spans="2:9" s="6" customFormat="1">
      <c r="B106" s="24"/>
      <c r="C106" s="24"/>
      <c r="D106" s="24"/>
      <c r="E106" s="24"/>
      <c r="F106" s="24"/>
      <c r="G106" s="24"/>
      <c r="H106" s="24"/>
      <c r="I106" s="24"/>
    </row>
    <row r="107" spans="2:9" s="6" customFormat="1">
      <c r="B107" s="24"/>
      <c r="C107" s="24"/>
      <c r="D107" s="24"/>
      <c r="E107" s="24"/>
      <c r="F107" s="24"/>
      <c r="G107" s="24"/>
      <c r="H107" s="24"/>
      <c r="I107" s="24"/>
    </row>
    <row r="108" spans="2:9" s="6" customFormat="1">
      <c r="B108" s="24"/>
      <c r="C108" s="24"/>
      <c r="D108" s="24"/>
      <c r="E108" s="24"/>
      <c r="F108" s="24"/>
      <c r="G108" s="24"/>
      <c r="H108" s="24"/>
      <c r="I108" s="24"/>
    </row>
    <row r="109" spans="2:9" s="6" customFormat="1">
      <c r="B109" s="24"/>
      <c r="C109" s="24"/>
      <c r="D109" s="24"/>
      <c r="E109" s="24"/>
      <c r="F109" s="24"/>
      <c r="G109" s="24"/>
      <c r="H109" s="24"/>
      <c r="I109" s="24"/>
    </row>
    <row r="110" spans="2:9" s="6" customFormat="1">
      <c r="B110" s="24"/>
      <c r="C110" s="24"/>
      <c r="D110" s="24"/>
      <c r="E110" s="24"/>
      <c r="F110" s="24"/>
      <c r="G110" s="24"/>
      <c r="H110" s="24"/>
      <c r="I110" s="24"/>
    </row>
    <row r="111" spans="2:9" s="6" customFormat="1">
      <c r="B111" s="24"/>
      <c r="C111" s="24"/>
      <c r="D111" s="24"/>
      <c r="E111" s="24"/>
      <c r="F111" s="24"/>
      <c r="G111" s="24"/>
      <c r="H111" s="24"/>
      <c r="I111" s="24"/>
    </row>
    <row r="112" spans="2:9" s="6" customFormat="1">
      <c r="B112" s="24"/>
      <c r="C112" s="24"/>
      <c r="D112" s="24"/>
      <c r="E112" s="24"/>
      <c r="F112" s="24"/>
      <c r="G112" s="24"/>
      <c r="H112" s="24"/>
      <c r="I112" s="24"/>
    </row>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pans="2:5" s="6" customFormat="1">
      <c r="B561" s="24"/>
      <c r="C561" s="24"/>
      <c r="D561" s="24"/>
      <c r="E561" s="24"/>
    </row>
    <row r="562" spans="2:5" s="6" customFormat="1">
      <c r="B562" s="24"/>
      <c r="C562" s="24"/>
      <c r="D562" s="24"/>
      <c r="E562" s="24"/>
    </row>
    <row r="563" spans="2:5" s="6" customFormat="1">
      <c r="B563" s="24"/>
      <c r="C563" s="24"/>
      <c r="D563" s="24"/>
      <c r="E563" s="24"/>
    </row>
    <row r="564" spans="2:5" s="6" customFormat="1">
      <c r="B564" s="24"/>
      <c r="C564" s="24"/>
      <c r="D564" s="24"/>
      <c r="E564" s="24"/>
    </row>
    <row r="565" spans="2:5" s="6" customFormat="1">
      <c r="B565" s="24"/>
      <c r="C565" s="24"/>
      <c r="D565" s="24"/>
      <c r="E565" s="24"/>
    </row>
    <row r="566" spans="2:5" s="6" customFormat="1">
      <c r="B566" s="24"/>
      <c r="C566" s="24"/>
      <c r="D566" s="24"/>
      <c r="E566" s="24"/>
    </row>
    <row r="567" spans="2:5" s="6" customFormat="1">
      <c r="B567" s="24"/>
      <c r="C567" s="24"/>
      <c r="D567" s="24"/>
      <c r="E567" s="24"/>
    </row>
    <row r="568" spans="2:5" s="6" customFormat="1">
      <c r="B568" s="24"/>
      <c r="C568" s="24"/>
      <c r="D568" s="24"/>
      <c r="E568" s="24"/>
    </row>
    <row r="569" spans="2:5" s="6" customFormat="1">
      <c r="B569" s="24"/>
      <c r="C569" s="24"/>
      <c r="D569" s="24"/>
      <c r="E569" s="24"/>
    </row>
    <row r="570" spans="2:5" s="6" customFormat="1">
      <c r="B570" s="24"/>
      <c r="C570" s="24"/>
      <c r="D570" s="24"/>
      <c r="E570" s="24"/>
    </row>
    <row r="571" spans="2:5" s="6" customFormat="1">
      <c r="B571" s="24"/>
      <c r="C571" s="24"/>
      <c r="D571" s="24"/>
      <c r="E571" s="24"/>
    </row>
    <row r="572" spans="2:5" s="6" customFormat="1">
      <c r="B572" s="24"/>
      <c r="C572" s="24"/>
      <c r="D572" s="24"/>
      <c r="E572" s="24"/>
    </row>
    <row r="573" spans="2:5" s="6" customFormat="1">
      <c r="B573" s="23"/>
      <c r="C573" s="23"/>
      <c r="D573" s="23"/>
      <c r="E573" s="23"/>
    </row>
  </sheetData>
  <mergeCells count="33">
    <mergeCell ref="B99:E99"/>
    <mergeCell ref="F75:J75"/>
    <mergeCell ref="B55:E55"/>
    <mergeCell ref="B72:E72"/>
    <mergeCell ref="B71:C71"/>
    <mergeCell ref="B62:E62"/>
    <mergeCell ref="B82:P82"/>
    <mergeCell ref="C83:F83"/>
    <mergeCell ref="N75:S75"/>
    <mergeCell ref="B74:S74"/>
    <mergeCell ref="B90:E90"/>
    <mergeCell ref="G83:J83"/>
    <mergeCell ref="B46:Q46"/>
    <mergeCell ref="B92:I92"/>
    <mergeCell ref="B57:G57"/>
    <mergeCell ref="K75:M75"/>
    <mergeCell ref="B80:E80"/>
    <mergeCell ref="B75:E75"/>
    <mergeCell ref="M83:P83"/>
    <mergeCell ref="K83:L83"/>
    <mergeCell ref="B2:E2"/>
    <mergeCell ref="B6:E6"/>
    <mergeCell ref="C3:E3"/>
    <mergeCell ref="C4:E4"/>
    <mergeCell ref="B7:E7"/>
    <mergeCell ref="A8:F8"/>
    <mergeCell ref="B44:E44"/>
    <mergeCell ref="B33:E33"/>
    <mergeCell ref="B9:H9"/>
    <mergeCell ref="B17:D17"/>
    <mergeCell ref="B25:I25"/>
    <mergeCell ref="B35:Q35"/>
    <mergeCell ref="B19:M19"/>
  </mergeCells>
  <phoneticPr fontId="0" type="noConversion"/>
  <hyperlinks>
    <hyperlink ref="F99" r:id="rId1" xr:uid="{00000000-0004-0000-0D00-000000000000}"/>
    <hyperlink ref="E67" r:id="rId2" xr:uid="{00000000-0004-0000-0D00-000001000000}"/>
    <hyperlink ref="E66" r:id="rId3" xr:uid="{00000000-0004-0000-0D00-000002000000}"/>
    <hyperlink ref="E68" r:id="rId4" xr:uid="{00000000-0004-0000-0D00-000003000000}"/>
    <hyperlink ref="E69" r:id="rId5" xr:uid="{00000000-0004-0000-0D00-000004000000}"/>
    <hyperlink ref="E70" r:id="rId6" xr:uid="{00000000-0004-0000-0D00-000005000000}"/>
    <hyperlink ref="E65" r:id="rId7" xr:uid="{00000000-0004-0000-0D00-000006000000}"/>
    <hyperlink ref="E64" r:id="rId8" xr:uid="{00000000-0004-0000-0D00-000007000000}"/>
  </hyperlinks>
  <pageMargins left="0.75" right="0.75" top="1" bottom="1" header="0.5" footer="0.5"/>
  <pageSetup orientation="portrait" r:id="rId9"/>
  <headerFooter alignWithMargins="0"/>
  <ignoredErrors>
    <ignoredError sqref="D98 N40:P40 N51:P51 N52:P52" formula="1"/>
  </ignoredErrors>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W203"/>
  <sheetViews>
    <sheetView showGridLines="0" zoomScaleNormal="100" workbookViewId="0">
      <selection activeCell="D24" sqref="D24"/>
    </sheetView>
  </sheetViews>
  <sheetFormatPr defaultRowHeight="12.75"/>
  <cols>
    <col min="1" max="1" width="2.85546875" style="24" customWidth="1"/>
    <col min="2" max="2" width="29.28515625" style="23" customWidth="1"/>
    <col min="3" max="3" width="25.28515625" style="23" customWidth="1"/>
    <col min="4" max="4" width="15.140625" style="23" customWidth="1"/>
    <col min="5" max="5" width="13.28515625" style="23" customWidth="1"/>
    <col min="6" max="6" width="15" style="2" customWidth="1"/>
    <col min="7" max="7" width="15.28515625" style="24" customWidth="1"/>
    <col min="8" max="8" width="14" style="24" customWidth="1"/>
    <col min="9" max="9" width="14.28515625" style="24" customWidth="1"/>
    <col min="10" max="16" width="15.28515625" style="24" customWidth="1"/>
    <col min="17" max="17" width="9.140625" style="24"/>
    <col min="18" max="18" width="10" style="24" bestFit="1" customWidth="1"/>
    <col min="19" max="49" width="9.140625" style="24"/>
    <col min="50" max="16384" width="9.140625" style="23"/>
  </cols>
  <sheetData>
    <row r="1" spans="2:16" ht="13.5" thickBot="1">
      <c r="B1" s="45"/>
      <c r="C1" s="45"/>
      <c r="D1" s="45"/>
      <c r="E1" s="45"/>
      <c r="F1" s="45"/>
      <c r="G1" s="45"/>
      <c r="H1" s="45"/>
    </row>
    <row r="2" spans="2:16" ht="20.25" customHeight="1" thickBot="1">
      <c r="B2" s="2244" t="s">
        <v>1515</v>
      </c>
      <c r="C2" s="2339"/>
      <c r="D2" s="2339"/>
      <c r="E2" s="1909"/>
      <c r="F2" s="45"/>
      <c r="G2" s="45"/>
      <c r="H2" s="45"/>
    </row>
    <row r="3" spans="2:16">
      <c r="B3" s="165" t="s">
        <v>430</v>
      </c>
      <c r="C3" s="2182" t="s">
        <v>442</v>
      </c>
      <c r="D3" s="2231"/>
      <c r="E3" s="2232"/>
      <c r="F3" s="45"/>
      <c r="G3" s="45"/>
      <c r="H3" s="45"/>
    </row>
    <row r="4" spans="2:16" ht="13.5" thickBot="1">
      <c r="B4" s="166" t="s">
        <v>1281</v>
      </c>
      <c r="C4" s="2233" t="s">
        <v>474</v>
      </c>
      <c r="D4" s="2048"/>
      <c r="E4" s="2049"/>
      <c r="F4" s="45"/>
      <c r="G4" s="45"/>
      <c r="H4" s="45"/>
    </row>
    <row r="5" spans="2:16" ht="13.5" thickBot="1">
      <c r="B5" s="1875"/>
      <c r="C5" s="1875"/>
      <c r="D5" s="1875"/>
      <c r="E5" s="1875"/>
      <c r="F5" s="45"/>
      <c r="G5" s="45"/>
      <c r="H5" s="45"/>
    </row>
    <row r="6" spans="2:16" ht="15.75" customHeight="1" thickBot="1">
      <c r="B6" s="1936" t="s">
        <v>434</v>
      </c>
      <c r="C6" s="1937"/>
      <c r="D6" s="1937"/>
      <c r="E6" s="1937"/>
      <c r="F6" s="1937"/>
      <c r="G6" s="1938"/>
      <c r="H6" s="45"/>
    </row>
    <row r="7" spans="2:16" ht="58.5" customHeight="1" thickBot="1">
      <c r="B7" s="2250" t="s">
        <v>1516</v>
      </c>
      <c r="C7" s="2251"/>
      <c r="D7" s="2251"/>
      <c r="E7" s="2251"/>
      <c r="F7" s="2251"/>
      <c r="G7" s="2252"/>
      <c r="H7" s="45"/>
      <c r="K7" s="45"/>
    </row>
    <row r="8" spans="2:16" s="24" customFormat="1" ht="13.5" thickBot="1">
      <c r="B8" s="1875"/>
      <c r="C8" s="1875"/>
      <c r="D8" s="1875"/>
      <c r="E8" s="1875"/>
      <c r="F8" s="1875"/>
      <c r="G8" s="1875"/>
      <c r="H8" s="1875"/>
      <c r="I8" s="1875"/>
      <c r="J8" s="1875"/>
      <c r="K8" s="1875"/>
    </row>
    <row r="9" spans="2:16" s="24" customFormat="1" ht="16.5" customHeight="1" thickBot="1">
      <c r="B9" s="1936" t="s">
        <v>1517</v>
      </c>
      <c r="C9" s="1908"/>
      <c r="D9" s="1908"/>
      <c r="E9" s="1908"/>
      <c r="F9" s="1908"/>
      <c r="G9" s="1909"/>
      <c r="H9" s="1875"/>
      <c r="I9" s="1875"/>
      <c r="J9" s="1875"/>
    </row>
    <row r="10" spans="2:16" s="24" customFormat="1" ht="43.5" customHeight="1">
      <c r="B10" s="1419" t="s">
        <v>287</v>
      </c>
      <c r="C10" s="91" t="s">
        <v>1518</v>
      </c>
      <c r="D10" s="92" t="s">
        <v>986</v>
      </c>
      <c r="E10" s="298" t="s">
        <v>1414</v>
      </c>
      <c r="F10" s="298" t="s">
        <v>1415</v>
      </c>
      <c r="G10" s="296" t="s">
        <v>1416</v>
      </c>
      <c r="H10" s="1875"/>
      <c r="I10" s="1875"/>
      <c r="J10" s="1875"/>
      <c r="K10" s="1875"/>
      <c r="L10" s="1875"/>
    </row>
    <row r="11" spans="2:16" s="24" customFormat="1">
      <c r="B11" s="1582" t="s">
        <v>373</v>
      </c>
      <c r="C11" s="1598">
        <f>'Transportation - Rail'!G25</f>
        <v>0</v>
      </c>
      <c r="D11" s="1599"/>
      <c r="E11" s="1600">
        <f>H25</f>
        <v>0</v>
      </c>
      <c r="F11" s="1601">
        <f t="shared" ref="F11:G11" si="0">I25</f>
        <v>0</v>
      </c>
      <c r="G11" s="1602">
        <f t="shared" si="0"/>
        <v>0</v>
      </c>
      <c r="H11" s="1875"/>
      <c r="I11" s="1875"/>
      <c r="J11" s="1875"/>
      <c r="K11" s="1875"/>
      <c r="L11" s="1875"/>
    </row>
    <row r="12" spans="2:16" s="24" customFormat="1">
      <c r="B12" s="301" t="s">
        <v>467</v>
      </c>
      <c r="C12" s="1216"/>
      <c r="D12" s="1217">
        <f>'Transportation - Rail'!M25</f>
        <v>0</v>
      </c>
      <c r="E12" s="1218">
        <f>N25</f>
        <v>0</v>
      </c>
      <c r="F12" s="1219">
        <f>O25</f>
        <v>0</v>
      </c>
      <c r="G12" s="1220">
        <f>P25</f>
        <v>0</v>
      </c>
      <c r="H12" s="1875"/>
      <c r="I12" s="1875"/>
      <c r="J12" s="1875"/>
      <c r="K12" s="1875"/>
      <c r="L12" s="1875"/>
    </row>
    <row r="13" spans="2:16" s="24" customFormat="1" ht="13.5" thickBot="1">
      <c r="B13" s="399" t="s">
        <v>1432</v>
      </c>
      <c r="C13" s="1752"/>
      <c r="D13" s="1603">
        <f>E34</f>
        <v>0</v>
      </c>
      <c r="E13" s="1604">
        <f>F34</f>
        <v>0</v>
      </c>
      <c r="F13" s="1605">
        <f t="shared" ref="F13:G13" si="1">G34</f>
        <v>0</v>
      </c>
      <c r="G13" s="1753">
        <f t="shared" si="1"/>
        <v>0</v>
      </c>
      <c r="H13" s="1875"/>
      <c r="I13" s="1875"/>
      <c r="J13" s="1875"/>
      <c r="K13" s="1875"/>
      <c r="L13" s="1875"/>
    </row>
    <row r="14" spans="2:16" s="24" customFormat="1" ht="13.5" thickBot="1">
      <c r="B14" s="2330" t="s">
        <v>1519</v>
      </c>
      <c r="C14" s="2331"/>
      <c r="D14" s="2332"/>
      <c r="E14" s="1221">
        <f>SUM(E11:E13)</f>
        <v>0</v>
      </c>
      <c r="F14" s="1222">
        <f>SUM(F11:F13)</f>
        <v>0</v>
      </c>
      <c r="G14" s="1223">
        <f>SUM(G11:G13)</f>
        <v>0</v>
      </c>
      <c r="H14" s="1875"/>
      <c r="I14" s="1875"/>
      <c r="J14" s="1875"/>
      <c r="K14" s="1875"/>
      <c r="L14" s="1875"/>
    </row>
    <row r="15" spans="2:16" s="24" customFormat="1" ht="13.5" thickBot="1">
      <c r="B15" s="1875"/>
      <c r="C15" s="1875"/>
      <c r="D15" s="1875"/>
      <c r="E15" s="1875"/>
      <c r="F15" s="1875"/>
      <c r="G15" s="1875"/>
      <c r="H15" s="1875"/>
      <c r="I15" s="1875"/>
      <c r="J15" s="1875"/>
      <c r="K15" s="1875"/>
      <c r="L15" s="1875"/>
    </row>
    <row r="16" spans="2:16" s="24" customFormat="1" ht="17.25" customHeight="1" thickBot="1">
      <c r="B16" s="2122" t="s">
        <v>1520</v>
      </c>
      <c r="C16" s="2123"/>
      <c r="D16" s="2123"/>
      <c r="E16" s="2123"/>
      <c r="F16" s="2123"/>
      <c r="G16" s="2123"/>
      <c r="H16" s="2123"/>
      <c r="I16" s="2123"/>
      <c r="J16" s="2123"/>
      <c r="K16" s="2123"/>
      <c r="L16" s="2123"/>
      <c r="M16" s="2123"/>
      <c r="N16" s="2123"/>
      <c r="O16" s="2123"/>
      <c r="P16" s="2128"/>
    </row>
    <row r="17" spans="2:16" s="24" customFormat="1" ht="15.75" customHeight="1" thickBot="1">
      <c r="B17" s="2253" t="s">
        <v>1478</v>
      </c>
      <c r="C17" s="2339"/>
      <c r="D17" s="2339"/>
      <c r="E17" s="2340"/>
      <c r="F17" s="2253" t="s">
        <v>1479</v>
      </c>
      <c r="G17" s="2339"/>
      <c r="H17" s="2339"/>
      <c r="I17" s="2339"/>
      <c r="J17" s="2340"/>
      <c r="K17" s="2253" t="s">
        <v>1481</v>
      </c>
      <c r="L17" s="2254"/>
      <c r="M17" s="2254"/>
      <c r="N17" s="2254"/>
      <c r="O17" s="2254"/>
      <c r="P17" s="2255"/>
    </row>
    <row r="18" spans="2:16" s="24" customFormat="1" ht="89.25" customHeight="1" thickBot="1">
      <c r="B18" s="101" t="s">
        <v>1482</v>
      </c>
      <c r="C18" s="103" t="s">
        <v>1521</v>
      </c>
      <c r="D18" s="103" t="s">
        <v>1522</v>
      </c>
      <c r="E18" s="104" t="s">
        <v>1523</v>
      </c>
      <c r="F18" s="101" t="s">
        <v>1524</v>
      </c>
      <c r="G18" s="103" t="s">
        <v>1525</v>
      </c>
      <c r="H18" s="251" t="s">
        <v>1526</v>
      </c>
      <c r="I18" s="251" t="s">
        <v>1527</v>
      </c>
      <c r="J18" s="251" t="s">
        <v>1528</v>
      </c>
      <c r="K18" s="101" t="s">
        <v>1529</v>
      </c>
      <c r="L18" s="102" t="s">
        <v>1530</v>
      </c>
      <c r="M18" s="103" t="s">
        <v>177</v>
      </c>
      <c r="N18" s="251" t="s">
        <v>1531</v>
      </c>
      <c r="O18" s="251" t="s">
        <v>1532</v>
      </c>
      <c r="P18" s="104" t="s">
        <v>1533</v>
      </c>
    </row>
    <row r="19" spans="2:16" s="24" customFormat="1">
      <c r="B19" s="925" t="s">
        <v>165</v>
      </c>
      <c r="C19" s="1083">
        <f>Inputs!F249</f>
        <v>4245716.4537748201</v>
      </c>
      <c r="D19" s="926">
        <f>Inputs!C249</f>
        <v>0</v>
      </c>
      <c r="E19" s="927">
        <f>D19/C19</f>
        <v>0</v>
      </c>
      <c r="F19" s="1076"/>
      <c r="G19" s="1077"/>
      <c r="H19" s="1078"/>
      <c r="I19" s="1078"/>
      <c r="J19" s="1078"/>
      <c r="K19" s="1086">
        <f>Inputs!E249</f>
        <v>57708.026145743301</v>
      </c>
      <c r="L19" s="1327">
        <f>K19*1000</f>
        <v>57708026.145743303</v>
      </c>
      <c r="M19" s="400">
        <f>L19*E19</f>
        <v>0</v>
      </c>
      <c r="N19" s="857">
        <f>M19*'Emission Factors'!$G$43</f>
        <v>0</v>
      </c>
      <c r="O19" s="400">
        <f>M19*'Emission Factors'!$H$43</f>
        <v>0</v>
      </c>
      <c r="P19" s="858">
        <f>M19*'Emission Factors'!$I$43</f>
        <v>0</v>
      </c>
    </row>
    <row r="20" spans="2:16" s="24" customFormat="1">
      <c r="B20" s="449" t="s">
        <v>166</v>
      </c>
      <c r="C20" s="1084">
        <f>Inputs!F250</f>
        <v>6624421.0730052097</v>
      </c>
      <c r="D20" s="929">
        <f>Inputs!C250</f>
        <v>0</v>
      </c>
      <c r="E20" s="930">
        <f t="shared" ref="E20:E23" si="2">D20/C20</f>
        <v>0</v>
      </c>
      <c r="F20" s="1079"/>
      <c r="G20" s="1080"/>
      <c r="H20" s="1081"/>
      <c r="I20" s="1081"/>
      <c r="J20" s="1081"/>
      <c r="K20" s="1087">
        <f>Inputs!E250</f>
        <v>90039.518334182401</v>
      </c>
      <c r="L20" s="1328">
        <f t="shared" ref="L20:L23" si="3">K20*1000</f>
        <v>90039518.334182397</v>
      </c>
      <c r="M20" s="928">
        <f>L20*E20</f>
        <v>0</v>
      </c>
      <c r="N20" s="931">
        <f>M20*'Emission Factors'!$G$43</f>
        <v>0</v>
      </c>
      <c r="O20" s="928">
        <f>M20*'Emission Factors'!$H$43</f>
        <v>0</v>
      </c>
      <c r="P20" s="932">
        <f>M20*'Emission Factors'!$I$43</f>
        <v>0</v>
      </c>
    </row>
    <row r="21" spans="2:16" s="24" customFormat="1">
      <c r="B21" s="449" t="s">
        <v>167</v>
      </c>
      <c r="C21" s="1084">
        <f>Inputs!F251</f>
        <v>12918243.47322</v>
      </c>
      <c r="D21" s="929">
        <f>Inputs!C251</f>
        <v>0</v>
      </c>
      <c r="E21" s="930">
        <f t="shared" si="2"/>
        <v>0</v>
      </c>
      <c r="F21" s="1079"/>
      <c r="G21" s="1080"/>
      <c r="H21" s="1081"/>
      <c r="I21" s="1081"/>
      <c r="J21" s="1081"/>
      <c r="K21" s="1087">
        <f>Inputs!E251</f>
        <v>175585.520188672</v>
      </c>
      <c r="L21" s="1328">
        <f t="shared" si="3"/>
        <v>175585520.18867201</v>
      </c>
      <c r="M21" s="928">
        <f>L21*E21</f>
        <v>0</v>
      </c>
      <c r="N21" s="931">
        <f>M21*'Emission Factors'!$G$43</f>
        <v>0</v>
      </c>
      <c r="O21" s="928">
        <f>M21*'Emission Factors'!$H$43</f>
        <v>0</v>
      </c>
      <c r="P21" s="932">
        <f>M21*'Emission Factors'!$I$43</f>
        <v>0</v>
      </c>
    </row>
    <row r="22" spans="2:16" s="24" customFormat="1">
      <c r="B22" s="449" t="s">
        <v>168</v>
      </c>
      <c r="C22" s="1084">
        <f>Inputs!F252</f>
        <v>5543667.6776665403</v>
      </c>
      <c r="D22" s="929">
        <f>Inputs!C252</f>
        <v>0</v>
      </c>
      <c r="E22" s="930">
        <f t="shared" si="2"/>
        <v>0</v>
      </c>
      <c r="F22" s="1079"/>
      <c r="G22" s="1080"/>
      <c r="H22" s="1081"/>
      <c r="I22" s="1081"/>
      <c r="J22" s="1081"/>
      <c r="K22" s="1087">
        <f>Inputs!E252</f>
        <v>75349.855028981096</v>
      </c>
      <c r="L22" s="1328">
        <f t="shared" si="3"/>
        <v>75349855.02898109</v>
      </c>
      <c r="M22" s="928">
        <f>L22*E22</f>
        <v>0</v>
      </c>
      <c r="N22" s="931">
        <f>M22*'Emission Factors'!$G$43</f>
        <v>0</v>
      </c>
      <c r="O22" s="928">
        <f>M22*'Emission Factors'!$H$43</f>
        <v>0</v>
      </c>
      <c r="P22" s="932">
        <f>M22*'Emission Factors'!$I$43</f>
        <v>0</v>
      </c>
    </row>
    <row r="23" spans="2:16" s="24" customFormat="1">
      <c r="B23" s="1321" t="s">
        <v>169</v>
      </c>
      <c r="C23" s="1322">
        <f>Inputs!F253</f>
        <v>492074</v>
      </c>
      <c r="D23" s="1323">
        <f>Inputs!C253</f>
        <v>0</v>
      </c>
      <c r="E23" s="930">
        <f t="shared" si="2"/>
        <v>0</v>
      </c>
      <c r="F23" s="1324"/>
      <c r="G23" s="1325"/>
      <c r="H23" s="1326"/>
      <c r="I23" s="1326"/>
      <c r="J23" s="1326"/>
      <c r="K23" s="1087">
        <f>Inputs!E253</f>
        <v>6688</v>
      </c>
      <c r="L23" s="1328">
        <f t="shared" si="3"/>
        <v>6688000</v>
      </c>
      <c r="M23" s="928">
        <f>L23*E23</f>
        <v>0</v>
      </c>
      <c r="N23" s="931">
        <f>M23*'Emission Factors'!$G$43</f>
        <v>0</v>
      </c>
      <c r="O23" s="928">
        <f>M23*'Emission Factors'!$H$43</f>
        <v>0</v>
      </c>
      <c r="P23" s="932">
        <f>M23*'Emission Factors'!$I$43</f>
        <v>0</v>
      </c>
    </row>
    <row r="24" spans="2:16" s="24" customFormat="1" ht="13.5" thickBot="1">
      <c r="B24" s="924" t="s">
        <v>170</v>
      </c>
      <c r="C24" s="1754">
        <f>Inputs!F254</f>
        <v>24503024</v>
      </c>
      <c r="D24" s="1755">
        <f>Inputs!C254</f>
        <v>0</v>
      </c>
      <c r="E24" s="1756">
        <f>D24/C24</f>
        <v>0</v>
      </c>
      <c r="F24" s="1085">
        <f>Inputs!D254</f>
        <v>24503024</v>
      </c>
      <c r="G24" s="1757">
        <f>F24*E24</f>
        <v>0</v>
      </c>
      <c r="H24" s="1606">
        <f>$G$24*'Emission Factors'!D130</f>
        <v>0</v>
      </c>
      <c r="I24" s="1607">
        <f>$G$24*'Emission Factors'!E130</f>
        <v>0</v>
      </c>
      <c r="J24" s="1606">
        <f>$G$24*'Emission Factors'!F130</f>
        <v>0</v>
      </c>
      <c r="K24" s="1082"/>
      <c r="L24" s="1348"/>
      <c r="M24" s="1758"/>
      <c r="N24" s="1758"/>
      <c r="O24" s="1758"/>
      <c r="P24" s="1759"/>
    </row>
    <row r="25" spans="2:16" s="24" customFormat="1" ht="13.5" thickBot="1">
      <c r="B25" s="2333" t="s">
        <v>1534</v>
      </c>
      <c r="C25" s="2334"/>
      <c r="D25" s="2334"/>
      <c r="E25" s="2335"/>
      <c r="F25" s="156">
        <f>SUM(F19:F24)</f>
        <v>24503024</v>
      </c>
      <c r="G25" s="157">
        <f t="shared" ref="G25:J25" si="4">SUM(G19:G24)</f>
        <v>0</v>
      </c>
      <c r="H25" s="299">
        <f t="shared" si="4"/>
        <v>0</v>
      </c>
      <c r="I25" s="157">
        <f t="shared" si="4"/>
        <v>0</v>
      </c>
      <c r="J25" s="299">
        <f t="shared" si="4"/>
        <v>0</v>
      </c>
      <c r="K25" s="156">
        <f>SUM(K19:K24)</f>
        <v>405370.91969757882</v>
      </c>
      <c r="L25" s="1349">
        <f>SUM(L19:L24)</f>
        <v>405370919.69757879</v>
      </c>
      <c r="M25" s="157">
        <f>SUM(M19:M24)</f>
        <v>0</v>
      </c>
      <c r="N25" s="266">
        <f>SUM(N19:N22)</f>
        <v>0</v>
      </c>
      <c r="O25" s="265">
        <f>SUM(O19:O22)</f>
        <v>0</v>
      </c>
      <c r="P25" s="267">
        <f>SUM(P19:P22)</f>
        <v>0</v>
      </c>
    </row>
    <row r="26" spans="2:16" s="24" customFormat="1" ht="33" customHeight="1" thickBot="1">
      <c r="B26" s="2336" t="s">
        <v>1535</v>
      </c>
      <c r="C26" s="2337"/>
      <c r="D26" s="2337"/>
      <c r="E26" s="2338"/>
      <c r="J26" s="45"/>
      <c r="K26" s="45"/>
      <c r="L26" s="45"/>
      <c r="M26" s="45"/>
      <c r="N26" s="45"/>
    </row>
    <row r="27" spans="2:16" s="24" customFormat="1" ht="13.5" thickBot="1">
      <c r="J27" s="45"/>
      <c r="K27" s="45"/>
      <c r="L27" s="45"/>
      <c r="M27" s="45"/>
      <c r="N27" s="45"/>
    </row>
    <row r="28" spans="2:16" s="24" customFormat="1" ht="16.5" customHeight="1" thickBot="1">
      <c r="B28" s="1905" t="s">
        <v>1536</v>
      </c>
      <c r="C28" s="1906"/>
      <c r="D28" s="1906"/>
      <c r="E28" s="1906"/>
      <c r="F28" s="1908"/>
      <c r="G28" s="1908"/>
      <c r="H28" s="1909"/>
      <c r="I28" s="45"/>
      <c r="J28" s="45"/>
      <c r="K28" s="45"/>
      <c r="L28" s="45"/>
    </row>
    <row r="29" spans="2:16" s="24" customFormat="1" ht="38.25">
      <c r="B29" s="1419" t="s">
        <v>1537</v>
      </c>
      <c r="C29" s="1420" t="s">
        <v>1224</v>
      </c>
      <c r="D29" s="1420" t="s">
        <v>1538</v>
      </c>
      <c r="E29" s="1420" t="s">
        <v>1225</v>
      </c>
      <c r="F29" s="1420" t="s">
        <v>1539</v>
      </c>
      <c r="G29" s="1420" t="s">
        <v>1540</v>
      </c>
      <c r="H29" s="1881" t="s">
        <v>1541</v>
      </c>
      <c r="I29" s="45"/>
      <c r="J29" s="45"/>
      <c r="K29" s="45"/>
      <c r="L29" s="45"/>
      <c r="M29" s="45"/>
      <c r="N29" s="45"/>
      <c r="O29" s="45"/>
      <c r="P29" s="45"/>
    </row>
    <row r="30" spans="2:16" s="24" customFormat="1">
      <c r="B30" s="933" t="s">
        <v>165</v>
      </c>
      <c r="C30" s="150">
        <f>M19</f>
        <v>0</v>
      </c>
      <c r="D30" s="160">
        <f>'Stationary Energy - Buildings'!$F$211</f>
        <v>4.8792838761801183E-2</v>
      </c>
      <c r="E30" s="387">
        <f t="shared" ref="E30:E33" si="5">D30*C30</f>
        <v>0</v>
      </c>
      <c r="F30" s="386">
        <f>E30*'Emission Factors'!$G$43</f>
        <v>0</v>
      </c>
      <c r="G30" s="387">
        <f>E30*'Emission Factors'!$H$43</f>
        <v>0</v>
      </c>
      <c r="H30" s="718">
        <f>E30*'Emission Factors'!$I$43</f>
        <v>0</v>
      </c>
      <c r="I30" s="45"/>
      <c r="J30" s="45"/>
      <c r="K30" s="45"/>
      <c r="L30" s="45"/>
      <c r="M30" s="45"/>
      <c r="N30" s="45"/>
      <c r="O30" s="45"/>
      <c r="P30" s="45"/>
    </row>
    <row r="31" spans="2:16" s="24" customFormat="1">
      <c r="B31" s="1030" t="s">
        <v>166</v>
      </c>
      <c r="C31" s="152">
        <f>M20</f>
        <v>0</v>
      </c>
      <c r="D31" s="161">
        <f>'Stationary Energy - Buildings'!$F$211</f>
        <v>4.8792838761801183E-2</v>
      </c>
      <c r="E31" s="306">
        <f t="shared" si="5"/>
        <v>0</v>
      </c>
      <c r="F31" s="303">
        <f>E31*'Emission Factors'!$G$43</f>
        <v>0</v>
      </c>
      <c r="G31" s="306">
        <f>E31*'Emission Factors'!$H$43</f>
        <v>0</v>
      </c>
      <c r="H31" s="719">
        <f>E31*'Emission Factors'!$I$43</f>
        <v>0</v>
      </c>
      <c r="I31" s="45"/>
      <c r="J31" s="45"/>
      <c r="K31" s="45"/>
      <c r="L31" s="45"/>
      <c r="M31" s="45"/>
      <c r="N31" s="45"/>
      <c r="O31" s="45"/>
      <c r="P31" s="45"/>
    </row>
    <row r="32" spans="2:16" s="24" customFormat="1">
      <c r="B32" s="1030" t="s">
        <v>167</v>
      </c>
      <c r="C32" s="152">
        <f>M21</f>
        <v>0</v>
      </c>
      <c r="D32" s="161">
        <f>'Stationary Energy - Buildings'!$F$211</f>
        <v>4.8792838761801183E-2</v>
      </c>
      <c r="E32" s="306">
        <f t="shared" si="5"/>
        <v>0</v>
      </c>
      <c r="F32" s="303">
        <f>E32*'Emission Factors'!$G$43</f>
        <v>0</v>
      </c>
      <c r="G32" s="306">
        <f>E32*'Emission Factors'!$H$43</f>
        <v>0</v>
      </c>
      <c r="H32" s="719">
        <f>E32*'Emission Factors'!$I$43</f>
        <v>0</v>
      </c>
      <c r="I32" s="45"/>
      <c r="J32" s="45"/>
      <c r="K32" s="45"/>
      <c r="L32" s="45"/>
      <c r="M32" s="45"/>
      <c r="N32" s="45"/>
      <c r="O32" s="45"/>
      <c r="P32" s="45"/>
    </row>
    <row r="33" spans="2:16" s="24" customFormat="1" ht="13.5" thickBot="1">
      <c r="B33" s="981" t="s">
        <v>168</v>
      </c>
      <c r="C33" s="1031">
        <f>M22</f>
        <v>0</v>
      </c>
      <c r="D33" s="1032">
        <f>'Stationary Energy - Buildings'!$F$211</f>
        <v>4.8792838761801183E-2</v>
      </c>
      <c r="E33" s="286">
        <f t="shared" si="5"/>
        <v>0</v>
      </c>
      <c r="F33" s="854">
        <f>E33*'Emission Factors'!$G$43</f>
        <v>0</v>
      </c>
      <c r="G33" s="286">
        <f>E33*'Emission Factors'!$H$43</f>
        <v>0</v>
      </c>
      <c r="H33" s="1033">
        <f>E33*'Emission Factors'!$I$43</f>
        <v>0</v>
      </c>
      <c r="I33" s="45"/>
      <c r="J33" s="45"/>
      <c r="K33" s="45"/>
      <c r="L33" s="45"/>
      <c r="M33" s="45"/>
      <c r="N33" s="45"/>
      <c r="O33" s="45"/>
      <c r="P33" s="45"/>
    </row>
    <row r="34" spans="2:16" s="24" customFormat="1" ht="13.5" thickBot="1">
      <c r="B34" s="164" t="s">
        <v>1512</v>
      </c>
      <c r="C34" s="408">
        <f>SUM(C30:C33)</f>
        <v>0</v>
      </c>
      <c r="D34" s="1027">
        <f>'Stationary Energy - Buildings'!F211</f>
        <v>4.8792838761801183E-2</v>
      </c>
      <c r="E34" s="1028">
        <f t="shared" ref="E34:H34" si="6">SUM(E30:E33)</f>
        <v>0</v>
      </c>
      <c r="F34" s="1028">
        <f>SUM(F30:F33)</f>
        <v>0</v>
      </c>
      <c r="G34" s="1028">
        <f t="shared" si="6"/>
        <v>0</v>
      </c>
      <c r="H34" s="1029">
        <f t="shared" si="6"/>
        <v>0</v>
      </c>
      <c r="I34" s="45"/>
      <c r="J34" s="45"/>
      <c r="K34" s="45"/>
      <c r="L34" s="45"/>
      <c r="M34" s="45"/>
      <c r="N34" s="45"/>
      <c r="O34" s="45"/>
      <c r="P34" s="45"/>
    </row>
    <row r="35" spans="2:16" s="24" customFormat="1" ht="54" customHeight="1" thickBot="1">
      <c r="B35" s="2317" t="s">
        <v>1542</v>
      </c>
      <c r="C35" s="2223"/>
      <c r="D35" s="2223"/>
      <c r="E35" s="2318"/>
      <c r="F35" s="493" t="s">
        <v>1221</v>
      </c>
      <c r="H35" s="45"/>
      <c r="I35" s="45"/>
      <c r="J35" s="45"/>
      <c r="K35" s="45"/>
      <c r="L35" s="45"/>
      <c r="M35" s="45"/>
      <c r="N35" s="45"/>
      <c r="O35" s="45"/>
    </row>
    <row r="36" spans="2:16" s="24" customFormat="1">
      <c r="B36" s="45"/>
      <c r="C36" s="45"/>
      <c r="D36" s="45"/>
      <c r="E36" s="45"/>
      <c r="F36" s="45"/>
      <c r="G36" s="45"/>
      <c r="H36" s="45"/>
      <c r="I36" s="45"/>
      <c r="J36" s="45"/>
      <c r="K36" s="45"/>
      <c r="L36" s="45"/>
    </row>
    <row r="37" spans="2:16" s="24" customFormat="1">
      <c r="B37" s="45"/>
      <c r="C37" s="45"/>
      <c r="D37" s="45"/>
      <c r="E37" s="45"/>
      <c r="F37" s="45"/>
      <c r="G37" s="45"/>
      <c r="H37" s="45"/>
      <c r="I37" s="45"/>
      <c r="J37" s="45"/>
      <c r="K37" s="45"/>
      <c r="L37" s="45"/>
    </row>
    <row r="38" spans="2:16" s="24" customFormat="1">
      <c r="B38" s="45"/>
      <c r="C38" s="45"/>
      <c r="D38" s="45"/>
      <c r="E38" s="45"/>
      <c r="F38" s="45"/>
      <c r="G38" s="45"/>
      <c r="H38" s="45"/>
      <c r="I38" s="45"/>
      <c r="J38" s="45"/>
      <c r="K38" s="45"/>
      <c r="L38" s="45"/>
    </row>
    <row r="39" spans="2:16" s="24" customFormat="1">
      <c r="B39" s="45"/>
      <c r="C39" s="45"/>
      <c r="D39" s="45"/>
      <c r="E39" s="45"/>
      <c r="F39" s="45"/>
      <c r="G39" s="45"/>
      <c r="H39" s="45"/>
      <c r="I39" s="45"/>
      <c r="J39" s="45"/>
      <c r="K39" s="45"/>
      <c r="L39" s="45"/>
      <c r="M39" s="45"/>
    </row>
    <row r="40" spans="2:16" s="24" customFormat="1">
      <c r="B40" s="45"/>
      <c r="C40" s="45"/>
      <c r="D40" s="45"/>
      <c r="E40" s="45"/>
      <c r="F40" s="45"/>
      <c r="G40" s="45"/>
      <c r="H40" s="45"/>
      <c r="I40" s="45"/>
      <c r="J40" s="45"/>
      <c r="K40" s="45"/>
      <c r="L40" s="45"/>
      <c r="M40" s="45"/>
    </row>
    <row r="41" spans="2:16" s="24" customFormat="1">
      <c r="B41" s="45"/>
      <c r="C41" s="45"/>
      <c r="D41" s="45"/>
      <c r="E41" s="45"/>
      <c r="F41" s="45"/>
      <c r="G41" s="45"/>
      <c r="H41" s="45"/>
      <c r="I41" s="45"/>
      <c r="J41" s="45"/>
      <c r="K41" s="45"/>
      <c r="L41" s="45"/>
      <c r="M41" s="45"/>
    </row>
    <row r="42" spans="2:16" s="24" customFormat="1">
      <c r="B42" s="45"/>
      <c r="C42" s="45"/>
      <c r="D42" s="45"/>
      <c r="E42" s="45"/>
      <c r="F42" s="45"/>
      <c r="G42" s="45"/>
      <c r="H42" s="45"/>
      <c r="I42" s="45"/>
      <c r="J42" s="45"/>
      <c r="K42" s="45"/>
      <c r="L42" s="45"/>
      <c r="M42" s="45"/>
    </row>
    <row r="43" spans="2:16" s="24" customFormat="1">
      <c r="B43" s="45"/>
      <c r="C43" s="45"/>
      <c r="D43" s="45"/>
      <c r="E43" s="45"/>
      <c r="F43" s="45"/>
      <c r="G43" s="45"/>
      <c r="H43" s="45"/>
      <c r="I43" s="45"/>
      <c r="J43" s="45"/>
      <c r="K43" s="45"/>
      <c r="L43" s="45"/>
      <c r="M43" s="45"/>
    </row>
    <row r="44" spans="2:16" s="24" customFormat="1">
      <c r="B44" s="45"/>
      <c r="C44" s="45"/>
      <c r="D44" s="45"/>
      <c r="E44" s="45"/>
      <c r="F44" s="45"/>
      <c r="G44" s="45"/>
      <c r="H44" s="45"/>
      <c r="I44" s="45"/>
      <c r="J44" s="45"/>
      <c r="K44" s="45"/>
      <c r="L44" s="45"/>
      <c r="M44" s="45"/>
    </row>
    <row r="45" spans="2:16" s="24" customFormat="1">
      <c r="B45" s="45"/>
      <c r="C45" s="45"/>
      <c r="D45" s="45"/>
      <c r="E45" s="45"/>
      <c r="F45" s="45"/>
      <c r="G45" s="45"/>
      <c r="H45" s="45"/>
      <c r="I45" s="45"/>
      <c r="J45" s="45"/>
      <c r="K45" s="45"/>
      <c r="L45" s="45"/>
      <c r="M45" s="45"/>
    </row>
    <row r="46" spans="2:16" s="24" customFormat="1">
      <c r="B46" s="45"/>
      <c r="C46" s="45"/>
      <c r="D46" s="45"/>
      <c r="E46" s="45"/>
      <c r="F46" s="45"/>
      <c r="G46" s="45"/>
      <c r="H46" s="45"/>
      <c r="I46" s="45"/>
      <c r="J46" s="45"/>
      <c r="K46" s="45"/>
      <c r="L46" s="45"/>
      <c r="M46" s="45"/>
    </row>
    <row r="47" spans="2:16" s="24" customFormat="1">
      <c r="B47" s="45"/>
      <c r="C47" s="45"/>
      <c r="D47" s="45"/>
      <c r="E47" s="45"/>
      <c r="F47" s="45"/>
      <c r="G47" s="45"/>
      <c r="H47" s="45"/>
      <c r="I47" s="45"/>
      <c r="J47" s="45"/>
      <c r="K47" s="45"/>
      <c r="L47" s="45"/>
      <c r="M47" s="45"/>
    </row>
    <row r="48" spans="2:16" s="24" customFormat="1">
      <c r="B48" s="45"/>
      <c r="C48" s="45"/>
      <c r="D48" s="45"/>
      <c r="E48" s="45"/>
      <c r="F48" s="45"/>
      <c r="G48" s="45"/>
      <c r="H48" s="45"/>
      <c r="I48" s="45"/>
      <c r="J48" s="45"/>
      <c r="K48" s="45"/>
      <c r="L48" s="45"/>
      <c r="M48" s="45"/>
    </row>
    <row r="49" spans="2:13" s="24" customFormat="1">
      <c r="B49" s="45"/>
      <c r="C49" s="45"/>
      <c r="D49" s="45"/>
      <c r="E49" s="45"/>
      <c r="F49" s="45"/>
      <c r="G49" s="45"/>
      <c r="H49" s="45"/>
      <c r="I49" s="45"/>
      <c r="J49" s="45"/>
      <c r="K49" s="45"/>
      <c r="L49" s="45"/>
      <c r="M49" s="45"/>
    </row>
    <row r="50" spans="2:13" s="24" customFormat="1">
      <c r="B50" s="45"/>
      <c r="C50" s="45"/>
      <c r="D50" s="45"/>
      <c r="E50" s="45"/>
      <c r="F50" s="45"/>
      <c r="G50" s="45"/>
      <c r="H50" s="45"/>
      <c r="I50" s="45"/>
      <c r="J50" s="45"/>
      <c r="K50" s="45"/>
      <c r="L50" s="45"/>
      <c r="M50" s="45"/>
    </row>
    <row r="51" spans="2:13" s="24" customFormat="1"/>
    <row r="52" spans="2:13" s="24" customFormat="1"/>
    <row r="53" spans="2:13" s="24" customFormat="1"/>
    <row r="54" spans="2:13" s="24" customFormat="1"/>
    <row r="55" spans="2:13" s="24" customFormat="1"/>
    <row r="56" spans="2:13" s="24" customFormat="1"/>
    <row r="57" spans="2:13" s="24" customFormat="1"/>
    <row r="58" spans="2:13" s="24" customFormat="1"/>
    <row r="59" spans="2:13" s="24" customFormat="1"/>
    <row r="60" spans="2:13" s="24" customFormat="1"/>
    <row r="61" spans="2:13" s="24" customFormat="1"/>
    <row r="62" spans="2:13" s="24" customFormat="1"/>
    <row r="63" spans="2:13" s="24" customFormat="1"/>
    <row r="64" spans="2:13"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sheetData>
  <mergeCells count="15">
    <mergeCell ref="B6:G6"/>
    <mergeCell ref="B7:G7"/>
    <mergeCell ref="C3:E3"/>
    <mergeCell ref="C4:E4"/>
    <mergeCell ref="B2:E2"/>
    <mergeCell ref="B26:E26"/>
    <mergeCell ref="B17:E17"/>
    <mergeCell ref="B35:E35"/>
    <mergeCell ref="B28:H28"/>
    <mergeCell ref="F17:J17"/>
    <mergeCell ref="B14:D14"/>
    <mergeCell ref="B25:E25"/>
    <mergeCell ref="B9:G9"/>
    <mergeCell ref="K17:P17"/>
    <mergeCell ref="B16:P16"/>
  </mergeCells>
  <hyperlinks>
    <hyperlink ref="F35" r:id="rId1" xr:uid="{00000000-0004-0000-0E00-000000000000}"/>
  </hyperlinks>
  <pageMargins left="0.75" right="0.75" top="1" bottom="1" header="0.5" footer="0.5"/>
  <pageSetup orientation="portrait" r:id="rId2"/>
  <headerFooter alignWithMargins="0"/>
  <ignoredErrors>
    <ignoredError sqref="D34" formula="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K17"/>
  <sheetViews>
    <sheetView showGridLines="0" zoomScaleNormal="100" workbookViewId="0">
      <selection activeCell="H4" sqref="H4"/>
    </sheetView>
  </sheetViews>
  <sheetFormatPr defaultRowHeight="12.75"/>
  <cols>
    <col min="1" max="1" width="2.85546875" style="24" customWidth="1"/>
    <col min="2" max="2" width="38.28515625" style="24" customWidth="1"/>
    <col min="3" max="8" width="18.140625" style="24" customWidth="1"/>
    <col min="9" max="9" width="14.42578125" style="24" customWidth="1"/>
    <col min="10" max="10" width="18.85546875" style="24" customWidth="1"/>
    <col min="11" max="11" width="16.28515625" style="24" customWidth="1"/>
    <col min="12" max="12" width="10.28515625" style="24" bestFit="1" customWidth="1"/>
    <col min="13" max="13" width="16.5703125" style="24" bestFit="1" customWidth="1"/>
    <col min="14" max="14" width="12.28515625" style="24" bestFit="1" customWidth="1"/>
    <col min="15" max="16384" width="9.140625" style="24"/>
  </cols>
  <sheetData>
    <row r="1" spans="1:11" ht="13.5" thickBot="1">
      <c r="B1" s="2243"/>
      <c r="C1" s="2243"/>
      <c r="D1" s="2243"/>
      <c r="E1" s="2243"/>
      <c r="F1" s="2243"/>
      <c r="G1" s="2243"/>
      <c r="H1" s="2243"/>
      <c r="I1" s="2243"/>
      <c r="J1" s="2243"/>
    </row>
    <row r="2" spans="1:11" ht="21" customHeight="1" thickBot="1">
      <c r="B2" s="2244" t="s">
        <v>1543</v>
      </c>
      <c r="C2" s="2339"/>
      <c r="D2" s="2339"/>
      <c r="E2" s="1909"/>
      <c r="G2" s="227"/>
      <c r="H2" s="1875"/>
      <c r="I2" s="1875"/>
      <c r="J2" s="1875"/>
    </row>
    <row r="3" spans="1:11">
      <c r="B3" s="165" t="s">
        <v>430</v>
      </c>
      <c r="C3" s="2182" t="s">
        <v>443</v>
      </c>
      <c r="D3" s="2231"/>
      <c r="E3" s="2232"/>
      <c r="F3" s="1875"/>
      <c r="G3" s="1875"/>
      <c r="H3" s="1875"/>
      <c r="I3" s="1875"/>
      <c r="J3" s="1875"/>
    </row>
    <row r="4" spans="1:11" ht="13.5" thickBot="1">
      <c r="B4" s="166" t="s">
        <v>1067</v>
      </c>
      <c r="C4" s="2233" t="s">
        <v>1544</v>
      </c>
      <c r="D4" s="2048"/>
      <c r="E4" s="2049"/>
      <c r="F4" s="1875"/>
      <c r="G4" s="1875"/>
      <c r="H4" s="1875"/>
      <c r="I4" s="1875"/>
      <c r="J4" s="1875"/>
    </row>
    <row r="5" spans="1:11" ht="13.5" thickBot="1">
      <c r="B5" s="1875"/>
      <c r="C5" s="1875"/>
      <c r="D5" s="1875"/>
      <c r="E5" s="1875"/>
      <c r="F5" s="1875"/>
      <c r="G5" s="1875"/>
      <c r="H5" s="1875"/>
      <c r="I5" s="1875"/>
      <c r="J5" s="1875"/>
    </row>
    <row r="6" spans="1:11" ht="15.75" thickBot="1">
      <c r="B6" s="1936" t="s">
        <v>434</v>
      </c>
      <c r="C6" s="1937"/>
      <c r="D6" s="1937"/>
      <c r="E6" s="1937"/>
      <c r="F6" s="1958"/>
      <c r="G6" s="1875"/>
      <c r="H6" s="1875"/>
      <c r="I6" s="1875"/>
      <c r="J6" s="1875"/>
    </row>
    <row r="7" spans="1:11" ht="66" customHeight="1" thickBot="1">
      <c r="B7" s="2070" t="s">
        <v>1545</v>
      </c>
      <c r="C7" s="2071"/>
      <c r="D7" s="2071"/>
      <c r="E7" s="2071"/>
      <c r="F7" s="2224"/>
      <c r="G7" s="1875"/>
      <c r="H7" s="1875"/>
      <c r="I7" s="1875"/>
      <c r="J7" s="1875"/>
    </row>
    <row r="8" spans="1:11" ht="13.5" thickBot="1">
      <c r="B8" s="1875"/>
      <c r="C8" s="1875"/>
      <c r="D8" s="1875"/>
      <c r="E8" s="1875"/>
      <c r="F8" s="1875"/>
      <c r="G8" s="1875"/>
      <c r="H8" s="1875"/>
      <c r="I8" s="1875"/>
      <c r="J8" s="1875"/>
    </row>
    <row r="9" spans="1:11" ht="18" customHeight="1" thickBot="1">
      <c r="B9" s="1936" t="s">
        <v>1546</v>
      </c>
      <c r="C9" s="2195"/>
      <c r="D9" s="2195"/>
      <c r="E9" s="2195"/>
      <c r="F9" s="2195"/>
      <c r="G9" s="2195"/>
      <c r="H9" s="2195"/>
      <c r="I9" s="1958"/>
    </row>
    <row r="10" spans="1:11" ht="63" customHeight="1">
      <c r="B10" s="115" t="s">
        <v>453</v>
      </c>
      <c r="C10" s="111" t="s">
        <v>1547</v>
      </c>
      <c r="D10" s="111" t="s">
        <v>1548</v>
      </c>
      <c r="E10" s="75" t="s">
        <v>1549</v>
      </c>
      <c r="F10" s="158" t="s">
        <v>1550</v>
      </c>
      <c r="G10" s="75" t="s">
        <v>1446</v>
      </c>
      <c r="H10" s="75" t="s">
        <v>1447</v>
      </c>
      <c r="I10" s="1884" t="s">
        <v>1448</v>
      </c>
      <c r="J10" s="1875"/>
      <c r="K10" s="1875"/>
    </row>
    <row r="11" spans="1:11">
      <c r="A11" s="45"/>
      <c r="B11" s="356" t="s">
        <v>475</v>
      </c>
      <c r="C11" s="355">
        <f>'Waste-Solid Waste Disposal'!C39</f>
        <v>0</v>
      </c>
      <c r="D11" s="560"/>
      <c r="E11" s="335"/>
      <c r="F11" s="333"/>
      <c r="G11" s="355">
        <f>'Waste-Solid Waste Disposal'!G12</f>
        <v>0</v>
      </c>
      <c r="H11" s="334"/>
      <c r="I11" s="354"/>
      <c r="J11" s="1875"/>
      <c r="K11" s="1875"/>
    </row>
    <row r="12" spans="1:11">
      <c r="A12" s="45"/>
      <c r="B12" s="558" t="s">
        <v>459</v>
      </c>
      <c r="C12" s="560"/>
      <c r="D12" s="560"/>
      <c r="E12" s="564">
        <f>'Waste-Biological Treatment'!B11*'Waste-Biological Treatment'!C11</f>
        <v>25244.508300000001</v>
      </c>
      <c r="F12" s="565">
        <f>'Waste-Biological Treatment'!B11*'Waste-Biological Treatment'!D11</f>
        <v>0</v>
      </c>
      <c r="G12" s="559">
        <f>'Waste-Biological Treatment'!H18</f>
        <v>91.605757048541989</v>
      </c>
      <c r="H12" s="562"/>
      <c r="I12" s="893">
        <f>'Waste-Biological Treatment'!I18</f>
        <v>6.8704317786406488</v>
      </c>
      <c r="J12" s="1875"/>
      <c r="K12" s="1875"/>
    </row>
    <row r="13" spans="1:11">
      <c r="A13" s="45"/>
      <c r="B13" s="353" t="s">
        <v>460</v>
      </c>
      <c r="C13" s="339"/>
      <c r="D13" s="352">
        <f>'Waste-Incineration'!D22</f>
        <v>0</v>
      </c>
      <c r="E13" s="560"/>
      <c r="F13" s="561"/>
      <c r="G13" s="411">
        <f>'Waste-Incineration'!B11</f>
        <v>0</v>
      </c>
      <c r="H13" s="352">
        <f>'Waste-Incineration'!C11</f>
        <v>0</v>
      </c>
      <c r="I13" s="338">
        <f>'Waste-Incineration'!D11</f>
        <v>0</v>
      </c>
      <c r="J13" s="1875"/>
      <c r="K13" s="1875"/>
    </row>
    <row r="14" spans="1:11" ht="15.75">
      <c r="A14" s="45"/>
      <c r="B14" s="351" t="s">
        <v>1551</v>
      </c>
      <c r="C14" s="350"/>
      <c r="D14" s="350"/>
      <c r="E14" s="350"/>
      <c r="F14" s="563"/>
      <c r="G14" s="892">
        <f>'Waste-Wastewater'!C13</f>
        <v>55.089449999999999</v>
      </c>
      <c r="H14" s="349"/>
      <c r="I14" s="348">
        <f>'Waste-Wastewater'!D13</f>
        <v>1.2398207887999999</v>
      </c>
      <c r="J14" s="1875"/>
      <c r="K14" s="1875"/>
    </row>
    <row r="15" spans="1:11" ht="13.5" thickBot="1">
      <c r="B15" s="2341" t="s">
        <v>1552</v>
      </c>
      <c r="C15" s="2342"/>
      <c r="D15" s="2342"/>
      <c r="E15" s="2342"/>
      <c r="F15" s="2343"/>
      <c r="G15" s="340">
        <f>SUM(G11:G14)</f>
        <v>146.69520704854199</v>
      </c>
      <c r="H15" s="340">
        <f>SUM(H11:H14)</f>
        <v>0</v>
      </c>
      <c r="I15" s="342">
        <f>SUM(I11:I14)</f>
        <v>8.1102525674406483</v>
      </c>
      <c r="J15" s="1875"/>
      <c r="K15" s="1875"/>
    </row>
    <row r="16" spans="1:11">
      <c r="B16" s="1875"/>
      <c r="C16" s="1875"/>
      <c r="D16" s="1875"/>
      <c r="E16" s="1875"/>
      <c r="F16" s="1875"/>
      <c r="G16" s="1875"/>
      <c r="H16" s="1875"/>
      <c r="I16" s="1875"/>
    </row>
    <row r="17" spans="2:9">
      <c r="B17" s="1875"/>
      <c r="C17" s="1875"/>
      <c r="D17" s="1875"/>
      <c r="E17" s="1875"/>
      <c r="F17" s="1875"/>
      <c r="G17" s="1875"/>
      <c r="H17" s="1875"/>
      <c r="I17" s="1875"/>
    </row>
  </sheetData>
  <mergeCells count="8">
    <mergeCell ref="B7:F7"/>
    <mergeCell ref="B15:F15"/>
    <mergeCell ref="B9:I9"/>
    <mergeCell ref="B1:J1"/>
    <mergeCell ref="C3:E3"/>
    <mergeCell ref="C4:E4"/>
    <mergeCell ref="B2:E2"/>
    <mergeCell ref="B6:F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B350"/>
  <sheetViews>
    <sheetView showGridLines="0" topLeftCell="A214" zoomScale="90" zoomScaleNormal="90" workbookViewId="0">
      <selection activeCell="E301" sqref="E301"/>
    </sheetView>
  </sheetViews>
  <sheetFormatPr defaultRowHeight="12.75"/>
  <cols>
    <col min="1" max="1" width="1.85546875" style="23" customWidth="1"/>
    <col min="2" max="2" width="51.85546875" customWidth="1"/>
    <col min="3" max="3" width="30.140625" customWidth="1"/>
    <col min="4" max="6" width="24.42578125" customWidth="1"/>
    <col min="7" max="7" width="21.28515625" customWidth="1"/>
    <col min="10" max="10" width="73" customWidth="1"/>
  </cols>
  <sheetData>
    <row r="1" spans="2:9" ht="13.5" thickBot="1">
      <c r="B1" s="23"/>
      <c r="C1" s="23"/>
      <c r="D1" s="23"/>
      <c r="E1" s="23"/>
      <c r="F1" s="23"/>
      <c r="G1" s="23"/>
      <c r="H1" s="23"/>
      <c r="I1" s="23"/>
    </row>
    <row r="2" spans="2:9" s="23" customFormat="1" ht="24" customHeight="1" thickBot="1">
      <c r="B2" s="1921" t="s">
        <v>16</v>
      </c>
      <c r="C2" s="1922"/>
      <c r="D2" s="1923"/>
    </row>
    <row r="3" spans="2:9" s="23" customFormat="1" ht="13.5" thickBot="1"/>
    <row r="4" spans="2:9" s="23" customFormat="1" ht="57.75" customHeight="1" thickBot="1">
      <c r="B4" s="1928" t="s">
        <v>17</v>
      </c>
      <c r="C4" s="1929"/>
      <c r="D4" s="1930"/>
    </row>
    <row r="5" spans="2:9" s="23" customFormat="1"/>
    <row r="6" spans="2:9" s="23" customFormat="1">
      <c r="C6" s="1254" t="s">
        <v>18</v>
      </c>
    </row>
    <row r="7" spans="2:9" s="23" customFormat="1">
      <c r="C7" s="1261" t="s">
        <v>19</v>
      </c>
    </row>
    <row r="8" spans="2:9" s="23" customFormat="1">
      <c r="C8" s="1261" t="s">
        <v>20</v>
      </c>
    </row>
    <row r="9" spans="2:9" s="23" customFormat="1">
      <c r="C9" s="1261" t="s">
        <v>21</v>
      </c>
    </row>
    <row r="10" spans="2:9" s="23" customFormat="1"/>
    <row r="11" spans="2:9" s="23" customFormat="1" ht="13.5" thickBot="1"/>
    <row r="12" spans="2:9" s="23" customFormat="1" ht="13.5" thickBot="1">
      <c r="B12" s="572" t="s">
        <v>22</v>
      </c>
      <c r="C12" s="1052" t="s">
        <v>23</v>
      </c>
    </row>
    <row r="13" spans="2:9" s="23" customFormat="1" ht="13.5" thickBot="1">
      <c r="B13" s="608"/>
    </row>
    <row r="14" spans="2:9" s="23" customFormat="1" ht="13.5" thickBot="1">
      <c r="B14" s="572" t="s">
        <v>24</v>
      </c>
      <c r="C14" s="1229">
        <v>2020</v>
      </c>
    </row>
    <row r="15" spans="2:9" s="23" customFormat="1" ht="13.5" thickBot="1">
      <c r="B15" s="608"/>
    </row>
    <row r="16" spans="2:9" s="23" customFormat="1" ht="35.25" customHeight="1" thickBot="1">
      <c r="B16" s="1921" t="s">
        <v>19</v>
      </c>
      <c r="C16" s="1924"/>
      <c r="D16" s="1924"/>
      <c r="E16" s="1909"/>
      <c r="F16" s="607"/>
      <c r="G16" s="607"/>
      <c r="H16" s="607"/>
      <c r="I16" s="607"/>
    </row>
    <row r="17" spans="2:9" s="24" customFormat="1" ht="15" customHeight="1" thickBot="1">
      <c r="B17" s="1316"/>
      <c r="C17" s="1317"/>
      <c r="D17" s="1317"/>
      <c r="E17" s="53"/>
      <c r="F17" s="53"/>
      <c r="G17" s="53"/>
      <c r="H17" s="53"/>
      <c r="I17" s="53"/>
    </row>
    <row r="18" spans="2:9" s="24" customFormat="1" ht="28.5" customHeight="1" thickBot="1">
      <c r="B18" s="1915" t="s">
        <v>25</v>
      </c>
      <c r="C18" s="1916"/>
      <c r="D18" s="1916"/>
      <c r="E18" s="1917"/>
      <c r="F18" s="53"/>
      <c r="G18" s="53"/>
      <c r="H18" s="53"/>
      <c r="I18" s="53"/>
    </row>
    <row r="19" spans="2:9" s="23" customFormat="1" ht="10.5" customHeight="1" thickBot="1"/>
    <row r="20" spans="2:9" ht="28.5" customHeight="1" thickBot="1">
      <c r="B20" s="567" t="s">
        <v>26</v>
      </c>
      <c r="C20" s="573" t="s">
        <v>27</v>
      </c>
      <c r="D20" s="23"/>
      <c r="E20" s="23"/>
      <c r="F20" s="23"/>
      <c r="G20" s="23"/>
      <c r="H20" s="23"/>
      <c r="I20" s="23"/>
    </row>
    <row r="21" spans="2:9" s="23" customFormat="1" ht="42" customHeight="1" thickBot="1">
      <c r="B21" s="567" t="s">
        <v>28</v>
      </c>
      <c r="C21" s="573" t="s">
        <v>29</v>
      </c>
    </row>
    <row r="22" spans="2:9" s="23" customFormat="1" ht="18" customHeight="1" thickBot="1"/>
    <row r="23" spans="2:9" ht="105" customHeight="1" thickBot="1">
      <c r="B23" s="1913" t="s">
        <v>30</v>
      </c>
      <c r="C23" s="1925"/>
      <c r="D23" s="23"/>
      <c r="E23" s="23"/>
      <c r="F23" s="23"/>
      <c r="G23" s="23"/>
      <c r="H23" s="23"/>
      <c r="I23" s="23"/>
    </row>
    <row r="24" spans="2:9" s="23" customFormat="1">
      <c r="B24" s="1926" t="s">
        <v>31</v>
      </c>
      <c r="C24" s="1927"/>
    </row>
    <row r="25" spans="2:9" s="23" customFormat="1" ht="25.5">
      <c r="B25" s="1880" t="s">
        <v>32</v>
      </c>
      <c r="C25" s="1882" t="s">
        <v>33</v>
      </c>
    </row>
    <row r="26" spans="2:9" s="23" customFormat="1">
      <c r="B26" s="575" t="s">
        <v>34</v>
      </c>
      <c r="C26" s="1304">
        <v>0</v>
      </c>
    </row>
    <row r="27" spans="2:9" ht="12.75" customHeight="1">
      <c r="B27" s="587" t="s">
        <v>27</v>
      </c>
      <c r="C27" s="1645">
        <v>1</v>
      </c>
      <c r="D27" s="23"/>
      <c r="E27" s="23"/>
      <c r="F27" s="23"/>
      <c r="G27" s="23"/>
      <c r="H27" s="23"/>
      <c r="I27" s="23"/>
    </row>
    <row r="28" spans="2:9" ht="13.5" thickBot="1">
      <c r="B28" s="23"/>
      <c r="C28" s="23"/>
      <c r="D28" s="23"/>
      <c r="E28" s="23"/>
      <c r="F28" s="23"/>
      <c r="G28" s="23"/>
      <c r="H28" s="23"/>
      <c r="I28" s="23"/>
    </row>
    <row r="29" spans="2:9" s="23" customFormat="1" ht="92.25" customHeight="1" thickBot="1">
      <c r="B29" s="1913" t="s">
        <v>35</v>
      </c>
      <c r="C29" s="1914"/>
      <c r="D29" s="577" t="s">
        <v>36</v>
      </c>
    </row>
    <row r="30" spans="2:9" s="23" customFormat="1" ht="18.75" customHeight="1" thickBot="1">
      <c r="B30" s="1931" t="s">
        <v>37</v>
      </c>
      <c r="C30" s="1932"/>
      <c r="D30" s="1933"/>
    </row>
    <row r="31" spans="2:9" s="23" customFormat="1" ht="38.25">
      <c r="B31" s="1419" t="s">
        <v>38</v>
      </c>
      <c r="C31" s="1420" t="s">
        <v>39</v>
      </c>
      <c r="D31" s="1881" t="s">
        <v>40</v>
      </c>
    </row>
    <row r="32" spans="2:9" s="23" customFormat="1">
      <c r="B32" s="575" t="s">
        <v>41</v>
      </c>
      <c r="C32" s="578">
        <v>114509</v>
      </c>
      <c r="D32" s="579">
        <v>0</v>
      </c>
    </row>
    <row r="33" spans="2:5" s="23" customFormat="1">
      <c r="B33" s="575" t="s">
        <v>42</v>
      </c>
      <c r="C33" s="580">
        <v>58097</v>
      </c>
      <c r="D33" s="581">
        <v>0</v>
      </c>
    </row>
    <row r="34" spans="2:5" s="23" customFormat="1" ht="13.5" thickBot="1">
      <c r="B34" s="576" t="s">
        <v>43</v>
      </c>
      <c r="C34" s="1646">
        <f>SUM(C32:C33)</f>
        <v>172606</v>
      </c>
      <c r="D34" s="1647">
        <f>SUM(D32:D33)</f>
        <v>0</v>
      </c>
    </row>
    <row r="35" spans="2:5" s="23" customFormat="1" ht="13.5" thickBot="1">
      <c r="B35" s="1256"/>
      <c r="C35" s="1257"/>
      <c r="D35" s="1257"/>
    </row>
    <row r="36" spans="2:5" s="23" customFormat="1" ht="145.5" customHeight="1">
      <c r="B36" s="1934" t="s">
        <v>44</v>
      </c>
      <c r="C36" s="1935"/>
      <c r="D36" s="1289" t="s">
        <v>45</v>
      </c>
    </row>
    <row r="37" spans="2:5" s="23" customFormat="1" ht="18" customHeight="1" thickBot="1">
      <c r="B37" s="1918" t="s">
        <v>46</v>
      </c>
      <c r="C37" s="1919"/>
      <c r="D37" s="1919"/>
      <c r="E37" s="1920"/>
    </row>
    <row r="38" spans="2:5" s="23" customFormat="1" ht="38.25">
      <c r="B38" s="1258"/>
      <c r="C38" s="1259" t="s">
        <v>47</v>
      </c>
      <c r="D38" s="1290" t="s">
        <v>40</v>
      </c>
      <c r="E38" s="1260" t="s">
        <v>48</v>
      </c>
    </row>
    <row r="39" spans="2:5" s="23" customFormat="1">
      <c r="B39" s="575" t="s">
        <v>49</v>
      </c>
      <c r="C39" s="1265">
        <v>12852013</v>
      </c>
      <c r="D39" s="1291">
        <v>0</v>
      </c>
      <c r="E39" s="1266">
        <v>150250</v>
      </c>
    </row>
    <row r="40" spans="2:5" s="23" customFormat="1">
      <c r="B40" s="575" t="s">
        <v>50</v>
      </c>
      <c r="C40" s="1271" t="s">
        <v>51</v>
      </c>
      <c r="D40" s="1292" t="s">
        <v>51</v>
      </c>
      <c r="E40" s="1294"/>
    </row>
    <row r="41" spans="2:5" s="23" customFormat="1" ht="26.25" thickBot="1">
      <c r="B41" s="1269" t="s">
        <v>52</v>
      </c>
      <c r="C41" s="1272" t="s">
        <v>53</v>
      </c>
      <c r="D41" s="1293"/>
      <c r="E41" s="1273"/>
    </row>
    <row r="42" spans="2:5" s="23" customFormat="1" ht="13.5" thickBot="1"/>
    <row r="43" spans="2:5" s="23" customFormat="1" ht="153" customHeight="1" thickBot="1">
      <c r="B43" s="1910" t="s">
        <v>54</v>
      </c>
      <c r="C43" s="1911"/>
      <c r="D43" s="1912"/>
    </row>
    <row r="44" spans="2:5" s="23" customFormat="1" ht="13.5" thickBot="1">
      <c r="B44" s="1905" t="s">
        <v>55</v>
      </c>
      <c r="C44" s="1908"/>
      <c r="D44" s="1908"/>
      <c r="E44" s="1909"/>
    </row>
    <row r="45" spans="2:5" s="23" customFormat="1" ht="38.25">
      <c r="B45" s="1419" t="s">
        <v>32</v>
      </c>
      <c r="C45" s="582" t="s">
        <v>56</v>
      </c>
      <c r="D45" s="1420" t="s">
        <v>47</v>
      </c>
      <c r="E45" s="1881" t="s">
        <v>57</v>
      </c>
    </row>
    <row r="46" spans="2:5" s="23" customFormat="1">
      <c r="B46" s="247" t="s">
        <v>58</v>
      </c>
      <c r="C46" s="1202" t="s">
        <v>59</v>
      </c>
      <c r="D46" s="1199">
        <v>96865360</v>
      </c>
      <c r="E46" s="1200">
        <v>0</v>
      </c>
    </row>
    <row r="47" spans="2:5" s="23" customFormat="1">
      <c r="B47" s="145" t="s">
        <v>60</v>
      </c>
      <c r="C47" s="1202" t="s">
        <v>59</v>
      </c>
      <c r="D47" s="1201">
        <v>717133</v>
      </c>
      <c r="E47" s="1195">
        <v>0.2</v>
      </c>
    </row>
    <row r="48" spans="2:5" s="23" customFormat="1">
      <c r="B48" s="145" t="s">
        <v>61</v>
      </c>
      <c r="C48" s="1202" t="s">
        <v>62</v>
      </c>
      <c r="D48" s="1201"/>
      <c r="E48" s="1195"/>
    </row>
    <row r="49" spans="2:5" s="23" customFormat="1">
      <c r="B49" s="583" t="s">
        <v>63</v>
      </c>
      <c r="C49" s="1202" t="s">
        <v>62</v>
      </c>
      <c r="D49" s="1203"/>
      <c r="E49" s="1204"/>
    </row>
    <row r="50" spans="2:5" s="23" customFormat="1">
      <c r="B50" s="584" t="s">
        <v>64</v>
      </c>
      <c r="C50" s="600"/>
      <c r="D50" s="605">
        <f>SUM(D46:D49)</f>
        <v>97582493</v>
      </c>
      <c r="E50" s="601"/>
    </row>
    <row r="51" spans="2:5" s="23" customFormat="1">
      <c r="B51" s="1361" t="s">
        <v>65</v>
      </c>
      <c r="C51" s="1196" t="s">
        <v>59</v>
      </c>
      <c r="D51" s="1193">
        <v>30774683</v>
      </c>
      <c r="E51" s="1200">
        <v>0</v>
      </c>
    </row>
    <row r="52" spans="2:5" s="23" customFormat="1">
      <c r="B52" s="145" t="s">
        <v>66</v>
      </c>
      <c r="C52" s="1196" t="s">
        <v>59</v>
      </c>
      <c r="D52" s="1194">
        <v>555153</v>
      </c>
      <c r="E52" s="1195">
        <v>0.2</v>
      </c>
    </row>
    <row r="53" spans="2:5" s="23" customFormat="1">
      <c r="B53" s="145" t="s">
        <v>67</v>
      </c>
      <c r="C53" s="1196" t="s">
        <v>62</v>
      </c>
      <c r="D53" s="1194"/>
      <c r="E53" s="1195"/>
    </row>
    <row r="54" spans="2:5" s="23" customFormat="1">
      <c r="B54" s="583" t="s">
        <v>68</v>
      </c>
      <c r="C54" s="1196" t="s">
        <v>62</v>
      </c>
      <c r="D54" s="1197"/>
      <c r="E54" s="1198"/>
    </row>
    <row r="55" spans="2:5" s="23" customFormat="1" ht="13.5" thickBot="1">
      <c r="B55" s="576" t="s">
        <v>69</v>
      </c>
      <c r="C55" s="1648"/>
      <c r="D55" s="1649">
        <f>SUM(D51:D54)</f>
        <v>31329836</v>
      </c>
      <c r="E55" s="603"/>
    </row>
    <row r="56" spans="2:5" s="23" customFormat="1" ht="13.5" thickBot="1">
      <c r="B56" s="602" t="s">
        <v>70</v>
      </c>
      <c r="C56" s="585"/>
      <c r="D56" s="606">
        <f>SUM(D50,D55)</f>
        <v>128912329</v>
      </c>
      <c r="E56" s="604"/>
    </row>
    <row r="57" spans="2:5" s="23" customFormat="1" ht="16.5" customHeight="1" thickBot="1"/>
    <row r="58" spans="2:5" s="23" customFormat="1" ht="79.5" customHeight="1" thickBot="1">
      <c r="B58" s="1910" t="s">
        <v>71</v>
      </c>
      <c r="C58" s="1911"/>
      <c r="D58" s="1912"/>
    </row>
    <row r="59" spans="2:5" s="23" customFormat="1" ht="18" customHeight="1" thickBot="1">
      <c r="B59" s="1905" t="s">
        <v>72</v>
      </c>
      <c r="C59" s="1908"/>
      <c r="D59" s="1909"/>
    </row>
    <row r="60" spans="2:5" s="23" customFormat="1" ht="38.25">
      <c r="B60" s="1874" t="s">
        <v>38</v>
      </c>
      <c r="C60" s="1420" t="s">
        <v>47</v>
      </c>
      <c r="D60" s="1877" t="s">
        <v>73</v>
      </c>
    </row>
    <row r="61" spans="2:5" s="23" customFormat="1">
      <c r="B61" s="568" t="s">
        <v>74</v>
      </c>
      <c r="C61" s="1415">
        <v>0</v>
      </c>
      <c r="D61" s="1416">
        <v>0</v>
      </c>
    </row>
    <row r="62" spans="2:5" s="23" customFormat="1">
      <c r="B62" s="586" t="s">
        <v>75</v>
      </c>
      <c r="C62" s="1417">
        <v>0</v>
      </c>
      <c r="D62" s="1418">
        <v>0</v>
      </c>
    </row>
    <row r="63" spans="2:5" s="23" customFormat="1" ht="13.5" thickBot="1">
      <c r="B63" s="587" t="s">
        <v>76</v>
      </c>
      <c r="C63" s="1646">
        <f>SUM(C61:C62)</f>
        <v>0</v>
      </c>
      <c r="D63" s="1252">
        <f>SUM(D61:D62)</f>
        <v>0</v>
      </c>
    </row>
    <row r="64" spans="2:5" s="23" customFormat="1" ht="13.5" thickBot="1">
      <c r="B64" s="1315"/>
      <c r="C64" s="1257"/>
      <c r="D64" s="1257"/>
    </row>
    <row r="65" spans="2:5" s="23" customFormat="1" ht="21" thickBot="1">
      <c r="B65" s="1915" t="s">
        <v>77</v>
      </c>
      <c r="C65" s="1916"/>
      <c r="D65" s="1916"/>
      <c r="E65" s="1917"/>
    </row>
    <row r="66" spans="2:5" s="23" customFormat="1" ht="13.5" thickBot="1"/>
    <row r="67" spans="2:5" s="23" customFormat="1" ht="246" customHeight="1" thickBot="1">
      <c r="B67" s="1913" t="s">
        <v>78</v>
      </c>
      <c r="C67" s="1914"/>
      <c r="D67" s="534" t="s">
        <v>79</v>
      </c>
    </row>
    <row r="68" spans="2:5" s="23" customFormat="1" ht="19.5" customHeight="1" thickBot="1">
      <c r="B68" s="1905" t="s">
        <v>80</v>
      </c>
      <c r="C68" s="1906"/>
      <c r="D68" s="1907"/>
      <c r="E68" s="45"/>
    </row>
    <row r="69" spans="2:5" s="23" customFormat="1" ht="25.5">
      <c r="B69" s="498" t="s">
        <v>81</v>
      </c>
      <c r="C69" s="499" t="s">
        <v>82</v>
      </c>
      <c r="D69" s="500" t="s">
        <v>83</v>
      </c>
      <c r="E69" s="45"/>
    </row>
    <row r="70" spans="2:5" s="23" customFormat="1">
      <c r="B70" s="1560">
        <v>221</v>
      </c>
      <c r="C70" s="1561">
        <v>3</v>
      </c>
      <c r="D70" s="1561">
        <v>56</v>
      </c>
      <c r="E70" s="45"/>
    </row>
    <row r="71" spans="2:5" s="23" customFormat="1">
      <c r="B71" s="1562">
        <v>236</v>
      </c>
      <c r="C71" s="1563">
        <v>135</v>
      </c>
      <c r="D71" s="1563">
        <v>277</v>
      </c>
      <c r="E71" s="45"/>
    </row>
    <row r="72" spans="2:5" s="23" customFormat="1">
      <c r="B72" s="1562">
        <v>237</v>
      </c>
      <c r="C72" s="1563">
        <v>6</v>
      </c>
      <c r="D72" s="1563">
        <v>115</v>
      </c>
      <c r="E72" s="45"/>
    </row>
    <row r="73" spans="2:5" s="23" customFormat="1">
      <c r="B73" s="1562">
        <v>238</v>
      </c>
      <c r="C73" s="1563">
        <v>197</v>
      </c>
      <c r="D73" s="1563">
        <v>648</v>
      </c>
      <c r="E73" s="45"/>
    </row>
    <row r="74" spans="2:5" s="23" customFormat="1">
      <c r="B74" s="1562">
        <v>311</v>
      </c>
      <c r="C74" s="1563">
        <v>5</v>
      </c>
      <c r="D74" s="1563">
        <v>29</v>
      </c>
      <c r="E74" s="45"/>
    </row>
    <row r="75" spans="2:5" s="23" customFormat="1">
      <c r="B75" s="1562">
        <v>424</v>
      </c>
      <c r="C75" s="1563">
        <v>6</v>
      </c>
      <c r="D75" s="1563">
        <v>28</v>
      </c>
      <c r="E75" s="45"/>
    </row>
    <row r="76" spans="2:5" s="23" customFormat="1">
      <c r="B76" s="1562">
        <v>425</v>
      </c>
      <c r="C76" s="1563">
        <v>3</v>
      </c>
      <c r="D76" s="1563">
        <v>4</v>
      </c>
    </row>
    <row r="77" spans="2:5" s="23" customFormat="1">
      <c r="B77" s="1562">
        <v>441</v>
      </c>
      <c r="C77" s="1563">
        <v>5</v>
      </c>
      <c r="D77" s="1563">
        <v>70</v>
      </c>
      <c r="E77" s="45"/>
    </row>
    <row r="78" spans="2:5" s="23" customFormat="1">
      <c r="B78" s="1562">
        <v>442</v>
      </c>
      <c r="C78" s="1563">
        <v>11</v>
      </c>
      <c r="D78" s="1563">
        <v>58</v>
      </c>
      <c r="E78" s="45"/>
    </row>
    <row r="79" spans="2:5" s="23" customFormat="1">
      <c r="B79" s="1562">
        <v>444</v>
      </c>
      <c r="C79" s="1563">
        <v>13</v>
      </c>
      <c r="D79" s="1563">
        <v>203</v>
      </c>
      <c r="E79" s="45"/>
    </row>
    <row r="80" spans="2:5" s="23" customFormat="1">
      <c r="B80" s="1562">
        <v>445</v>
      </c>
      <c r="C80" s="1563">
        <v>20</v>
      </c>
      <c r="D80" s="1563">
        <v>313</v>
      </c>
      <c r="E80" s="45"/>
    </row>
    <row r="81" spans="2:5" s="23" customFormat="1">
      <c r="B81" s="1562">
        <v>446</v>
      </c>
      <c r="C81" s="1563">
        <v>4</v>
      </c>
      <c r="D81" s="1563">
        <v>40</v>
      </c>
      <c r="E81" s="45"/>
    </row>
    <row r="82" spans="2:5" s="23" customFormat="1">
      <c r="B82" s="1562">
        <v>447</v>
      </c>
      <c r="C82" s="1563">
        <v>3</v>
      </c>
      <c r="D82" s="1563">
        <v>43</v>
      </c>
      <c r="E82" s="45"/>
    </row>
    <row r="83" spans="2:5" s="23" customFormat="1">
      <c r="B83" s="1562">
        <v>448</v>
      </c>
      <c r="C83" s="1563">
        <v>61</v>
      </c>
      <c r="D83" s="1563">
        <v>213</v>
      </c>
      <c r="E83" s="45"/>
    </row>
    <row r="84" spans="2:5" s="23" customFormat="1">
      <c r="B84" s="1562">
        <v>451</v>
      </c>
      <c r="C84" s="1563">
        <v>9</v>
      </c>
      <c r="D84" s="1563">
        <v>25</v>
      </c>
      <c r="E84" s="45"/>
    </row>
    <row r="85" spans="2:5" s="23" customFormat="1">
      <c r="B85" s="1562">
        <v>453</v>
      </c>
      <c r="C85" s="1563">
        <v>26</v>
      </c>
      <c r="D85" s="1563">
        <v>82</v>
      </c>
      <c r="E85" s="45"/>
    </row>
    <row r="86" spans="2:5" s="23" customFormat="1">
      <c r="B86" s="1562">
        <v>484</v>
      </c>
      <c r="C86" s="1563">
        <v>4</v>
      </c>
      <c r="D86" s="1563">
        <v>59</v>
      </c>
      <c r="E86" s="45"/>
    </row>
    <row r="87" spans="2:5" s="23" customFormat="1">
      <c r="B87" s="1562">
        <v>487</v>
      </c>
      <c r="C87" s="1563">
        <v>5</v>
      </c>
      <c r="D87" s="1563">
        <v>17</v>
      </c>
      <c r="E87" s="45"/>
    </row>
    <row r="88" spans="2:5" s="23" customFormat="1">
      <c r="B88" s="1562">
        <v>492</v>
      </c>
      <c r="C88" s="1563">
        <v>5</v>
      </c>
      <c r="D88" s="1563">
        <v>50</v>
      </c>
      <c r="E88" s="45"/>
    </row>
    <row r="89" spans="2:5" s="23" customFormat="1">
      <c r="B89" s="1562">
        <v>511</v>
      </c>
      <c r="C89" s="1563">
        <v>4</v>
      </c>
      <c r="D89" s="1563">
        <v>32</v>
      </c>
      <c r="E89" s="45"/>
    </row>
    <row r="90" spans="2:5" s="23" customFormat="1">
      <c r="B90" s="1562">
        <v>522</v>
      </c>
      <c r="C90" s="1563">
        <v>9</v>
      </c>
      <c r="D90" s="1563">
        <v>47</v>
      </c>
      <c r="E90" s="45"/>
    </row>
    <row r="91" spans="2:5" s="23" customFormat="1">
      <c r="B91" s="1562">
        <v>523</v>
      </c>
      <c r="C91" s="1563">
        <v>3</v>
      </c>
      <c r="D91" s="1563">
        <v>7</v>
      </c>
      <c r="E91" s="45"/>
    </row>
    <row r="92" spans="2:5" s="23" customFormat="1">
      <c r="B92" s="1562">
        <v>524</v>
      </c>
      <c r="C92" s="1563">
        <v>4</v>
      </c>
      <c r="D92" s="1563">
        <v>26</v>
      </c>
      <c r="E92" s="45"/>
    </row>
    <row r="93" spans="2:5" s="23" customFormat="1">
      <c r="B93" s="1562">
        <v>531</v>
      </c>
      <c r="C93" s="1563">
        <v>74</v>
      </c>
      <c r="D93" s="1563">
        <v>127</v>
      </c>
      <c r="E93" s="45"/>
    </row>
    <row r="94" spans="2:5" s="23" customFormat="1">
      <c r="B94" s="1562">
        <v>532</v>
      </c>
      <c r="C94" s="1563">
        <v>11</v>
      </c>
      <c r="D94" s="1563">
        <v>73</v>
      </c>
      <c r="E94" s="45"/>
    </row>
    <row r="95" spans="2:5" s="23" customFormat="1">
      <c r="B95" s="1562">
        <v>541</v>
      </c>
      <c r="C95" s="1563">
        <v>78</v>
      </c>
      <c r="D95" s="1563">
        <v>199</v>
      </c>
      <c r="E95" s="45"/>
    </row>
    <row r="96" spans="2:5" s="23" customFormat="1">
      <c r="B96" s="1562">
        <v>561</v>
      </c>
      <c r="C96" s="1563">
        <v>116</v>
      </c>
      <c r="D96" s="1563">
        <v>687</v>
      </c>
      <c r="E96" s="45"/>
    </row>
    <row r="97" spans="2:5" s="23" customFormat="1">
      <c r="B97" s="1562">
        <v>562</v>
      </c>
      <c r="C97" s="1563">
        <v>5</v>
      </c>
      <c r="D97" s="1563">
        <v>50</v>
      </c>
      <c r="E97" s="45"/>
    </row>
    <row r="98" spans="2:5" s="23" customFormat="1">
      <c r="B98" s="1562">
        <v>621</v>
      </c>
      <c r="C98" s="1563">
        <v>18</v>
      </c>
      <c r="D98" s="1563">
        <v>144</v>
      </c>
      <c r="E98" s="45"/>
    </row>
    <row r="99" spans="2:5" s="23" customFormat="1">
      <c r="B99" s="1562">
        <v>624</v>
      </c>
      <c r="C99" s="1563">
        <v>11</v>
      </c>
      <c r="D99" s="1563">
        <v>64</v>
      </c>
      <c r="E99" s="45"/>
    </row>
    <row r="100" spans="2:5" s="23" customFormat="1">
      <c r="B100" s="1562">
        <v>711</v>
      </c>
      <c r="C100" s="1563">
        <v>5</v>
      </c>
      <c r="D100" s="1563">
        <v>35</v>
      </c>
      <c r="E100" s="45"/>
    </row>
    <row r="101" spans="2:5" s="23" customFormat="1">
      <c r="B101" s="1562">
        <v>712</v>
      </c>
      <c r="C101" s="1563">
        <v>6</v>
      </c>
      <c r="D101" s="1563">
        <v>107</v>
      </c>
      <c r="E101" s="45"/>
    </row>
    <row r="102" spans="2:5" s="23" customFormat="1">
      <c r="B102" s="1562">
        <v>713</v>
      </c>
      <c r="C102" s="1563">
        <v>21</v>
      </c>
      <c r="D102" s="1563">
        <v>424</v>
      </c>
      <c r="E102" s="45"/>
    </row>
    <row r="103" spans="2:5" s="23" customFormat="1">
      <c r="B103" s="1562">
        <v>721</v>
      </c>
      <c r="C103" s="1563">
        <v>29</v>
      </c>
      <c r="D103" s="1563">
        <v>317</v>
      </c>
      <c r="E103" s="45"/>
    </row>
    <row r="104" spans="2:5" s="23" customFormat="1">
      <c r="B104" s="1562">
        <v>722</v>
      </c>
      <c r="C104" s="1563">
        <v>100</v>
      </c>
      <c r="D104" s="1563">
        <v>1301</v>
      </c>
      <c r="E104" s="45"/>
    </row>
    <row r="105" spans="2:5" s="23" customFormat="1">
      <c r="B105" s="1562">
        <v>811</v>
      </c>
      <c r="C105" s="1563">
        <v>10</v>
      </c>
      <c r="D105" s="1563">
        <v>48</v>
      </c>
      <c r="E105" s="45"/>
    </row>
    <row r="106" spans="2:5" s="23" customFormat="1">
      <c r="B106" s="1562">
        <v>812</v>
      </c>
      <c r="C106" s="1563">
        <v>23</v>
      </c>
      <c r="D106" s="1563">
        <v>81</v>
      </c>
      <c r="E106" s="45"/>
    </row>
    <row r="107" spans="2:5" s="23" customFormat="1">
      <c r="B107" s="1562">
        <v>813</v>
      </c>
      <c r="C107" s="1563">
        <v>18</v>
      </c>
      <c r="D107" s="1563">
        <v>94</v>
      </c>
      <c r="E107" s="45"/>
    </row>
    <row r="108" spans="2:5" s="23" customFormat="1">
      <c r="B108" s="1562">
        <v>814</v>
      </c>
      <c r="C108" s="1563">
        <v>35</v>
      </c>
      <c r="D108" s="1563">
        <v>41</v>
      </c>
      <c r="E108" s="45"/>
    </row>
    <row r="109" spans="2:5" s="23" customFormat="1">
      <c r="B109" s="1562">
        <v>926</v>
      </c>
      <c r="C109" s="1563">
        <v>4</v>
      </c>
      <c r="D109" s="1563">
        <v>34</v>
      </c>
      <c r="E109" s="45"/>
    </row>
    <row r="110" spans="2:5" s="23" customFormat="1">
      <c r="B110" s="1566"/>
      <c r="C110" s="1567"/>
      <c r="D110" s="1362"/>
      <c r="E110" s="45"/>
    </row>
    <row r="111" spans="2:5" s="23" customFormat="1">
      <c r="B111" s="1566"/>
      <c r="C111" s="1567"/>
      <c r="D111" s="1362"/>
      <c r="E111" s="45"/>
    </row>
    <row r="112" spans="2:5" s="23" customFormat="1">
      <c r="B112" s="1566"/>
      <c r="C112" s="1567"/>
      <c r="D112" s="1362"/>
      <c r="E112" s="45"/>
    </row>
    <row r="113" spans="2:5" s="23" customFormat="1">
      <c r="B113" s="1566"/>
      <c r="C113" s="1567"/>
      <c r="D113" s="1362"/>
      <c r="E113" s="45"/>
    </row>
    <row r="114" spans="2:5" s="23" customFormat="1">
      <c r="B114" s="1566"/>
      <c r="C114" s="1567"/>
      <c r="D114" s="1362"/>
      <c r="E114" s="45"/>
    </row>
    <row r="115" spans="2:5" s="23" customFormat="1">
      <c r="B115" s="1566"/>
      <c r="C115" s="1567"/>
      <c r="D115" s="1362"/>
      <c r="E115" s="45"/>
    </row>
    <row r="116" spans="2:5" s="23" customFormat="1">
      <c r="B116" s="1566"/>
      <c r="C116" s="1567"/>
      <c r="D116" s="1362"/>
      <c r="E116" s="45"/>
    </row>
    <row r="117" spans="2:5" s="23" customFormat="1">
      <c r="B117" s="1566"/>
      <c r="C117" s="1567"/>
      <c r="D117" s="1362"/>
      <c r="E117" s="45"/>
    </row>
    <row r="118" spans="2:5" s="23" customFormat="1">
      <c r="B118" s="1566"/>
      <c r="C118" s="1567"/>
      <c r="D118" s="1362"/>
      <c r="E118" s="45"/>
    </row>
    <row r="119" spans="2:5" s="23" customFormat="1">
      <c r="B119" s="1566"/>
      <c r="C119" s="1567"/>
      <c r="D119" s="1362"/>
      <c r="E119" s="45"/>
    </row>
    <row r="120" spans="2:5" s="23" customFormat="1">
      <c r="B120" s="1566"/>
      <c r="C120" s="1567"/>
      <c r="D120" s="1362"/>
      <c r="E120" s="45"/>
    </row>
    <row r="121" spans="2:5" s="23" customFormat="1">
      <c r="B121" s="1566"/>
      <c r="C121" s="1567"/>
      <c r="D121" s="1362"/>
      <c r="E121" s="45"/>
    </row>
    <row r="122" spans="2:5" s="23" customFormat="1">
      <c r="B122" s="1566"/>
      <c r="C122" s="1567"/>
      <c r="D122" s="1362"/>
      <c r="E122" s="45"/>
    </row>
    <row r="123" spans="2:5" s="23" customFormat="1">
      <c r="B123" s="1566"/>
      <c r="C123" s="1567"/>
      <c r="D123" s="1362"/>
      <c r="E123" s="45"/>
    </row>
    <row r="124" spans="2:5" s="23" customFormat="1">
      <c r="B124" s="1566"/>
      <c r="C124" s="1567"/>
      <c r="D124" s="1362"/>
      <c r="E124" s="45"/>
    </row>
    <row r="125" spans="2:5" s="23" customFormat="1">
      <c r="B125" s="1566"/>
      <c r="C125" s="1567"/>
      <c r="D125" s="1362"/>
      <c r="E125" s="45"/>
    </row>
    <row r="126" spans="2:5" s="23" customFormat="1">
      <c r="B126" s="1566"/>
      <c r="C126" s="1567"/>
      <c r="D126" s="1362"/>
      <c r="E126" s="45"/>
    </row>
    <row r="127" spans="2:5" s="23" customFormat="1">
      <c r="B127" s="1566"/>
      <c r="C127" s="1567"/>
      <c r="D127" s="1362"/>
      <c r="E127" s="45"/>
    </row>
    <row r="128" spans="2:5" s="23" customFormat="1">
      <c r="B128" s="1566"/>
      <c r="C128" s="1567"/>
      <c r="D128" s="1362"/>
      <c r="E128" s="45"/>
    </row>
    <row r="129" spans="2:5" s="23" customFormat="1">
      <c r="B129" s="1566"/>
      <c r="C129" s="1567"/>
      <c r="D129" s="1362"/>
      <c r="E129" s="45"/>
    </row>
    <row r="130" spans="2:5" s="23" customFormat="1">
      <c r="B130" s="1566"/>
      <c r="C130" s="1567"/>
      <c r="D130" s="1362"/>
      <c r="E130" s="45"/>
    </row>
    <row r="131" spans="2:5" s="23" customFormat="1">
      <c r="B131" s="1566"/>
      <c r="C131" s="1567"/>
      <c r="D131" s="1362"/>
      <c r="E131" s="45"/>
    </row>
    <row r="132" spans="2:5" s="23" customFormat="1">
      <c r="B132" s="1566"/>
      <c r="C132" s="1567"/>
      <c r="D132" s="1362"/>
      <c r="E132" s="45"/>
    </row>
    <row r="133" spans="2:5" s="23" customFormat="1">
      <c r="B133" s="1566"/>
      <c r="C133" s="1567"/>
      <c r="D133" s="1362"/>
      <c r="E133" s="45"/>
    </row>
    <row r="134" spans="2:5" s="23" customFormat="1">
      <c r="B134" s="1566"/>
      <c r="C134" s="1567"/>
      <c r="D134" s="1362"/>
      <c r="E134" s="45"/>
    </row>
    <row r="135" spans="2:5" s="23" customFormat="1">
      <c r="B135" s="1566"/>
      <c r="C135" s="1567"/>
      <c r="D135" s="1362"/>
      <c r="E135" s="45"/>
    </row>
    <row r="136" spans="2:5" s="23" customFormat="1">
      <c r="B136" s="1566"/>
      <c r="C136" s="1567"/>
      <c r="D136" s="1362"/>
      <c r="E136" s="45"/>
    </row>
    <row r="137" spans="2:5" s="23" customFormat="1">
      <c r="B137" s="1566"/>
      <c r="C137" s="1567"/>
      <c r="D137" s="1362"/>
      <c r="E137" s="45"/>
    </row>
    <row r="138" spans="2:5" s="23" customFormat="1">
      <c r="B138" s="1566"/>
      <c r="C138" s="1567"/>
      <c r="D138" s="1362"/>
      <c r="E138" s="45"/>
    </row>
    <row r="139" spans="2:5" s="23" customFormat="1">
      <c r="B139" s="1566"/>
      <c r="C139" s="1567"/>
      <c r="D139" s="1362"/>
      <c r="E139" s="45"/>
    </row>
    <row r="140" spans="2:5" s="23" customFormat="1">
      <c r="B140" s="1566"/>
      <c r="C140" s="1567"/>
      <c r="D140" s="1362"/>
      <c r="E140" s="45"/>
    </row>
    <row r="141" spans="2:5" s="23" customFormat="1">
      <c r="B141" s="1566"/>
      <c r="C141" s="1567"/>
      <c r="D141" s="1362"/>
      <c r="E141" s="45"/>
    </row>
    <row r="142" spans="2:5" s="23" customFormat="1">
      <c r="B142" s="1566"/>
      <c r="C142" s="1567"/>
      <c r="D142" s="1362"/>
      <c r="E142" s="45"/>
    </row>
    <row r="143" spans="2:5" s="23" customFormat="1">
      <c r="B143" s="1566"/>
      <c r="C143" s="1567"/>
      <c r="D143" s="1362"/>
      <c r="E143" s="45"/>
    </row>
    <row r="144" spans="2:5" s="23" customFormat="1">
      <c r="B144" s="1566"/>
      <c r="C144" s="1567"/>
      <c r="D144" s="1362"/>
      <c r="E144" s="45"/>
    </row>
    <row r="145" spans="2:5" s="23" customFormat="1">
      <c r="B145" s="1566"/>
      <c r="C145" s="1567"/>
      <c r="D145" s="1362"/>
      <c r="E145" s="45"/>
    </row>
    <row r="146" spans="2:5" s="23" customFormat="1">
      <c r="B146" s="1566"/>
      <c r="C146" s="1567"/>
      <c r="D146" s="1362"/>
      <c r="E146" s="45"/>
    </row>
    <row r="147" spans="2:5" s="23" customFormat="1">
      <c r="B147" s="1566"/>
      <c r="C147" s="1567"/>
      <c r="D147" s="1362"/>
      <c r="E147" s="45"/>
    </row>
    <row r="148" spans="2:5" s="23" customFormat="1">
      <c r="B148" s="1566"/>
      <c r="C148" s="1567"/>
      <c r="D148" s="1362"/>
      <c r="E148" s="45"/>
    </row>
    <row r="149" spans="2:5" s="23" customFormat="1">
      <c r="B149" s="1566"/>
      <c r="C149" s="1567"/>
      <c r="D149" s="1362"/>
      <c r="E149" s="45"/>
    </row>
    <row r="150" spans="2:5" s="23" customFormat="1">
      <c r="B150" s="1566"/>
      <c r="C150" s="1567"/>
      <c r="D150" s="1362"/>
      <c r="E150" s="45"/>
    </row>
    <row r="151" spans="2:5" s="23" customFormat="1">
      <c r="B151" s="1566"/>
      <c r="C151" s="1567"/>
      <c r="D151" s="1362"/>
      <c r="E151" s="45"/>
    </row>
    <row r="152" spans="2:5" s="23" customFormat="1">
      <c r="B152" s="1566"/>
      <c r="C152" s="1567"/>
      <c r="D152" s="1362"/>
      <c r="E152" s="45"/>
    </row>
    <row r="153" spans="2:5" s="23" customFormat="1">
      <c r="B153" s="1566"/>
      <c r="C153" s="1567"/>
      <c r="D153" s="1362"/>
      <c r="E153" s="45"/>
    </row>
    <row r="154" spans="2:5" s="23" customFormat="1">
      <c r="B154" s="1566"/>
      <c r="C154" s="1567"/>
      <c r="D154" s="1362"/>
      <c r="E154" s="45"/>
    </row>
    <row r="155" spans="2:5" s="23" customFormat="1">
      <c r="B155" s="1566"/>
      <c r="C155" s="1567"/>
      <c r="D155" s="1362"/>
      <c r="E155" s="45"/>
    </row>
    <row r="156" spans="2:5" s="23" customFormat="1">
      <c r="B156" s="1566"/>
      <c r="C156" s="1567"/>
      <c r="D156" s="1362"/>
      <c r="E156" s="45"/>
    </row>
    <row r="157" spans="2:5" s="23" customFormat="1">
      <c r="B157" s="1566"/>
      <c r="C157" s="1567"/>
      <c r="D157" s="1362"/>
      <c r="E157" s="45"/>
    </row>
    <row r="158" spans="2:5" s="23" customFormat="1">
      <c r="B158" s="1566"/>
      <c r="C158" s="1567"/>
      <c r="D158" s="1362"/>
      <c r="E158" s="45"/>
    </row>
    <row r="159" spans="2:5" s="23" customFormat="1">
      <c r="B159" s="1566"/>
      <c r="C159" s="1567"/>
      <c r="D159" s="1362"/>
      <c r="E159" s="45"/>
    </row>
    <row r="160" spans="2:5" s="23" customFormat="1">
      <c r="B160" s="1566"/>
      <c r="C160" s="1567"/>
      <c r="D160" s="1362"/>
      <c r="E160" s="45"/>
    </row>
    <row r="161" spans="2:5" s="23" customFormat="1">
      <c r="B161" s="1566"/>
      <c r="C161" s="1567"/>
      <c r="D161" s="1362"/>
      <c r="E161" s="45"/>
    </row>
    <row r="162" spans="2:5" s="23" customFormat="1">
      <c r="B162" s="1566"/>
      <c r="C162" s="1567"/>
      <c r="D162" s="1362"/>
      <c r="E162" s="45"/>
    </row>
    <row r="163" spans="2:5" s="23" customFormat="1">
      <c r="B163" s="1566"/>
      <c r="C163" s="1567"/>
      <c r="D163" s="1362"/>
      <c r="E163" s="45"/>
    </row>
    <row r="164" spans="2:5" s="23" customFormat="1">
      <c r="B164" s="1566"/>
      <c r="C164" s="1567"/>
      <c r="D164" s="1362"/>
      <c r="E164" s="45"/>
    </row>
    <row r="165" spans="2:5" s="23" customFormat="1">
      <c r="B165" s="1566"/>
      <c r="C165" s="1567"/>
      <c r="D165" s="1362"/>
      <c r="E165" s="45"/>
    </row>
    <row r="166" spans="2:5" s="23" customFormat="1">
      <c r="B166" s="1566"/>
      <c r="C166" s="1567"/>
      <c r="D166" s="1362"/>
      <c r="E166" s="45"/>
    </row>
    <row r="167" spans="2:5" s="23" customFormat="1">
      <c r="B167" s="1566"/>
      <c r="C167" s="1567"/>
      <c r="D167" s="1362"/>
      <c r="E167" s="45"/>
    </row>
    <row r="168" spans="2:5" s="23" customFormat="1">
      <c r="B168" s="1566"/>
      <c r="C168" s="1567"/>
      <c r="D168" s="1362"/>
      <c r="E168" s="45"/>
    </row>
    <row r="169" spans="2:5" s="23" customFormat="1">
      <c r="B169" s="1566"/>
      <c r="C169" s="1567"/>
      <c r="D169" s="1362"/>
      <c r="E169" s="45"/>
    </row>
    <row r="170" spans="2:5" s="23" customFormat="1">
      <c r="B170" s="1566"/>
      <c r="C170" s="1567"/>
      <c r="D170" s="1362"/>
      <c r="E170" s="45"/>
    </row>
    <row r="171" spans="2:5" s="23" customFormat="1">
      <c r="B171" s="1566"/>
      <c r="C171" s="1567"/>
      <c r="D171" s="1362"/>
      <c r="E171" s="45"/>
    </row>
    <row r="172" spans="2:5" s="23" customFormat="1">
      <c r="B172" s="1566"/>
      <c r="C172" s="1567"/>
      <c r="D172" s="1362"/>
      <c r="E172" s="45"/>
    </row>
    <row r="173" spans="2:5" s="23" customFormat="1" ht="13.5" thickBot="1">
      <c r="B173" s="1568"/>
      <c r="C173" s="1650"/>
      <c r="D173" s="1651"/>
      <c r="E173" s="45"/>
    </row>
    <row r="174" spans="2:5" s="23" customFormat="1" ht="13.5" thickBot="1">
      <c r="B174" s="1569"/>
      <c r="C174" s="1569"/>
      <c r="D174" s="1569"/>
      <c r="E174" s="45"/>
    </row>
    <row r="175" spans="2:5" s="23" customFormat="1" ht="114.75" customHeight="1" thickBot="1">
      <c r="B175" s="1913" t="s">
        <v>84</v>
      </c>
      <c r="C175" s="1914"/>
      <c r="D175" s="523" t="s">
        <v>85</v>
      </c>
      <c r="E175" s="45"/>
    </row>
    <row r="176" spans="2:5" s="23" customFormat="1" ht="109.5" customHeight="1" thickBot="1">
      <c r="B176" s="1952" t="s">
        <v>86</v>
      </c>
      <c r="C176" s="1953"/>
      <c r="D176" s="493" t="s">
        <v>87</v>
      </c>
      <c r="E176" s="45"/>
    </row>
    <row r="177" spans="2:5" s="23" customFormat="1" ht="13.5" thickBot="1">
      <c r="B177" s="1026"/>
      <c r="C177" s="1254"/>
      <c r="E177" s="45"/>
    </row>
    <row r="178" spans="2:5" s="23" customFormat="1" ht="30.75" customHeight="1" thickBot="1">
      <c r="B178" s="1950" t="s">
        <v>88</v>
      </c>
      <c r="C178" s="1951"/>
      <c r="D178" s="1026"/>
      <c r="E178" s="45"/>
    </row>
    <row r="179" spans="2:5" s="23" customFormat="1" ht="25.5">
      <c r="B179" s="698" t="s">
        <v>89</v>
      </c>
      <c r="C179" s="509" t="s">
        <v>90</v>
      </c>
      <c r="E179" s="45"/>
    </row>
    <row r="180" spans="2:5" s="23" customFormat="1">
      <c r="B180" s="699" t="s">
        <v>91</v>
      </c>
      <c r="C180" s="702">
        <v>3022</v>
      </c>
      <c r="E180" s="45"/>
    </row>
    <row r="181" spans="2:5" s="23" customFormat="1">
      <c r="B181" s="699" t="s">
        <v>92</v>
      </c>
      <c r="C181" s="702">
        <v>183</v>
      </c>
      <c r="E181" s="45"/>
    </row>
    <row r="182" spans="2:5" s="23" customFormat="1">
      <c r="B182" s="699" t="s">
        <v>93</v>
      </c>
      <c r="C182" s="702">
        <v>290</v>
      </c>
      <c r="E182" s="45"/>
    </row>
    <row r="183" spans="2:5" s="23" customFormat="1">
      <c r="B183" s="699" t="s">
        <v>94</v>
      </c>
      <c r="C183" s="702">
        <v>131</v>
      </c>
      <c r="E183" s="45"/>
    </row>
    <row r="184" spans="2:5" s="23" customFormat="1">
      <c r="B184" s="699" t="s">
        <v>95</v>
      </c>
      <c r="C184" s="702">
        <v>37</v>
      </c>
      <c r="E184" s="45"/>
    </row>
    <row r="185" spans="2:5" s="23" customFormat="1">
      <c r="B185" s="699" t="s">
        <v>96</v>
      </c>
      <c r="C185" s="702">
        <v>0</v>
      </c>
      <c r="E185" s="45"/>
    </row>
    <row r="186" spans="2:5" s="23" customFormat="1">
      <c r="B186" s="699" t="s">
        <v>97</v>
      </c>
      <c r="C186" s="702">
        <v>46</v>
      </c>
      <c r="E186" s="45"/>
    </row>
    <row r="187" spans="2:5" s="23" customFormat="1" ht="13.5" thickBot="1">
      <c r="B187" s="700" t="s">
        <v>98</v>
      </c>
      <c r="C187" s="1652">
        <v>0</v>
      </c>
      <c r="E187" s="45"/>
    </row>
    <row r="188" spans="2:5" s="23" customFormat="1" ht="25.5">
      <c r="B188" s="701" t="s">
        <v>99</v>
      </c>
      <c r="C188" s="509" t="s">
        <v>100</v>
      </c>
      <c r="E188" s="45"/>
    </row>
    <row r="189" spans="2:5" s="23" customFormat="1" ht="13.5" thickBot="1">
      <c r="B189" s="700" t="s">
        <v>101</v>
      </c>
      <c r="C189" s="1653">
        <v>0.33339999999999997</v>
      </c>
      <c r="E189" s="45"/>
    </row>
    <row r="190" spans="2:5" s="23" customFormat="1" ht="13.5" thickBot="1">
      <c r="B190" s="1569"/>
      <c r="C190" s="1569"/>
      <c r="D190" s="1569"/>
      <c r="E190" s="45"/>
    </row>
    <row r="191" spans="2:5" s="24" customFormat="1" ht="21" thickBot="1">
      <c r="B191" s="1915" t="s">
        <v>102</v>
      </c>
      <c r="C191" s="1916"/>
      <c r="D191" s="1916"/>
      <c r="E191" s="1917"/>
    </row>
    <row r="192" spans="2:5" s="23" customFormat="1" ht="13.5" thickBot="1"/>
    <row r="193" spans="2:6" s="23" customFormat="1" ht="150" customHeight="1" thickBot="1">
      <c r="B193" s="1947" t="s">
        <v>103</v>
      </c>
      <c r="C193" s="1948"/>
      <c r="D193" s="524" t="s">
        <v>104</v>
      </c>
    </row>
    <row r="194" spans="2:6" s="23" customFormat="1" ht="166.5" customHeight="1" thickBot="1">
      <c r="B194" s="1947" t="s">
        <v>105</v>
      </c>
      <c r="C194" s="1948"/>
      <c r="D194" s="493" t="s">
        <v>104</v>
      </c>
    </row>
    <row r="195" spans="2:6" s="23" customFormat="1" ht="106.5" customHeight="1" thickBot="1">
      <c r="B195" s="1910" t="s">
        <v>106</v>
      </c>
      <c r="C195" s="1949"/>
      <c r="D195" s="524" t="s">
        <v>107</v>
      </c>
    </row>
    <row r="196" spans="2:6" s="23" customFormat="1" ht="21.75" customHeight="1" thickBot="1">
      <c r="B196" s="1936" t="s">
        <v>108</v>
      </c>
      <c r="C196" s="1937"/>
      <c r="D196" s="1938"/>
    </row>
    <row r="197" spans="2:6" s="23" customFormat="1">
      <c r="B197" s="1419" t="s">
        <v>109</v>
      </c>
      <c r="C197" s="1420" t="s">
        <v>110</v>
      </c>
      <c r="D197" s="1881" t="s">
        <v>111</v>
      </c>
      <c r="E197" s="535"/>
      <c r="F197" s="89"/>
    </row>
    <row r="198" spans="2:6" s="23" customFormat="1">
      <c r="B198" s="522" t="s">
        <v>112</v>
      </c>
      <c r="C198" s="1857">
        <v>6471</v>
      </c>
      <c r="D198" s="1310">
        <v>6471</v>
      </c>
      <c r="E198" s="24"/>
      <c r="F198" s="8"/>
    </row>
    <row r="199" spans="2:6" s="23" customFormat="1">
      <c r="B199" s="522" t="s">
        <v>113</v>
      </c>
      <c r="C199" s="1858">
        <v>124</v>
      </c>
      <c r="D199" s="1313">
        <v>124</v>
      </c>
      <c r="E199" s="24"/>
      <c r="F199" s="24"/>
    </row>
    <row r="200" spans="2:6" s="23" customFormat="1">
      <c r="B200" s="522" t="s">
        <v>114</v>
      </c>
      <c r="C200" s="1859">
        <v>141938257</v>
      </c>
      <c r="D200" s="1528">
        <v>141938257</v>
      </c>
    </row>
    <row r="201" spans="2:6" s="23" customFormat="1" ht="26.25" thickBot="1">
      <c r="B201" s="1551" t="s">
        <v>115</v>
      </c>
      <c r="C201" s="1654"/>
      <c r="D201" s="1655"/>
    </row>
    <row r="202" spans="2:6" s="23" customFormat="1" ht="13.5" thickBot="1"/>
    <row r="203" spans="2:6" s="23" customFormat="1" ht="104.25" customHeight="1" thickBot="1">
      <c r="B203" s="1945" t="s">
        <v>116</v>
      </c>
      <c r="C203" s="1946"/>
      <c r="D203" s="524" t="s">
        <v>117</v>
      </c>
    </row>
    <row r="204" spans="2:6" s="23" customFormat="1" ht="15" thickBot="1">
      <c r="B204" s="1936" t="s">
        <v>118</v>
      </c>
      <c r="C204" s="1939"/>
      <c r="D204" s="1909"/>
    </row>
    <row r="205" spans="2:6" s="23" customFormat="1">
      <c r="B205" s="1318" t="s">
        <v>119</v>
      </c>
      <c r="C205" s="1940" t="s">
        <v>23</v>
      </c>
      <c r="D205" s="1941"/>
    </row>
    <row r="206" spans="2:6" s="23" customFormat="1">
      <c r="B206" s="1319" t="s">
        <v>120</v>
      </c>
      <c r="C206" s="1874" t="s">
        <v>121</v>
      </c>
      <c r="D206" s="1884" t="s">
        <v>122</v>
      </c>
    </row>
    <row r="207" spans="2:6" s="23" customFormat="1">
      <c r="B207" s="231" t="s">
        <v>123</v>
      </c>
      <c r="C207" s="1311">
        <v>590644</v>
      </c>
      <c r="D207" s="1310">
        <v>100</v>
      </c>
    </row>
    <row r="208" spans="2:6" s="23" customFormat="1">
      <c r="B208" s="231" t="s">
        <v>124</v>
      </c>
      <c r="C208" s="1311">
        <v>16793914</v>
      </c>
      <c r="D208" s="1310">
        <v>11490</v>
      </c>
    </row>
    <row r="209" spans="2:8" s="23" customFormat="1">
      <c r="B209" s="232" t="s">
        <v>125</v>
      </c>
      <c r="C209" s="1312">
        <v>965835</v>
      </c>
      <c r="D209" s="1313">
        <v>758</v>
      </c>
    </row>
    <row r="210" spans="2:8" s="23" customFormat="1" ht="13.5" thickBot="1">
      <c r="B210" s="1305" t="s">
        <v>126</v>
      </c>
      <c r="C210" s="1314">
        <v>22164714</v>
      </c>
      <c r="D210" s="1656">
        <v>948</v>
      </c>
    </row>
    <row r="211" spans="2:8" s="23" customFormat="1" ht="13.5" thickBot="1"/>
    <row r="212" spans="2:8" s="23" customFormat="1" ht="24.75" customHeight="1" thickBot="1">
      <c r="B212" s="1921" t="s">
        <v>20</v>
      </c>
      <c r="C212" s="1924"/>
      <c r="D212" s="1924"/>
      <c r="E212" s="1909"/>
    </row>
    <row r="213" spans="2:8" s="23" customFormat="1" ht="13.5" thickBot="1">
      <c r="G213" s="532"/>
      <c r="H213" s="533"/>
    </row>
    <row r="214" spans="2:8" s="23" customFormat="1" ht="123" customHeight="1" thickBot="1">
      <c r="B214" s="1959" t="s">
        <v>127</v>
      </c>
      <c r="C214" s="1960"/>
      <c r="D214" s="523" t="s">
        <v>128</v>
      </c>
      <c r="E214" s="24"/>
      <c r="F214" s="532"/>
      <c r="G214" s="532"/>
      <c r="H214" s="533"/>
    </row>
    <row r="215" spans="2:8" s="23" customFormat="1" ht="14.25" thickBot="1">
      <c r="B215" s="1961" t="s">
        <v>129</v>
      </c>
      <c r="C215" s="1908"/>
      <c r="D215" s="1908"/>
      <c r="E215" s="1908"/>
      <c r="F215" s="1909"/>
    </row>
    <row r="216" spans="2:8" s="23" customFormat="1" ht="63.75">
      <c r="B216" s="256" t="s">
        <v>130</v>
      </c>
      <c r="C216" s="91" t="s">
        <v>131</v>
      </c>
      <c r="D216" s="91" t="s">
        <v>132</v>
      </c>
      <c r="E216" s="91" t="s">
        <v>133</v>
      </c>
      <c r="F216" s="93" t="s">
        <v>134</v>
      </c>
    </row>
    <row r="217" spans="2:8" s="23" customFormat="1">
      <c r="B217" s="44" t="s">
        <v>135</v>
      </c>
      <c r="C217" s="594">
        <f>SUM(C218:C222)</f>
        <v>12155</v>
      </c>
      <c r="D217" s="594">
        <f>SUM(D218:D222)</f>
        <v>4593</v>
      </c>
      <c r="E217" s="58"/>
      <c r="F217" s="255"/>
    </row>
    <row r="218" spans="2:8" s="23" customFormat="1">
      <c r="B218" s="133" t="s">
        <v>136</v>
      </c>
      <c r="C218" s="588">
        <v>11299</v>
      </c>
      <c r="D218" s="588">
        <v>4302</v>
      </c>
      <c r="E218" s="589">
        <v>14.142799999999999</v>
      </c>
      <c r="F218" s="595">
        <v>17.024699999999999</v>
      </c>
    </row>
    <row r="219" spans="2:8" s="23" customFormat="1">
      <c r="B219" s="134" t="s">
        <v>137</v>
      </c>
      <c r="C219" s="590">
        <v>161</v>
      </c>
      <c r="D219" s="590">
        <v>44</v>
      </c>
      <c r="E219" s="591">
        <v>18.869700000000002</v>
      </c>
      <c r="F219" s="596">
        <v>14.9087</v>
      </c>
    </row>
    <row r="220" spans="2:8" s="23" customFormat="1">
      <c r="B220" s="134" t="s">
        <v>138</v>
      </c>
      <c r="C220" s="590">
        <v>546</v>
      </c>
      <c r="D220" s="590">
        <v>194</v>
      </c>
      <c r="E220" s="591">
        <v>17.141999999999999</v>
      </c>
      <c r="F220" s="596">
        <v>16.3506</v>
      </c>
    </row>
    <row r="221" spans="2:8" s="23" customFormat="1">
      <c r="B221" s="134" t="s">
        <v>139</v>
      </c>
      <c r="C221" s="590">
        <v>144</v>
      </c>
      <c r="D221" s="590">
        <v>53</v>
      </c>
      <c r="E221" s="591">
        <v>15.641500000000001</v>
      </c>
      <c r="F221" s="596">
        <v>35.902900000000002</v>
      </c>
    </row>
    <row r="222" spans="2:8" s="23" customFormat="1" ht="13.5" thickBot="1">
      <c r="B222" s="135" t="s">
        <v>140</v>
      </c>
      <c r="C222" s="592">
        <v>5</v>
      </c>
      <c r="D222" s="592">
        <v>0</v>
      </c>
      <c r="E222" s="593">
        <v>25.1645</v>
      </c>
      <c r="F222" s="597"/>
      <c r="G222" s="1254"/>
    </row>
    <row r="223" spans="2:8" s="23" customFormat="1" ht="13.5" thickBot="1"/>
    <row r="224" spans="2:8" s="23" customFormat="1" ht="14.25" thickBot="1">
      <c r="B224" s="1961" t="s">
        <v>141</v>
      </c>
      <c r="C224" s="1908"/>
      <c r="D224" s="1908"/>
      <c r="E224" s="1908"/>
      <c r="F224" s="1909"/>
    </row>
    <row r="225" spans="2:7" s="23" customFormat="1" ht="63.75">
      <c r="B225" s="256" t="s">
        <v>130</v>
      </c>
      <c r="C225" s="91" t="s">
        <v>131</v>
      </c>
      <c r="D225" s="91" t="s">
        <v>142</v>
      </c>
      <c r="E225" s="91" t="s">
        <v>143</v>
      </c>
      <c r="F225" s="93" t="s">
        <v>144</v>
      </c>
    </row>
    <row r="226" spans="2:7" s="23" customFormat="1">
      <c r="B226" s="44" t="s">
        <v>145</v>
      </c>
      <c r="C226" s="594">
        <f>SUM(C227:C231)</f>
        <v>1177</v>
      </c>
      <c r="D226" s="594">
        <f>SUM(D227:D231)</f>
        <v>425</v>
      </c>
      <c r="E226" s="58"/>
      <c r="F226" s="255"/>
    </row>
    <row r="227" spans="2:7" s="23" customFormat="1">
      <c r="B227" s="134" t="s">
        <v>136</v>
      </c>
      <c r="C227" s="590">
        <v>994</v>
      </c>
      <c r="D227" s="590">
        <v>379</v>
      </c>
      <c r="E227" s="591">
        <v>16.129200000000001</v>
      </c>
      <c r="F227" s="596">
        <v>15.7835</v>
      </c>
    </row>
    <row r="228" spans="2:7" s="23" customFormat="1">
      <c r="B228" s="134" t="s">
        <v>137</v>
      </c>
      <c r="C228" s="590">
        <v>74</v>
      </c>
      <c r="D228" s="590">
        <v>14</v>
      </c>
      <c r="E228" s="591">
        <v>25.0322</v>
      </c>
      <c r="F228" s="596">
        <v>12.729799999999999</v>
      </c>
    </row>
    <row r="229" spans="2:7" s="23" customFormat="1">
      <c r="B229" s="134" t="s">
        <v>138</v>
      </c>
      <c r="C229" s="590">
        <v>100</v>
      </c>
      <c r="D229" s="590">
        <v>30</v>
      </c>
      <c r="E229" s="591">
        <v>22.949100000000001</v>
      </c>
      <c r="F229" s="596">
        <v>16.502300000000002</v>
      </c>
    </row>
    <row r="230" spans="2:7" s="23" customFormat="1">
      <c r="B230" s="134" t="s">
        <v>139</v>
      </c>
      <c r="C230" s="590">
        <v>8</v>
      </c>
      <c r="D230" s="590">
        <v>2</v>
      </c>
      <c r="E230" s="591">
        <v>27.451699999999999</v>
      </c>
      <c r="F230" s="596">
        <v>28.1556</v>
      </c>
    </row>
    <row r="231" spans="2:7" s="23" customFormat="1" ht="13.5" thickBot="1">
      <c r="B231" s="135" t="s">
        <v>140</v>
      </c>
      <c r="C231" s="592">
        <v>1</v>
      </c>
      <c r="D231" s="592">
        <v>0</v>
      </c>
      <c r="E231" s="593">
        <v>30.0168</v>
      </c>
      <c r="F231" s="597"/>
      <c r="G231" s="1254"/>
    </row>
    <row r="232" spans="2:7" s="23" customFormat="1" ht="13.5" thickBot="1"/>
    <row r="233" spans="2:7" s="23" customFormat="1" ht="118.5" customHeight="1" thickBot="1">
      <c r="B233" s="1934" t="s">
        <v>146</v>
      </c>
      <c r="C233" s="1935"/>
      <c r="D233" s="1289" t="s">
        <v>45</v>
      </c>
    </row>
    <row r="234" spans="2:7" s="23" customFormat="1" ht="14.25" customHeight="1" thickBot="1">
      <c r="B234" s="1942" t="s">
        <v>147</v>
      </c>
      <c r="C234" s="1943"/>
      <c r="D234" s="1944"/>
      <c r="E234" s="1295"/>
      <c r="F234" s="1295"/>
    </row>
    <row r="235" spans="2:7" s="23" customFormat="1" ht="25.5">
      <c r="B235" s="1262" t="s">
        <v>130</v>
      </c>
      <c r="C235" s="1263" t="s">
        <v>148</v>
      </c>
      <c r="D235" s="1264" t="s">
        <v>149</v>
      </c>
      <c r="E235" s="1296"/>
      <c r="F235" s="1296"/>
    </row>
    <row r="236" spans="2:7" s="23" customFormat="1">
      <c r="B236" s="134" t="s">
        <v>136</v>
      </c>
      <c r="C236" s="1267">
        <v>110</v>
      </c>
      <c r="D236" s="1299">
        <v>103241</v>
      </c>
      <c r="E236" s="1297"/>
      <c r="F236" s="1298"/>
    </row>
    <row r="237" spans="2:7" s="23" customFormat="1" ht="13.5" thickBot="1">
      <c r="B237" s="135" t="s">
        <v>137</v>
      </c>
      <c r="C237" s="1268">
        <v>58</v>
      </c>
      <c r="D237" s="1300">
        <v>33266</v>
      </c>
      <c r="E237" s="1297"/>
      <c r="F237" s="1298"/>
    </row>
    <row r="238" spans="2:7" s="23" customFormat="1" ht="13.5" thickBot="1"/>
    <row r="239" spans="2:7" s="23" customFormat="1" ht="112.5" customHeight="1" thickBot="1">
      <c r="B239" s="1934" t="s">
        <v>150</v>
      </c>
      <c r="C239" s="1935"/>
      <c r="D239" s="1330" t="s">
        <v>151</v>
      </c>
      <c r="E239" s="24"/>
    </row>
    <row r="240" spans="2:7" s="23" customFormat="1" ht="20.25" customHeight="1" thickBot="1">
      <c r="B240" s="1936" t="s">
        <v>152</v>
      </c>
      <c r="C240" s="1937"/>
      <c r="D240" s="1937"/>
      <c r="E240" s="1937"/>
      <c r="F240" s="1937"/>
      <c r="G240" s="1938"/>
    </row>
    <row r="241" spans="2:7" s="23" customFormat="1" ht="41.25">
      <c r="B241" s="1419" t="s">
        <v>153</v>
      </c>
      <c r="C241" s="1872" t="s">
        <v>154</v>
      </c>
      <c r="D241" s="1871" t="s">
        <v>155</v>
      </c>
      <c r="E241" s="1865" t="s">
        <v>156</v>
      </c>
      <c r="F241" s="1872" t="s">
        <v>157</v>
      </c>
      <c r="G241" s="1371" t="s">
        <v>158</v>
      </c>
    </row>
    <row r="242" spans="2:7" s="23" customFormat="1">
      <c r="B242" s="934" t="s">
        <v>159</v>
      </c>
      <c r="C242" s="1369"/>
      <c r="D242" s="1523">
        <v>176435.485681791</v>
      </c>
      <c r="E242" s="1080"/>
      <c r="F242" s="1523">
        <f>4828.99726503472</f>
        <v>4828.9972650347199</v>
      </c>
      <c r="G242" s="1524">
        <v>1019693.24894229</v>
      </c>
    </row>
    <row r="243" spans="2:7" s="23" customFormat="1">
      <c r="B243" s="935" t="s">
        <v>160</v>
      </c>
      <c r="C243" s="1367"/>
      <c r="D243" s="1080"/>
      <c r="E243" s="1080"/>
      <c r="F243" s="1267">
        <f>8050.78009298659</f>
        <v>8050.7800929865898</v>
      </c>
      <c r="G243" s="1525">
        <v>592315</v>
      </c>
    </row>
    <row r="244" spans="2:7" s="23" customFormat="1" ht="13.5" thickBot="1">
      <c r="B244" s="936" t="s">
        <v>161</v>
      </c>
      <c r="C244" s="1368"/>
      <c r="D244" s="1268">
        <v>5690208.5143182101</v>
      </c>
      <c r="E244" s="1268">
        <v>290151</v>
      </c>
      <c r="F244" s="1657"/>
      <c r="G244" s="1526">
        <v>21427919.751057699</v>
      </c>
    </row>
    <row r="245" spans="2:7" s="23" customFormat="1" ht="13.5" thickBot="1"/>
    <row r="246" spans="2:7" s="23" customFormat="1" ht="98.25" customHeight="1" thickBot="1">
      <c r="B246" s="1934" t="s">
        <v>162</v>
      </c>
      <c r="C246" s="1935"/>
      <c r="D246" s="1330" t="s">
        <v>163</v>
      </c>
    </row>
    <row r="247" spans="2:7" s="23" customFormat="1" ht="15" customHeight="1" thickBot="1">
      <c r="B247" s="1936" t="s">
        <v>164</v>
      </c>
      <c r="C247" s="1937"/>
      <c r="D247" s="1937"/>
      <c r="E247" s="1937"/>
      <c r="F247" s="1938"/>
    </row>
    <row r="248" spans="2:7" s="23" customFormat="1" ht="41.25">
      <c r="B248" s="1419" t="s">
        <v>153</v>
      </c>
      <c r="C248" s="1420" t="s">
        <v>154</v>
      </c>
      <c r="D248" s="1420" t="s">
        <v>155</v>
      </c>
      <c r="E248" s="1881" t="s">
        <v>157</v>
      </c>
      <c r="F248" s="1371" t="s">
        <v>158</v>
      </c>
    </row>
    <row r="249" spans="2:7" s="23" customFormat="1">
      <c r="B249" s="935" t="s">
        <v>165</v>
      </c>
      <c r="C249" s="1558"/>
      <c r="D249" s="1080"/>
      <c r="E249" s="1552">
        <f>57708.0261457433</f>
        <v>57708.026145743301</v>
      </c>
      <c r="F249" s="1527">
        <v>4245716.4537748201</v>
      </c>
    </row>
    <row r="250" spans="2:7" s="23" customFormat="1">
      <c r="B250" s="935" t="s">
        <v>166</v>
      </c>
      <c r="C250" s="590"/>
      <c r="D250" s="1080"/>
      <c r="E250" s="1554">
        <f>90039.5183341824</f>
        <v>90039.518334182401</v>
      </c>
      <c r="F250" s="1299">
        <v>6624421.0730052097</v>
      </c>
    </row>
    <row r="251" spans="2:7" s="23" customFormat="1">
      <c r="B251" s="935" t="s">
        <v>167</v>
      </c>
      <c r="C251" s="1367"/>
      <c r="D251" s="1080"/>
      <c r="E251" s="1555">
        <f>175585.520188672</f>
        <v>175585.520188672</v>
      </c>
      <c r="F251" s="1299">
        <v>12918243.47322</v>
      </c>
    </row>
    <row r="252" spans="2:7" s="23" customFormat="1">
      <c r="B252" s="935" t="s">
        <v>168</v>
      </c>
      <c r="C252" s="1367"/>
      <c r="D252" s="1080"/>
      <c r="E252" s="1555">
        <f>75349.8550289811</f>
        <v>75349.855028981096</v>
      </c>
      <c r="F252" s="1556">
        <v>5543667.6776665403</v>
      </c>
    </row>
    <row r="253" spans="2:7" s="23" customFormat="1">
      <c r="B253" s="1329" t="s">
        <v>169</v>
      </c>
      <c r="C253" s="1367"/>
      <c r="D253" s="1080"/>
      <c r="E253" s="1553">
        <v>6688</v>
      </c>
      <c r="F253" s="1557">
        <v>492074</v>
      </c>
    </row>
    <row r="254" spans="2:7" s="23" customFormat="1" ht="13.5" thickBot="1">
      <c r="B254" s="936" t="s">
        <v>170</v>
      </c>
      <c r="C254" s="1368"/>
      <c r="D254" s="1658">
        <v>24503024</v>
      </c>
      <c r="E254" s="1370"/>
      <c r="F254" s="1300">
        <v>24503024</v>
      </c>
    </row>
    <row r="255" spans="2:7" s="23" customFormat="1">
      <c r="B255" s="1331" t="s">
        <v>171</v>
      </c>
    </row>
    <row r="256" spans="2:7" s="23" customFormat="1" ht="13.5" thickBot="1"/>
    <row r="257" spans="2:6" s="23" customFormat="1" ht="132.75" customHeight="1" thickBot="1">
      <c r="B257" s="1955" t="s">
        <v>172</v>
      </c>
      <c r="C257" s="1956"/>
      <c r="D257" s="1957"/>
    </row>
    <row r="258" spans="2:6" s="23" customFormat="1" ht="18.75" customHeight="1" thickBot="1">
      <c r="B258" s="1936" t="s">
        <v>173</v>
      </c>
      <c r="C258" s="1937"/>
      <c r="D258" s="1937"/>
      <c r="E258" s="1937"/>
      <c r="F258" s="1938"/>
    </row>
    <row r="259" spans="2:6" s="23" customFormat="1" ht="38.25">
      <c r="B259" s="71" t="s">
        <v>153</v>
      </c>
      <c r="C259" s="1874" t="s">
        <v>174</v>
      </c>
      <c r="D259" s="1353" t="s">
        <v>175</v>
      </c>
      <c r="E259" s="1354" t="s">
        <v>176</v>
      </c>
      <c r="F259" s="1355" t="s">
        <v>177</v>
      </c>
    </row>
    <row r="260" spans="2:6" s="23" customFormat="1">
      <c r="B260" s="934" t="s">
        <v>178</v>
      </c>
      <c r="C260" s="1337">
        <v>0</v>
      </c>
      <c r="D260" s="1337">
        <v>33536</v>
      </c>
      <c r="E260" s="1205">
        <v>0</v>
      </c>
      <c r="F260" s="1206">
        <v>0</v>
      </c>
    </row>
    <row r="261" spans="2:6" s="23" customFormat="1">
      <c r="B261" s="935" t="s">
        <v>179</v>
      </c>
      <c r="C261" s="1338">
        <v>37973</v>
      </c>
      <c r="D261" s="1338">
        <v>0</v>
      </c>
      <c r="E261" s="1207">
        <v>0</v>
      </c>
      <c r="F261" s="1208">
        <v>0</v>
      </c>
    </row>
    <row r="262" spans="2:6" s="23" customFormat="1" ht="13.5" thickBot="1">
      <c r="B262" s="936" t="s">
        <v>180</v>
      </c>
      <c r="C262" s="1339">
        <v>2141</v>
      </c>
      <c r="D262" s="1339">
        <v>0</v>
      </c>
      <c r="E262" s="1209">
        <v>0</v>
      </c>
      <c r="F262" s="1210">
        <v>0</v>
      </c>
    </row>
    <row r="263" spans="2:6" s="23" customFormat="1" ht="13.5" thickBot="1">
      <c r="B263" s="1421"/>
      <c r="C263" s="1422"/>
      <c r="D263" s="1422"/>
      <c r="E263" s="1422"/>
      <c r="F263" s="1422"/>
    </row>
    <row r="264" spans="2:6" s="23" customFormat="1" ht="69" customHeight="1" thickBot="1">
      <c r="B264" s="1955" t="s">
        <v>181</v>
      </c>
      <c r="C264" s="1956"/>
      <c r="D264" s="1957"/>
      <c r="E264" s="1422"/>
      <c r="F264" s="1422"/>
    </row>
    <row r="265" spans="2:6" s="23" customFormat="1" ht="15.75" thickBot="1">
      <c r="B265" s="1936" t="s">
        <v>173</v>
      </c>
      <c r="C265" s="1937"/>
      <c r="D265" s="1937"/>
      <c r="E265" s="1937"/>
      <c r="F265" s="1938"/>
    </row>
    <row r="266" spans="2:6" s="23" customFormat="1" ht="38.25">
      <c r="B266" s="1251" t="s">
        <v>153</v>
      </c>
      <c r="C266" s="1419" t="s">
        <v>174</v>
      </c>
      <c r="D266" s="1423" t="s">
        <v>175</v>
      </c>
      <c r="E266" s="1424" t="s">
        <v>176</v>
      </c>
      <c r="F266" s="1425" t="s">
        <v>177</v>
      </c>
    </row>
    <row r="267" spans="2:6" s="23" customFormat="1" ht="13.5" thickBot="1">
      <c r="B267" s="1407" t="s">
        <v>182</v>
      </c>
      <c r="C267" s="1426">
        <v>0</v>
      </c>
      <c r="D267" s="1426">
        <v>0</v>
      </c>
      <c r="E267" s="1659">
        <v>0</v>
      </c>
      <c r="F267" s="1660">
        <v>0</v>
      </c>
    </row>
    <row r="268" spans="2:6" s="23" customFormat="1" ht="13.5" thickBot="1"/>
    <row r="269" spans="2:6" s="23" customFormat="1" ht="29.25" customHeight="1" thickBot="1">
      <c r="B269" s="1921" t="s">
        <v>21</v>
      </c>
      <c r="C269" s="1924"/>
      <c r="D269" s="1924"/>
      <c r="E269" s="1909"/>
    </row>
    <row r="270" spans="2:6" s="23" customFormat="1" ht="19.5" customHeight="1" thickBot="1"/>
    <row r="271" spans="2:6" s="23" customFormat="1" ht="40.5" customHeight="1" thickBot="1">
      <c r="B271" s="567" t="s">
        <v>183</v>
      </c>
      <c r="C271" s="573" t="s">
        <v>59</v>
      </c>
    </row>
    <row r="272" spans="2:6" s="23" customFormat="1" ht="13.5" thickBot="1"/>
    <row r="273" spans="2:3" s="23" customFormat="1" ht="44.25" customHeight="1" thickBot="1">
      <c r="B273" s="1910" t="s">
        <v>184</v>
      </c>
      <c r="C273" s="1954"/>
    </row>
    <row r="274" spans="2:3" s="23" customFormat="1" ht="21.75" customHeight="1" thickBot="1">
      <c r="B274" s="1936" t="s">
        <v>185</v>
      </c>
      <c r="C274" s="1958"/>
    </row>
    <row r="275" spans="2:3" s="23" customFormat="1">
      <c r="B275" s="1419" t="s">
        <v>186</v>
      </c>
      <c r="C275" s="1881" t="s">
        <v>187</v>
      </c>
    </row>
    <row r="276" spans="2:3" s="23" customFormat="1">
      <c r="B276" s="568" t="s">
        <v>188</v>
      </c>
      <c r="C276" s="1211">
        <v>1</v>
      </c>
    </row>
    <row r="277" spans="2:3" s="23" customFormat="1">
      <c r="B277" s="569" t="s">
        <v>189</v>
      </c>
      <c r="C277" s="1212">
        <v>0</v>
      </c>
    </row>
    <row r="278" spans="2:3" s="23" customFormat="1" ht="13.5" thickBot="1"/>
    <row r="279" spans="2:3" s="23" customFormat="1" ht="56.25" customHeight="1">
      <c r="B279" s="567" t="s">
        <v>190</v>
      </c>
      <c r="C279" s="574" t="s">
        <v>59</v>
      </c>
    </row>
    <row r="280" spans="2:3" s="23" customFormat="1" ht="13.5" thickBot="1"/>
    <row r="281" spans="2:3" s="23" customFormat="1" ht="44.25" customHeight="1" thickBot="1">
      <c r="B281" s="1910" t="s">
        <v>191</v>
      </c>
      <c r="C281" s="1954"/>
    </row>
    <row r="282" spans="2:3" s="23" customFormat="1" ht="18.75" customHeight="1" thickBot="1">
      <c r="B282" s="1936" t="s">
        <v>192</v>
      </c>
      <c r="C282" s="1958"/>
    </row>
    <row r="283" spans="2:3" s="23" customFormat="1">
      <c r="B283" s="1419" t="s">
        <v>193</v>
      </c>
      <c r="C283" s="1881" t="s">
        <v>187</v>
      </c>
    </row>
    <row r="284" spans="2:3" s="23" customFormat="1">
      <c r="B284" s="568" t="s">
        <v>194</v>
      </c>
      <c r="C284" s="1214">
        <v>1</v>
      </c>
    </row>
    <row r="285" spans="2:3" s="23" customFormat="1">
      <c r="B285" s="569" t="s">
        <v>195</v>
      </c>
      <c r="C285" s="1213">
        <v>0</v>
      </c>
    </row>
    <row r="286" spans="2:3" s="23" customFormat="1" ht="13.5" thickBot="1"/>
    <row r="287" spans="2:3" s="23" customFormat="1" ht="54.75" customHeight="1" thickBot="1">
      <c r="B287" s="567" t="s">
        <v>196</v>
      </c>
      <c r="C287" s="573" t="s">
        <v>59</v>
      </c>
    </row>
    <row r="288" spans="2:3" s="23" customFormat="1" ht="13.5" thickBot="1"/>
    <row r="289" spans="2:6" s="23" customFormat="1" ht="145.5" customHeight="1" thickBot="1">
      <c r="B289" s="1910" t="s">
        <v>197</v>
      </c>
      <c r="C289" s="1954"/>
    </row>
    <row r="290" spans="2:6" s="23" customFormat="1" ht="20.25" customHeight="1" thickBot="1">
      <c r="B290" s="1936" t="s">
        <v>198</v>
      </c>
      <c r="C290" s="1958"/>
    </row>
    <row r="291" spans="2:6" s="23" customFormat="1" ht="25.5">
      <c r="B291" s="106" t="s">
        <v>199</v>
      </c>
      <c r="C291" s="108" t="s">
        <v>200</v>
      </c>
    </row>
    <row r="292" spans="2:6" s="23" customFormat="1">
      <c r="B292" s="383" t="s">
        <v>201</v>
      </c>
      <c r="C292" s="1215">
        <v>0.15859999999999999</v>
      </c>
      <c r="D292" s="570"/>
    </row>
    <row r="293" spans="2:6" s="23" customFormat="1">
      <c r="B293" s="383" t="s">
        <v>202</v>
      </c>
      <c r="C293" s="1215">
        <v>0.51780000000000004</v>
      </c>
      <c r="D293" s="570"/>
    </row>
    <row r="294" spans="2:6" s="23" customFormat="1">
      <c r="B294" s="383" t="s">
        <v>203</v>
      </c>
      <c r="C294" s="1215">
        <v>0.15409999999999999</v>
      </c>
    </row>
    <row r="295" spans="2:6" s="23" customFormat="1">
      <c r="B295" s="383" t="s">
        <v>204</v>
      </c>
      <c r="C295" s="1215">
        <v>0.16950000000000001</v>
      </c>
    </row>
    <row r="296" spans="2:6" s="23" customFormat="1">
      <c r="B296" s="383" t="s">
        <v>205</v>
      </c>
      <c r="C296" s="1215">
        <v>0</v>
      </c>
    </row>
    <row r="297" spans="2:6" s="23" customFormat="1">
      <c r="B297" s="538" t="s">
        <v>206</v>
      </c>
      <c r="C297" s="1661">
        <v>0</v>
      </c>
    </row>
    <row r="298" spans="2:6" s="23" customFormat="1"/>
    <row r="299" spans="2:6" s="23" customFormat="1" ht="199.5" customHeight="1" thickBot="1">
      <c r="B299" s="1910" t="s">
        <v>207</v>
      </c>
      <c r="C299" s="1911"/>
      <c r="D299" s="1909"/>
    </row>
    <row r="300" spans="2:6" s="23" customFormat="1" ht="17.25" customHeight="1" thickBot="1">
      <c r="B300" s="1936" t="s">
        <v>208</v>
      </c>
      <c r="C300" s="1939"/>
      <c r="D300" s="1962"/>
    </row>
    <row r="301" spans="2:6" s="23" customFormat="1" ht="69" customHeight="1">
      <c r="B301" s="1251" t="s">
        <v>209</v>
      </c>
      <c r="C301" s="1420" t="s">
        <v>210</v>
      </c>
      <c r="D301" s="1881" t="s">
        <v>211</v>
      </c>
    </row>
    <row r="302" spans="2:6" s="23" customFormat="1">
      <c r="B302" s="541" t="s">
        <v>212</v>
      </c>
      <c r="C302" s="1363">
        <v>0</v>
      </c>
      <c r="D302" s="599">
        <v>2684.7890000000002</v>
      </c>
    </row>
    <row r="303" spans="2:6" s="23" customFormat="1">
      <c r="B303" s="541" t="s">
        <v>213</v>
      </c>
      <c r="C303" s="598">
        <v>0</v>
      </c>
      <c r="D303" s="1819">
        <v>22559.719300000001</v>
      </c>
      <c r="F303" s="1856"/>
    </row>
    <row r="304" spans="2:6" s="23" customFormat="1" ht="13.5" thickBot="1">
      <c r="B304" s="542" t="s">
        <v>214</v>
      </c>
      <c r="C304" s="1662">
        <f>SUM(C302:C303)</f>
        <v>0</v>
      </c>
      <c r="D304" s="1663">
        <f>SUM(D302:D303)</f>
        <v>25244.508300000001</v>
      </c>
      <c r="F304" s="1856"/>
    </row>
    <row r="305" spans="2:28" s="23" customFormat="1" ht="13.5" thickBot="1"/>
    <row r="306" spans="2:28" s="23" customFormat="1" ht="31.5" customHeight="1" thickBot="1">
      <c r="B306" s="567" t="s">
        <v>215</v>
      </c>
      <c r="C306" s="573" t="s">
        <v>216</v>
      </c>
    </row>
    <row r="307" spans="2:28" ht="13.5" thickBot="1">
      <c r="B307" s="23"/>
      <c r="C307" s="23"/>
      <c r="D307" s="23"/>
      <c r="E307" s="23"/>
      <c r="F307" s="23"/>
      <c r="G307" s="23"/>
      <c r="H307" s="1856"/>
      <c r="I307" s="23"/>
      <c r="J307" s="23"/>
      <c r="K307" s="23"/>
      <c r="L307" s="23"/>
      <c r="M307" s="23"/>
      <c r="N307" s="23"/>
      <c r="O307" s="23"/>
      <c r="P307" s="23"/>
      <c r="Q307" s="23"/>
      <c r="R307" s="23"/>
      <c r="S307" s="23"/>
      <c r="T307" s="23"/>
      <c r="U307" s="23"/>
      <c r="V307" s="23"/>
      <c r="W307" s="23"/>
      <c r="X307" s="23"/>
      <c r="Y307" s="23"/>
      <c r="Z307" s="23"/>
      <c r="AA307" s="23"/>
      <c r="AB307" s="23"/>
    </row>
    <row r="308" spans="2:28" s="23" customFormat="1" ht="44.25" customHeight="1" thickBot="1">
      <c r="B308" s="567" t="s">
        <v>217</v>
      </c>
      <c r="C308" s="1232">
        <v>1</v>
      </c>
    </row>
    <row r="309" spans="2:28" s="23" customFormat="1" ht="15.75" customHeight="1" thickBot="1"/>
    <row r="310" spans="2:28" s="23" customFormat="1" ht="65.25" customHeight="1" thickBot="1">
      <c r="B310" s="1910" t="s">
        <v>218</v>
      </c>
      <c r="C310" s="1958"/>
      <c r="D310" s="1233" t="s">
        <v>219</v>
      </c>
    </row>
    <row r="311" spans="2:28" ht="21" customHeight="1" thickBot="1">
      <c r="B311" s="567" t="s">
        <v>220</v>
      </c>
      <c r="C311" s="881">
        <v>17200</v>
      </c>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2:28" s="23" customFormat="1" ht="15.75" customHeight="1"/>
    <row r="313" spans="2:2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2:2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21" s="23" customFormat="1"/>
    <row r="330" s="23" customFormat="1" ht="80.25" customHeight="1"/>
    <row r="334" s="23" customFormat="1"/>
    <row r="335" s="23" customFormat="1" ht="69.75" customHeight="1"/>
    <row r="350" spans="3:3">
      <c r="C350" s="570"/>
    </row>
  </sheetData>
  <mergeCells count="52">
    <mergeCell ref="B310:C310"/>
    <mergeCell ref="B239:C239"/>
    <mergeCell ref="B214:C214"/>
    <mergeCell ref="B215:F215"/>
    <mergeCell ref="B224:F224"/>
    <mergeCell ref="B281:C281"/>
    <mergeCell ref="B289:C289"/>
    <mergeCell ref="B300:D300"/>
    <mergeCell ref="B290:C290"/>
    <mergeCell ref="B282:C282"/>
    <mergeCell ref="B274:C274"/>
    <mergeCell ref="B299:D299"/>
    <mergeCell ref="B269:E269"/>
    <mergeCell ref="B240:G240"/>
    <mergeCell ref="B247:F247"/>
    <mergeCell ref="B246:C246"/>
    <mergeCell ref="B273:C273"/>
    <mergeCell ref="B258:F258"/>
    <mergeCell ref="B257:D257"/>
    <mergeCell ref="B264:D264"/>
    <mergeCell ref="B265:F265"/>
    <mergeCell ref="B175:C175"/>
    <mergeCell ref="B194:C194"/>
    <mergeCell ref="B193:C193"/>
    <mergeCell ref="B191:E191"/>
    <mergeCell ref="B195:C195"/>
    <mergeCell ref="B178:C178"/>
    <mergeCell ref="B176:C176"/>
    <mergeCell ref="B196:D196"/>
    <mergeCell ref="B204:D204"/>
    <mergeCell ref="C205:D205"/>
    <mergeCell ref="B212:E212"/>
    <mergeCell ref="B234:D234"/>
    <mergeCell ref="B203:C203"/>
    <mergeCell ref="B233:C233"/>
    <mergeCell ref="B18:E18"/>
    <mergeCell ref="B37:E37"/>
    <mergeCell ref="B2:D2"/>
    <mergeCell ref="B16:E16"/>
    <mergeCell ref="B29:C29"/>
    <mergeCell ref="B23:C23"/>
    <mergeCell ref="B24:C24"/>
    <mergeCell ref="B4:D4"/>
    <mergeCell ref="B30:D30"/>
    <mergeCell ref="B36:C36"/>
    <mergeCell ref="B68:D68"/>
    <mergeCell ref="B44:E44"/>
    <mergeCell ref="B43:D43"/>
    <mergeCell ref="B58:D58"/>
    <mergeCell ref="B67:C67"/>
    <mergeCell ref="B59:D59"/>
    <mergeCell ref="B65:E65"/>
  </mergeCells>
  <dataValidations count="1">
    <dataValidation type="list" allowBlank="1" showInputMessage="1" showErrorMessage="1" sqref="C41" xr:uid="{00000000-0002-0000-0100-000000000000}">
      <formula1>$B$51:$B$54</formula1>
    </dataValidation>
  </dataValidations>
  <hyperlinks>
    <hyperlink ref="D67" r:id="rId1" xr:uid="{00000000-0004-0000-0100-000000000000}"/>
    <hyperlink ref="D29" r:id="rId2" xr:uid="{00000000-0004-0000-0100-000001000000}"/>
    <hyperlink ref="D175" r:id="rId3" xr:uid="{00000000-0004-0000-0100-000002000000}"/>
    <hyperlink ref="D176" r:id="rId4" xr:uid="{00000000-0004-0000-0100-000003000000}"/>
    <hyperlink ref="D310" r:id="rId5" xr:uid="{00000000-0004-0000-0100-000004000000}"/>
    <hyperlink ref="D246" r:id="rId6" xr:uid="{00000000-0004-0000-0100-000005000000}"/>
    <hyperlink ref="D239" r:id="rId7" xr:uid="{00000000-0004-0000-0100-000006000000}"/>
    <hyperlink ref="D214" r:id="rId8" xr:uid="{00000000-0004-0000-0100-000007000000}"/>
    <hyperlink ref="D36" r:id="rId9" xr:uid="{00000000-0004-0000-0100-000008000000}"/>
    <hyperlink ref="C7" location="Inputs!B16" display="Energy Data" xr:uid="{00000000-0004-0000-0100-000009000000}"/>
    <hyperlink ref="C8" location="Inputs!B212" display="Transportation Data" xr:uid="{00000000-0004-0000-0100-00000A000000}"/>
    <hyperlink ref="C9" location="Inputs!B261" display="Waste Data" xr:uid="{00000000-0004-0000-0100-00000B000000}"/>
    <hyperlink ref="D195" r:id="rId10" xr:uid="{00000000-0004-0000-0100-00000E000000}"/>
    <hyperlink ref="D203" r:id="rId11" xr:uid="{00000000-0004-0000-0100-00000F000000}"/>
    <hyperlink ref="D233" r:id="rId12" xr:uid="{00000000-0004-0000-0100-000010000000}"/>
    <hyperlink ref="D194" r:id="rId13" xr:uid="{16ECAAFB-31C0-43BA-A18A-D9EF14074DCA}"/>
    <hyperlink ref="D193" r:id="rId14" xr:uid="{9DA78BEB-B536-451E-8487-2560C6F6BC93}"/>
  </hyperlinks>
  <pageMargins left="0.7" right="0.7" top="0.75" bottom="0.75" header="0.3" footer="0.3"/>
  <pageSetup orientation="portrait" r:id="rId15"/>
  <drawing r:id="rId1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1000000}">
          <x14:formula1>
            <xm:f>'Drop-Downs'!$A$2:$A$3</xm:f>
          </x14:formula1>
          <xm:sqref>C271 C287 C46:C49 C51:C54</xm:sqref>
        </x14:dataValidation>
        <x14:dataValidation type="list" allowBlank="1" showInputMessage="1" showErrorMessage="1" xr:uid="{00000000-0002-0000-0100-000002000000}">
          <x14:formula1>
            <xm:f>'Drop-Downs'!$B$2:$B$4</xm:f>
          </x14:formula1>
          <xm:sqref>C279</xm:sqref>
        </x14:dataValidation>
        <x14:dataValidation type="list" allowBlank="1" showInputMessage="1" showErrorMessage="1" xr:uid="{00000000-0002-0000-0100-000003000000}">
          <x14:formula1>
            <xm:f>'Drop-Downs'!$C$2:$C$7</xm:f>
          </x14:formula1>
          <xm:sqref>C20</xm:sqref>
        </x14:dataValidation>
        <x14:dataValidation type="list" allowBlank="1" showInputMessage="1" showErrorMessage="1" xr:uid="{00000000-0002-0000-0100-000004000000}">
          <x14:formula1>
            <xm:f>'Drop-Downs'!$E$2:$E$352</xm:f>
          </x14:formula1>
          <xm:sqref>C12</xm:sqref>
        </x14:dataValidation>
        <x14:dataValidation type="list" allowBlank="1" showInputMessage="1" showErrorMessage="1" xr:uid="{00000000-0002-0000-0100-000005000000}">
          <x14:formula1>
            <xm:f>'Drop-Downs'!$F$2:$F$7</xm:f>
          </x14:formula1>
          <xm:sqref>C306</xm:sqref>
        </x14:dataValidation>
        <x14:dataValidation type="list" allowBlank="1" showInputMessage="1" showErrorMessage="1" xr:uid="{00000000-0002-0000-0100-000006000000}">
          <x14:formula1>
            <xm:f>'Drop-Downs'!$G$2:$G$4</xm:f>
          </x14:formula1>
          <xm:sqref>C40</xm:sqref>
        </x14:dataValidation>
        <x14:dataValidation type="list" allowBlank="1" showInputMessage="1" showErrorMessage="1" xr:uid="{00000000-0002-0000-0100-000007000000}">
          <x14:formula1>
            <xm:f>'Drop-Downs'!$G$2:$G$3</xm:f>
          </x14:formula1>
          <xm:sqref>D40</xm:sqref>
        </x14:dataValidation>
        <x14:dataValidation type="list" allowBlank="1" showInputMessage="1" showErrorMessage="1" xr:uid="{00000000-0002-0000-0100-000008000000}">
          <x14:formula1>
            <xm:f>'Drop-Downs'!$I$2:$I$15</xm:f>
          </x14:formula1>
          <xm:sqref>C205:D205</xm:sqref>
        </x14:dataValidation>
        <x14:dataValidation type="list" allowBlank="1" showInputMessage="1" showErrorMessage="1" xr:uid="{00000000-0002-0000-0100-000009000000}">
          <x14:formula1>
            <xm:f>'Drop-Downs'!$D$2:$D$43</xm:f>
          </x14:formula1>
          <xm:sqref>C21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A1:BE456"/>
  <sheetViews>
    <sheetView showGridLines="0" zoomScaleNormal="100" workbookViewId="0">
      <selection activeCell="D227" sqref="D227"/>
    </sheetView>
  </sheetViews>
  <sheetFormatPr defaultRowHeight="12.75"/>
  <cols>
    <col min="1" max="1" width="2.7109375" style="3" customWidth="1"/>
    <col min="2" max="2" width="66.7109375" style="3" customWidth="1"/>
    <col min="3" max="3" width="27" style="3" customWidth="1"/>
    <col min="4" max="4" width="29.140625" style="3" customWidth="1"/>
    <col min="5" max="6" width="19.28515625" style="3" customWidth="1"/>
    <col min="7" max="7" width="14.28515625" style="3" customWidth="1"/>
    <col min="8" max="8" width="19.5703125" style="3" customWidth="1"/>
    <col min="9" max="9" width="26.5703125" style="3" customWidth="1"/>
    <col min="10" max="10" width="18.85546875" style="3" customWidth="1"/>
    <col min="11"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57" s="34" customFormat="1" ht="15" thickBot="1">
      <c r="A1" s="40"/>
      <c r="B1" s="26"/>
      <c r="C1" s="26"/>
      <c r="D1" s="26"/>
      <c r="E1" s="26"/>
      <c r="F1" s="26"/>
      <c r="G1" s="26"/>
      <c r="H1" s="26"/>
      <c r="I1" s="26"/>
      <c r="J1" s="26"/>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row>
    <row r="2" spans="1:57" s="46" customFormat="1" ht="19.5" customHeight="1" thickBot="1">
      <c r="A2" s="40"/>
      <c r="B2" s="2244" t="s">
        <v>1553</v>
      </c>
      <c r="C2" s="2339"/>
      <c r="D2" s="2339"/>
      <c r="E2" s="1909"/>
      <c r="F2" s="17"/>
      <c r="G2" s="17"/>
      <c r="H2" s="17"/>
      <c r="I2" s="17"/>
      <c r="J2" s="17"/>
      <c r="K2" s="17"/>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row>
    <row r="3" spans="1:57" s="46" customFormat="1" ht="16.5" customHeight="1">
      <c r="A3" s="40"/>
      <c r="B3" s="165" t="s">
        <v>430</v>
      </c>
      <c r="C3" s="2182" t="s">
        <v>443</v>
      </c>
      <c r="D3" s="2231"/>
      <c r="E3" s="2232"/>
      <c r="F3" s="17"/>
      <c r="G3" s="17"/>
      <c r="H3" s="17"/>
      <c r="I3" s="17"/>
      <c r="J3" s="17"/>
      <c r="K3" s="17"/>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row>
    <row r="4" spans="1:57" s="88" customFormat="1" ht="15" customHeight="1" thickBot="1">
      <c r="A4" s="40"/>
      <c r="B4" s="166" t="s">
        <v>1281</v>
      </c>
      <c r="C4" s="2233" t="s">
        <v>458</v>
      </c>
      <c r="D4" s="2048"/>
      <c r="E4" s="2049"/>
      <c r="F4" s="17"/>
      <c r="G4" s="17"/>
      <c r="H4" s="17"/>
      <c r="I4" s="17"/>
      <c r="J4" s="17"/>
      <c r="K4" s="17"/>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row>
    <row r="5" spans="1:57" s="88" customFormat="1" ht="15" customHeight="1" thickBot="1">
      <c r="A5" s="40"/>
      <c r="B5" s="1875"/>
      <c r="C5" s="1875"/>
      <c r="D5" s="1875"/>
      <c r="E5" s="1875"/>
      <c r="F5" s="17"/>
      <c r="G5" s="17"/>
      <c r="H5" s="17"/>
      <c r="I5" s="17"/>
      <c r="J5" s="17"/>
      <c r="K5" s="17"/>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row>
    <row r="6" spans="1:57" s="46" customFormat="1" ht="15" customHeight="1" thickBot="1">
      <c r="A6" s="40"/>
      <c r="B6" s="1936" t="s">
        <v>434</v>
      </c>
      <c r="C6" s="1937"/>
      <c r="D6" s="1937"/>
      <c r="E6" s="1938"/>
      <c r="F6" s="17"/>
      <c r="G6" s="17"/>
      <c r="H6" s="17"/>
      <c r="I6" s="17"/>
      <c r="J6" s="17"/>
      <c r="K6" s="17"/>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row>
    <row r="7" spans="1:57" s="88" customFormat="1" ht="55.5" customHeight="1" thickBot="1">
      <c r="A7" s="40"/>
      <c r="B7" s="2070" t="s">
        <v>1554</v>
      </c>
      <c r="C7" s="2071"/>
      <c r="D7" s="2071"/>
      <c r="E7" s="2072"/>
      <c r="F7" s="17"/>
      <c r="G7" s="17"/>
      <c r="H7" s="17"/>
      <c r="I7" s="17"/>
      <c r="J7" s="17"/>
      <c r="K7" s="17"/>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row>
    <row r="8" spans="1:57" ht="13.5" thickBot="1">
      <c r="A8" s="40"/>
      <c r="B8" s="40"/>
      <c r="C8" s="40"/>
      <c r="D8" s="40"/>
      <c r="E8" s="40"/>
      <c r="F8" s="40"/>
      <c r="G8" s="40"/>
      <c r="H8" s="40"/>
      <c r="I8" s="22"/>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row>
    <row r="9" spans="1:57" ht="15.75" customHeight="1" thickBot="1">
      <c r="A9" s="40"/>
      <c r="B9" s="2345" t="s">
        <v>1555</v>
      </c>
      <c r="C9" s="1908"/>
      <c r="D9" s="1908"/>
      <c r="E9" s="1908"/>
      <c r="F9" s="1908"/>
      <c r="G9" s="1909"/>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1608"/>
      <c r="BE9" s="1608"/>
    </row>
    <row r="10" spans="1:57" ht="48.75" customHeight="1">
      <c r="A10" s="40"/>
      <c r="B10" s="1419" t="s">
        <v>418</v>
      </c>
      <c r="C10" s="1863" t="s">
        <v>1556</v>
      </c>
      <c r="D10" s="1420" t="s">
        <v>1557</v>
      </c>
      <c r="E10" s="1420" t="s">
        <v>1558</v>
      </c>
      <c r="F10" s="1862" t="s">
        <v>1559</v>
      </c>
      <c r="G10" s="1881" t="s">
        <v>1446</v>
      </c>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1608"/>
      <c r="BE10" s="1608"/>
    </row>
    <row r="11" spans="1:57" ht="26.25" customHeight="1">
      <c r="A11" s="40"/>
      <c r="B11" s="1880" t="s">
        <v>1560</v>
      </c>
      <c r="C11" s="412" t="s">
        <v>1561</v>
      </c>
      <c r="D11" s="1114" t="s">
        <v>1562</v>
      </c>
      <c r="E11" s="1114" t="s">
        <v>1563</v>
      </c>
      <c r="F11" s="420" t="s">
        <v>1564</v>
      </c>
      <c r="G11" s="861"/>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1608"/>
      <c r="BE11" s="1608"/>
    </row>
    <row r="12" spans="1:57" ht="13.5" thickBot="1">
      <c r="A12" s="40"/>
      <c r="B12" s="105" t="s">
        <v>425</v>
      </c>
      <c r="C12" s="413">
        <f>D39</f>
        <v>0</v>
      </c>
      <c r="D12" s="1760">
        <f>H45</f>
        <v>0.10475000000000001</v>
      </c>
      <c r="E12" s="1761">
        <v>0</v>
      </c>
      <c r="F12" s="1108">
        <v>0.1</v>
      </c>
      <c r="G12" s="1762">
        <f>C12*D12*(1-E12)*(1-F12)</f>
        <v>0</v>
      </c>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1608"/>
      <c r="BE12" s="1608"/>
    </row>
    <row r="13" spans="1:57" ht="41.25" customHeight="1" thickBot="1">
      <c r="A13" s="40"/>
      <c r="B13" s="2194" t="s">
        <v>1565</v>
      </c>
      <c r="C13" s="2195"/>
      <c r="D13" s="2195"/>
      <c r="E13" s="1958"/>
      <c r="F13" s="40"/>
      <c r="G13" s="40"/>
      <c r="H13" s="40"/>
      <c r="I13" s="22"/>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row>
    <row r="14" spans="1:57">
      <c r="A14" s="40"/>
      <c r="B14" s="40"/>
      <c r="C14" s="40"/>
      <c r="D14" s="40"/>
      <c r="E14" s="40"/>
      <c r="F14" s="40"/>
      <c r="G14" s="40"/>
      <c r="H14" s="40"/>
      <c r="I14" s="22"/>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row>
    <row r="15" spans="1:57" ht="273" customHeight="1">
      <c r="A15" s="40"/>
      <c r="B15" s="40"/>
      <c r="C15" s="40"/>
      <c r="D15" s="40"/>
      <c r="E15" s="40"/>
      <c r="F15" s="40"/>
      <c r="G15" s="40"/>
      <c r="H15" s="40"/>
      <c r="I15" s="22"/>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row>
    <row r="16" spans="1:57" ht="13.5" thickBot="1">
      <c r="A16" s="40"/>
      <c r="B16" s="40"/>
      <c r="C16" s="40"/>
      <c r="D16" s="40"/>
      <c r="E16" s="40"/>
      <c r="F16" s="40"/>
      <c r="G16" s="40"/>
      <c r="H16" s="40"/>
      <c r="I16" s="22"/>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row>
    <row r="17" spans="1:10" s="41" customFormat="1" ht="17.25" customHeight="1" thickBot="1">
      <c r="A17" s="40"/>
      <c r="B17" s="1905" t="s">
        <v>1566</v>
      </c>
      <c r="C17" s="1906"/>
      <c r="D17" s="1906"/>
      <c r="E17" s="1906"/>
      <c r="F17" s="1907"/>
      <c r="G17" s="543"/>
      <c r="H17" s="229"/>
      <c r="I17" s="229"/>
      <c r="J17" s="40"/>
    </row>
    <row r="18" spans="1:10" s="86" customFormat="1" ht="66.75" customHeight="1">
      <c r="A18" s="40"/>
      <c r="B18" s="115" t="s">
        <v>209</v>
      </c>
      <c r="C18" s="1420" t="s">
        <v>1567</v>
      </c>
      <c r="D18" s="1420" t="s">
        <v>1568</v>
      </c>
      <c r="E18" s="1420" t="s">
        <v>1569</v>
      </c>
      <c r="F18" s="1881" t="s">
        <v>1570</v>
      </c>
      <c r="G18" s="40"/>
      <c r="H18" s="229"/>
      <c r="I18" s="40"/>
      <c r="J18" s="40"/>
    </row>
    <row r="19" spans="1:10" s="41" customFormat="1" ht="15" customHeight="1">
      <c r="A19" s="40"/>
      <c r="B19" s="862" t="s">
        <v>1571</v>
      </c>
      <c r="C19" s="863">
        <f>Inputs!C302</f>
        <v>0</v>
      </c>
      <c r="D19" s="863">
        <f>Inputs!D302</f>
        <v>2684.7890000000002</v>
      </c>
      <c r="E19" s="864">
        <f>C19*'Emission Factors'!$D$144</f>
        <v>0</v>
      </c>
      <c r="F19" s="865">
        <f>D19*'Emission Factors'!$D$144</f>
        <v>2435.6003089650003</v>
      </c>
      <c r="G19" s="40"/>
      <c r="H19" s="1609"/>
      <c r="I19" s="40"/>
      <c r="J19" s="40"/>
    </row>
    <row r="20" spans="1:10" s="41" customFormat="1" ht="12.75" customHeight="1">
      <c r="A20" s="40"/>
      <c r="B20" s="866" t="s">
        <v>1572</v>
      </c>
      <c r="C20" s="867">
        <f>Inputs!C303</f>
        <v>0</v>
      </c>
      <c r="D20" s="867">
        <f>Inputs!D303</f>
        <v>22559.719300000001</v>
      </c>
      <c r="E20" s="868">
        <f>C20*'Emission Factors'!$D$144</f>
        <v>0</v>
      </c>
      <c r="F20" s="869">
        <f>D20*'Emission Factors'!$D$144</f>
        <v>20465.8389531705</v>
      </c>
      <c r="G20" s="40"/>
      <c r="H20" s="229"/>
      <c r="I20" s="40"/>
      <c r="J20" s="40"/>
    </row>
    <row r="21" spans="1:10" s="41" customFormat="1" ht="15" customHeight="1" thickBot="1">
      <c r="A21" s="40"/>
      <c r="B21" s="542" t="s">
        <v>214</v>
      </c>
      <c r="C21" s="1662">
        <f>SUM(C19:C20)</f>
        <v>0</v>
      </c>
      <c r="D21" s="1662">
        <f>SUM(D19:D20)</f>
        <v>25244.508300000001</v>
      </c>
      <c r="E21" s="1662">
        <f>SUM(E19:E20)</f>
        <v>0</v>
      </c>
      <c r="F21" s="1663">
        <f>SUM(F19:F20)</f>
        <v>22901.4392621355</v>
      </c>
      <c r="G21" s="40"/>
      <c r="H21" s="229"/>
      <c r="I21" s="40"/>
      <c r="J21" s="40"/>
    </row>
    <row r="22" spans="1:10" s="41" customFormat="1" ht="15" customHeight="1" thickBot="1">
      <c r="A22" s="40"/>
      <c r="B22" s="40"/>
      <c r="C22" s="42"/>
      <c r="D22" s="229"/>
      <c r="E22" s="229"/>
      <c r="F22" s="40"/>
      <c r="G22" s="40"/>
      <c r="H22" s="40"/>
      <c r="I22" s="229"/>
      <c r="J22" s="40"/>
    </row>
    <row r="23" spans="1:10" s="88" customFormat="1" ht="18" customHeight="1" thickBot="1">
      <c r="A23" s="40"/>
      <c r="B23" s="1905" t="s">
        <v>11</v>
      </c>
      <c r="C23" s="2114"/>
      <c r="D23" s="2114"/>
      <c r="E23" s="2142"/>
      <c r="F23" s="543"/>
      <c r="G23" s="40"/>
      <c r="H23" s="40"/>
      <c r="I23" s="229"/>
      <c r="J23" s="40"/>
    </row>
    <row r="24" spans="1:10" s="88" customFormat="1" ht="38.25">
      <c r="A24" s="40"/>
      <c r="B24" s="115" t="s">
        <v>1573</v>
      </c>
      <c r="C24" s="75" t="s">
        <v>408</v>
      </c>
      <c r="D24" s="75" t="s">
        <v>409</v>
      </c>
      <c r="E24" s="1884" t="s">
        <v>1574</v>
      </c>
      <c r="F24" s="40"/>
      <c r="G24" s="40"/>
      <c r="H24" s="40"/>
      <c r="I24" s="229"/>
      <c r="J24" s="40"/>
    </row>
    <row r="25" spans="1:10" s="88" customFormat="1" ht="26.25" thickBot="1">
      <c r="A25" s="40"/>
      <c r="B25" s="114" t="s">
        <v>1575</v>
      </c>
      <c r="C25" s="1610" t="s">
        <v>1576</v>
      </c>
      <c r="D25" s="614">
        <f>SUM(D26:D28,D30:D31)</f>
        <v>3860000</v>
      </c>
      <c r="E25" s="417">
        <v>1</v>
      </c>
      <c r="F25" s="40"/>
      <c r="G25" s="40"/>
      <c r="H25" s="40"/>
      <c r="I25" s="229"/>
      <c r="J25" s="40"/>
    </row>
    <row r="26" spans="1:10" s="88" customFormat="1" ht="25.5" customHeight="1">
      <c r="A26" s="40"/>
      <c r="B26" s="2346" t="s">
        <v>1577</v>
      </c>
      <c r="C26" s="414" t="s">
        <v>1578</v>
      </c>
      <c r="D26" s="307">
        <f>'Adjust Inventory Year'!C113</f>
        <v>820000</v>
      </c>
      <c r="E26" s="554"/>
      <c r="F26" s="40"/>
      <c r="G26" s="40"/>
      <c r="H26" s="1611"/>
      <c r="I26" s="229"/>
      <c r="J26" s="40"/>
    </row>
    <row r="27" spans="1:10" s="88" customFormat="1" ht="25.5" customHeight="1">
      <c r="A27" s="40"/>
      <c r="B27" s="2347"/>
      <c r="C27" s="415" t="s">
        <v>1579</v>
      </c>
      <c r="D27" s="306">
        <f>'Adjust Inventory Year'!C114</f>
        <v>0</v>
      </c>
      <c r="E27" s="555"/>
      <c r="F27" s="40"/>
      <c r="G27" s="1611"/>
      <c r="H27" s="1611"/>
      <c r="I27" s="229"/>
      <c r="J27" s="40"/>
    </row>
    <row r="28" spans="1:10" s="88" customFormat="1" ht="25.5" customHeight="1">
      <c r="A28" s="40"/>
      <c r="B28" s="2347"/>
      <c r="C28" s="416" t="s">
        <v>1580</v>
      </c>
      <c r="D28" s="306">
        <f>'Adjust Inventory Year'!C115</f>
        <v>60000</v>
      </c>
      <c r="E28" s="556"/>
      <c r="F28" s="40"/>
      <c r="G28" s="40"/>
      <c r="H28" s="40"/>
      <c r="I28" s="229"/>
      <c r="J28" s="1611"/>
    </row>
    <row r="29" spans="1:10" s="88" customFormat="1" ht="25.5" customHeight="1" thickBot="1">
      <c r="A29" s="40"/>
      <c r="B29" s="2348"/>
      <c r="C29" s="1763" t="s">
        <v>1581</v>
      </c>
      <c r="D29" s="1705">
        <f>SUM(D26:D28)</f>
        <v>880000</v>
      </c>
      <c r="E29" s="1764">
        <f>IF(Inputs!C271="No",D29/$D$25,Inputs!C276)</f>
        <v>1</v>
      </c>
      <c r="F29" s="1612"/>
      <c r="G29" s="40"/>
      <c r="H29" s="40"/>
      <c r="I29" s="229"/>
      <c r="J29" s="40"/>
    </row>
    <row r="30" spans="1:10" s="88" customFormat="1" ht="25.5" customHeight="1">
      <c r="A30" s="40"/>
      <c r="B30" s="2349" t="s">
        <v>1582</v>
      </c>
      <c r="C30" s="414" t="s">
        <v>1578</v>
      </c>
      <c r="D30" s="307">
        <f>'Adjust Inventory Year'!C116</f>
        <v>2970000</v>
      </c>
      <c r="E30" s="554"/>
      <c r="F30" s="1612"/>
      <c r="G30" s="40"/>
      <c r="H30" s="40"/>
      <c r="I30" s="229"/>
      <c r="J30" s="40"/>
    </row>
    <row r="31" spans="1:10" s="88" customFormat="1" ht="25.5" customHeight="1">
      <c r="A31" s="40"/>
      <c r="B31" s="2347"/>
      <c r="C31" s="416" t="s">
        <v>1583</v>
      </c>
      <c r="D31" s="329">
        <f>'Adjust Inventory Year'!C117</f>
        <v>10000</v>
      </c>
      <c r="E31" s="556"/>
      <c r="F31" s="40"/>
      <c r="G31" s="40"/>
      <c r="H31" s="40"/>
      <c r="I31" s="229"/>
      <c r="J31" s="40"/>
    </row>
    <row r="32" spans="1:10" s="88" customFormat="1" ht="25.5" customHeight="1" thickBot="1">
      <c r="A32" s="40"/>
      <c r="B32" s="2348"/>
      <c r="C32" s="1763" t="s">
        <v>1584</v>
      </c>
      <c r="D32" s="1649">
        <f>SUM(D30:D31)</f>
        <v>2980000</v>
      </c>
      <c r="E32" s="1764">
        <f>IF(Inputs!C271="No",D32/$D$25,Inputs!C277)</f>
        <v>0</v>
      </c>
      <c r="F32" s="40"/>
      <c r="G32" s="40"/>
      <c r="H32" s="40"/>
      <c r="I32" s="229"/>
      <c r="J32" s="40"/>
    </row>
    <row r="33" spans="1:40" s="88" customFormat="1" ht="45" customHeight="1" thickBot="1">
      <c r="A33" s="40"/>
      <c r="B33" s="2242" t="s">
        <v>1585</v>
      </c>
      <c r="C33" s="2344"/>
      <c r="D33" s="2344"/>
      <c r="E33" s="523" t="s">
        <v>1586</v>
      </c>
      <c r="F33" s="418"/>
      <c r="G33" s="1611"/>
      <c r="H33" s="1612"/>
      <c r="I33" s="229"/>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row>
    <row r="34" spans="1:40" s="88" customFormat="1" ht="13.5" thickBot="1">
      <c r="A34" s="40"/>
      <c r="B34" s="116"/>
      <c r="C34" s="117"/>
      <c r="D34" s="241"/>
      <c r="E34" s="118"/>
      <c r="F34" s="1612"/>
      <c r="G34" s="1611"/>
      <c r="H34" s="40"/>
      <c r="I34" s="229"/>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ht="21" customHeight="1" thickBot="1">
      <c r="A35" s="1608"/>
      <c r="B35" s="2353" t="s">
        <v>1587</v>
      </c>
      <c r="C35" s="2359"/>
      <c r="D35" s="2360"/>
      <c r="E35" s="543"/>
      <c r="F35" s="1608"/>
      <c r="G35" s="1611"/>
      <c r="H35" s="40"/>
      <c r="I35" s="40"/>
      <c r="J35" s="40"/>
      <c r="K35" s="40"/>
      <c r="L35" s="40"/>
      <c r="M35" s="40"/>
      <c r="N35" s="40"/>
      <c r="O35" s="40"/>
      <c r="P35" s="40"/>
      <c r="Q35" s="1608"/>
      <c r="R35" s="1608"/>
      <c r="S35" s="1608"/>
      <c r="T35" s="1608"/>
      <c r="U35" s="1608"/>
      <c r="V35" s="1608"/>
      <c r="W35" s="1608"/>
      <c r="X35" s="1608"/>
      <c r="Y35" s="1608"/>
      <c r="Z35" s="1608"/>
      <c r="AA35" s="1608"/>
      <c r="AB35" s="1608"/>
      <c r="AC35" s="1608"/>
      <c r="AD35" s="1608"/>
      <c r="AE35" s="1608"/>
      <c r="AF35" s="1608"/>
      <c r="AG35" s="1608"/>
      <c r="AH35" s="1608"/>
      <c r="AI35" s="1608"/>
      <c r="AJ35" s="1608"/>
      <c r="AK35" s="1608"/>
      <c r="AL35" s="1608"/>
      <c r="AM35" s="1608"/>
      <c r="AN35" s="1608"/>
    </row>
    <row r="36" spans="1:40" ht="44.25" customHeight="1" thickBot="1">
      <c r="A36" s="1608"/>
      <c r="B36" s="119" t="s">
        <v>209</v>
      </c>
      <c r="C36" s="120" t="s">
        <v>1588</v>
      </c>
      <c r="D36" s="121" t="s">
        <v>1589</v>
      </c>
      <c r="E36" s="19"/>
      <c r="F36" s="40"/>
      <c r="G36" s="1611"/>
      <c r="H36" s="40"/>
      <c r="I36" s="40"/>
      <c r="J36" s="40"/>
      <c r="K36" s="40"/>
      <c r="L36" s="40"/>
      <c r="M36" s="40"/>
      <c r="N36" s="40"/>
      <c r="O36" s="40"/>
      <c r="P36" s="40"/>
      <c r="Q36" s="1608"/>
      <c r="R36" s="1608"/>
      <c r="S36" s="1608"/>
      <c r="T36" s="1608"/>
      <c r="U36" s="1608"/>
      <c r="V36" s="1608"/>
      <c r="W36" s="1608"/>
      <c r="X36" s="1608"/>
      <c r="Y36" s="1608"/>
      <c r="Z36" s="1608"/>
      <c r="AA36" s="1608"/>
      <c r="AB36" s="1608"/>
      <c r="AC36" s="1608"/>
      <c r="AD36" s="1608"/>
      <c r="AE36" s="1608"/>
      <c r="AF36" s="1608"/>
      <c r="AG36" s="1608"/>
      <c r="AH36" s="1608"/>
      <c r="AI36" s="1608"/>
      <c r="AJ36" s="1608"/>
      <c r="AK36" s="1608"/>
      <c r="AL36" s="1608"/>
      <c r="AM36" s="1608"/>
      <c r="AN36" s="1608"/>
    </row>
    <row r="37" spans="1:40">
      <c r="A37" s="1608"/>
      <c r="B37" s="242" t="s">
        <v>1571</v>
      </c>
      <c r="C37" s="422">
        <f>C19*E29</f>
        <v>0</v>
      </c>
      <c r="D37" s="859">
        <f>C37*'Emission Factors'!$D$144</f>
        <v>0</v>
      </c>
      <c r="E37" s="19"/>
      <c r="F37" s="40"/>
      <c r="G37" s="40"/>
      <c r="H37" s="40"/>
      <c r="I37" s="40"/>
      <c r="J37" s="40"/>
      <c r="K37" s="40"/>
      <c r="L37" s="40"/>
      <c r="M37" s="40"/>
      <c r="N37" s="40"/>
      <c r="O37" s="40"/>
      <c r="P37" s="40"/>
      <c r="Q37" s="1608"/>
      <c r="R37" s="1608"/>
      <c r="S37" s="1608"/>
      <c r="T37" s="1608"/>
      <c r="U37" s="1608"/>
      <c r="V37" s="1608"/>
      <c r="W37" s="1608"/>
      <c r="X37" s="1608"/>
      <c r="Y37" s="1608"/>
      <c r="Z37" s="1608"/>
      <c r="AA37" s="1608"/>
      <c r="AB37" s="1608"/>
      <c r="AC37" s="1608"/>
      <c r="AD37" s="1608"/>
      <c r="AE37" s="1608"/>
      <c r="AF37" s="1608"/>
      <c r="AG37" s="1608"/>
      <c r="AH37" s="1608"/>
      <c r="AI37" s="1608"/>
      <c r="AJ37" s="1608"/>
      <c r="AK37" s="1608"/>
      <c r="AL37" s="1608"/>
      <c r="AM37" s="1608"/>
      <c r="AN37" s="1608"/>
    </row>
    <row r="38" spans="1:40">
      <c r="A38" s="1608"/>
      <c r="B38" s="243" t="s">
        <v>1572</v>
      </c>
      <c r="C38" s="423">
        <f>C20*E29</f>
        <v>0</v>
      </c>
      <c r="D38" s="860">
        <f>C38*'Emission Factors'!$D$144</f>
        <v>0</v>
      </c>
      <c r="E38" s="19"/>
      <c r="F38" s="40"/>
      <c r="G38" s="40"/>
      <c r="H38" s="40"/>
      <c r="I38" s="40"/>
      <c r="J38" s="40"/>
      <c r="K38" s="40"/>
      <c r="L38" s="40"/>
      <c r="M38" s="40"/>
      <c r="N38" s="40"/>
      <c r="O38" s="40"/>
      <c r="P38" s="40"/>
      <c r="Q38" s="1608"/>
      <c r="R38" s="1608"/>
      <c r="S38" s="1608"/>
      <c r="T38" s="1608"/>
      <c r="U38" s="1608"/>
      <c r="V38" s="1608"/>
      <c r="W38" s="1608"/>
      <c r="X38" s="1608"/>
      <c r="Y38" s="1608"/>
      <c r="Z38" s="1608"/>
      <c r="AA38" s="1608"/>
      <c r="AB38" s="1608"/>
      <c r="AC38" s="1608"/>
      <c r="AD38" s="1608"/>
      <c r="AE38" s="1608"/>
      <c r="AF38" s="1608"/>
      <c r="AG38" s="1608"/>
      <c r="AH38" s="1608"/>
      <c r="AI38" s="1608"/>
      <c r="AJ38" s="1608"/>
      <c r="AK38" s="1608"/>
      <c r="AL38" s="1608"/>
      <c r="AM38" s="1608"/>
      <c r="AN38" s="1608"/>
    </row>
    <row r="39" spans="1:40" s="34" customFormat="1" ht="13.5" thickBot="1">
      <c r="A39" s="40"/>
      <c r="B39" s="240" t="s">
        <v>1590</v>
      </c>
      <c r="C39" s="1765">
        <f>SUM(C37:C38)</f>
        <v>0</v>
      </c>
      <c r="D39" s="1766">
        <f>SUM(D37:D38)</f>
        <v>0</v>
      </c>
      <c r="E39" s="1613"/>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row>
    <row r="40" spans="1:40" s="88" customFormat="1" ht="28.5" customHeight="1" thickBot="1">
      <c r="A40" s="40"/>
      <c r="B40" s="2355" t="s">
        <v>1591</v>
      </c>
      <c r="C40" s="2356"/>
      <c r="D40" s="2357"/>
      <c r="E40" s="1613"/>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s="88" customFormat="1" ht="12.75" customHeight="1" thickBot="1">
      <c r="A41" s="40"/>
      <c r="B41" s="19"/>
      <c r="C41" s="40"/>
      <c r="D41" s="21"/>
      <c r="E41" s="21"/>
      <c r="F41" s="22"/>
      <c r="G41" s="20"/>
      <c r="H41" s="1614"/>
      <c r="I41" s="19"/>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row>
    <row r="42" spans="1:40" s="34" customFormat="1" ht="20.25" customHeight="1" thickBot="1">
      <c r="A42" s="40"/>
      <c r="B42" s="2353" t="s">
        <v>1592</v>
      </c>
      <c r="C42" s="1906"/>
      <c r="D42" s="1906"/>
      <c r="E42" s="1906"/>
      <c r="F42" s="1906"/>
      <c r="G42" s="1906"/>
      <c r="H42" s="1907"/>
      <c r="I42" s="109"/>
      <c r="J42" s="110"/>
      <c r="K42" s="19"/>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row>
    <row r="43" spans="1:40" s="34" customFormat="1" ht="63.75">
      <c r="A43" s="40"/>
      <c r="B43" s="1419" t="s">
        <v>418</v>
      </c>
      <c r="C43" s="1420" t="s">
        <v>1593</v>
      </c>
      <c r="D43" s="1420" t="s">
        <v>1594</v>
      </c>
      <c r="E43" s="1420" t="s">
        <v>1595</v>
      </c>
      <c r="F43" s="1420" t="s">
        <v>1596</v>
      </c>
      <c r="G43" s="1862" t="s">
        <v>1597</v>
      </c>
      <c r="H43" s="1881" t="s">
        <v>1557</v>
      </c>
      <c r="I43" s="109"/>
      <c r="J43" s="1614"/>
      <c r="K43" s="19"/>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row>
    <row r="44" spans="1:40" s="86" customFormat="1" ht="29.25" customHeight="1">
      <c r="A44" s="40"/>
      <c r="B44" s="1880" t="s">
        <v>1560</v>
      </c>
      <c r="C44" s="1114" t="s">
        <v>1598</v>
      </c>
      <c r="D44" s="1114" t="s">
        <v>1599</v>
      </c>
      <c r="E44" s="1114" t="s">
        <v>1600</v>
      </c>
      <c r="F44" s="1114" t="s">
        <v>1601</v>
      </c>
      <c r="G44" s="420" t="s">
        <v>1602</v>
      </c>
      <c r="H44" s="1615" t="s">
        <v>1562</v>
      </c>
      <c r="I44" s="20"/>
      <c r="J44" s="1614"/>
      <c r="K44" s="19"/>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row>
    <row r="45" spans="1:40" s="34" customFormat="1" ht="13.5" thickBot="1">
      <c r="A45" s="40"/>
      <c r="B45" s="105" t="s">
        <v>425</v>
      </c>
      <c r="C45" s="1761">
        <v>1</v>
      </c>
      <c r="D45" s="1767">
        <f>(F51*G51)+(F52*G52)+(F53*G53)+(F54*G54)+(F55*G55)+(F56*G56)</f>
        <v>0.26187500000000002</v>
      </c>
      <c r="E45" s="1768">
        <v>0.6</v>
      </c>
      <c r="F45" s="1768">
        <v>0.5</v>
      </c>
      <c r="G45" s="1616">
        <f>16/12</f>
        <v>1.3333333333333333</v>
      </c>
      <c r="H45" s="1769">
        <f>C45*D45*E45*F45*G45</f>
        <v>0.10475000000000001</v>
      </c>
      <c r="I45" s="20"/>
      <c r="J45" s="1614"/>
      <c r="K45" s="19"/>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row>
    <row r="46" spans="1:40" s="34" customFormat="1" ht="69.75" customHeight="1" thickBot="1">
      <c r="A46" s="40"/>
      <c r="B46" s="2194" t="s">
        <v>1603</v>
      </c>
      <c r="C46" s="2195"/>
      <c r="D46" s="2195"/>
      <c r="E46" s="1958"/>
      <c r="F46" s="40"/>
      <c r="G46" s="40"/>
      <c r="H46" s="40"/>
      <c r="I46" s="40"/>
      <c r="J46" s="40"/>
      <c r="K46" s="40"/>
      <c r="L46" s="40"/>
      <c r="M46" s="40"/>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row>
    <row r="47" spans="1:40" s="86" customFormat="1">
      <c r="A47" s="40"/>
      <c r="B47" s="40"/>
      <c r="C47" s="40"/>
      <c r="D47" s="40"/>
      <c r="E47" s="40"/>
      <c r="F47" s="40"/>
      <c r="G47" s="40"/>
      <c r="H47" s="40"/>
      <c r="I47" s="40"/>
      <c r="J47" s="40"/>
      <c r="K47" s="40"/>
      <c r="L47" s="40"/>
      <c r="M47" s="40"/>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row>
    <row r="48" spans="1:40" s="88" customFormat="1" ht="345" customHeight="1" thickBot="1">
      <c r="A48" s="40"/>
      <c r="B48" s="40"/>
      <c r="C48" s="40"/>
      <c r="D48" s="40"/>
      <c r="E48" s="40"/>
      <c r="F48" s="40"/>
      <c r="G48" s="40"/>
      <c r="H48" s="40"/>
      <c r="I48" s="40"/>
      <c r="J48" s="40"/>
      <c r="K48" s="40"/>
      <c r="L48" s="40"/>
      <c r="M48" s="40"/>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row>
    <row r="49" spans="2:42" s="88" customFormat="1" ht="21.75" customHeight="1" thickBot="1">
      <c r="B49" s="2353" t="s">
        <v>1604</v>
      </c>
      <c r="C49" s="2354"/>
      <c r="D49" s="2354"/>
      <c r="E49" s="2354"/>
      <c r="F49" s="1908"/>
      <c r="G49" s="1909"/>
      <c r="H49" s="40"/>
      <c r="I49" s="40"/>
      <c r="J49" s="40"/>
      <c r="K49" s="40"/>
      <c r="L49" s="40"/>
      <c r="M49" s="40"/>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40"/>
      <c r="AP49" s="40"/>
    </row>
    <row r="50" spans="2:42" s="88" customFormat="1" ht="89.25">
      <c r="B50" s="106" t="s">
        <v>1605</v>
      </c>
      <c r="C50" s="107" t="s">
        <v>1606</v>
      </c>
      <c r="D50" s="107" t="s">
        <v>1607</v>
      </c>
      <c r="E50" s="107" t="s">
        <v>1608</v>
      </c>
      <c r="F50" s="571" t="s">
        <v>1609</v>
      </c>
      <c r="G50" s="108" t="s">
        <v>1610</v>
      </c>
      <c r="H50" s="21"/>
      <c r="I50" s="40"/>
      <c r="J50" s="40"/>
      <c r="K50" s="40"/>
      <c r="L50" s="40"/>
      <c r="M50" s="40"/>
      <c r="N50" s="40"/>
      <c r="O50" s="40"/>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row>
    <row r="51" spans="2:42" s="88" customFormat="1">
      <c r="B51" s="383" t="s">
        <v>201</v>
      </c>
      <c r="C51" s="495" t="s">
        <v>1611</v>
      </c>
      <c r="D51" s="871">
        <f>IF(Inputs!$C$287="Yes",Inputs!C292,"Default to State Data")</f>
        <v>0.15859999999999999</v>
      </c>
      <c r="E51" s="870">
        <f>SUMIF($D$62:$D$131,"Food",$C$62:$C$131)</f>
        <v>0.26052530690061121</v>
      </c>
      <c r="F51" s="871">
        <f>IF(Inputs!$C$287="Yes",D51,E51)</f>
        <v>0.15859999999999999</v>
      </c>
      <c r="G51" s="1109">
        <v>0.15</v>
      </c>
      <c r="H51" s="40"/>
      <c r="I51" s="40"/>
      <c r="J51" s="40"/>
      <c r="K51" s="40"/>
      <c r="L51" s="40"/>
      <c r="M51" s="40"/>
      <c r="N51" s="40"/>
      <c r="O51" s="40"/>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row>
    <row r="52" spans="2:42" s="88" customFormat="1">
      <c r="B52" s="383" t="s">
        <v>202</v>
      </c>
      <c r="C52" s="495" t="s">
        <v>1612</v>
      </c>
      <c r="D52" s="871">
        <f>IF(Inputs!$C$287="Yes",Inputs!C293,"Default to State Data")</f>
        <v>0.51780000000000004</v>
      </c>
      <c r="E52" s="870">
        <f>SUMIF($D$62:$D$131,"Garden Waste and Plant Debris",$C$62:$C$131)</f>
        <v>5.2873551390378921E-2</v>
      </c>
      <c r="F52" s="871">
        <f>IF(Inputs!$C$287="Yes",D52,E52)</f>
        <v>0.51780000000000004</v>
      </c>
      <c r="G52" s="1109">
        <v>0.2</v>
      </c>
      <c r="H52" s="40"/>
      <c r="I52" s="40"/>
      <c r="J52" s="40"/>
      <c r="K52" s="40"/>
      <c r="L52" s="40"/>
      <c r="M52" s="40"/>
      <c r="N52" s="40"/>
      <c r="O52" s="40"/>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row>
    <row r="53" spans="2:42" s="88" customFormat="1">
      <c r="B53" s="383" t="s">
        <v>203</v>
      </c>
      <c r="C53" s="495" t="s">
        <v>1613</v>
      </c>
      <c r="D53" s="871">
        <f>IF(Inputs!$C$287="Yes",Inputs!C294,"Default to State Data")</f>
        <v>0.15409999999999999</v>
      </c>
      <c r="E53" s="870">
        <f>SUMIF($D$62:$D$131,"Paper",$C$62:$C$131)</f>
        <v>0.21738806637036237</v>
      </c>
      <c r="F53" s="871">
        <f>IF(Inputs!$C$287="Yes",D53,E53)</f>
        <v>0.15409999999999999</v>
      </c>
      <c r="G53" s="1109">
        <v>0.4</v>
      </c>
      <c r="H53" s="40"/>
      <c r="I53" s="40"/>
      <c r="J53" s="40"/>
      <c r="K53" s="40"/>
      <c r="L53" s="40"/>
      <c r="M53" s="40"/>
      <c r="N53" s="40"/>
      <c r="O53" s="40"/>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row>
    <row r="54" spans="2:42" s="88" customFormat="1">
      <c r="B54" s="383" t="s">
        <v>204</v>
      </c>
      <c r="C54" s="495" t="s">
        <v>1614</v>
      </c>
      <c r="D54" s="871">
        <f>IF(Inputs!$C$287="Yes",Inputs!C295,"Default to State Data")</f>
        <v>0.16950000000000001</v>
      </c>
      <c r="E54" s="870">
        <f>SUMIF($D$62:$D$131,"Wood",$C$62:$C$131)</f>
        <v>7.6242799014414941E-2</v>
      </c>
      <c r="F54" s="871">
        <f>IF(Inputs!$C$287="Yes",D54,E54)</f>
        <v>0.16950000000000001</v>
      </c>
      <c r="G54" s="1109">
        <v>0.43</v>
      </c>
      <c r="H54" s="40"/>
      <c r="I54" s="40"/>
      <c r="J54" s="40"/>
      <c r="K54" s="40"/>
      <c r="L54" s="40"/>
      <c r="M54" s="40"/>
      <c r="N54" s="40"/>
      <c r="O54" s="40"/>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row>
    <row r="55" spans="2:42" s="88" customFormat="1">
      <c r="B55" s="383" t="s">
        <v>205</v>
      </c>
      <c r="C55" s="495" t="s">
        <v>1615</v>
      </c>
      <c r="D55" s="871">
        <f>IF(Inputs!$C$287="Yes",Inputs!C296,"Default to State Data")</f>
        <v>0</v>
      </c>
      <c r="E55" s="870">
        <f>SUMIF($D$62:$D$131,"Textiles",$C$62:$C$131)</f>
        <v>5.8358097308840798E-2</v>
      </c>
      <c r="F55" s="871">
        <f>IF(Inputs!$C$287="Yes",D55,E55)</f>
        <v>0</v>
      </c>
      <c r="G55" s="1109">
        <v>0.24</v>
      </c>
      <c r="H55" s="40"/>
      <c r="I55" s="40"/>
      <c r="J55" s="40"/>
      <c r="K55" s="40"/>
      <c r="L55" s="40"/>
      <c r="M55" s="40"/>
      <c r="N55" s="40"/>
      <c r="O55" s="40"/>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row>
    <row r="56" spans="2:42" s="88" customFormat="1" ht="13.5" thickBot="1">
      <c r="B56" s="538" t="s">
        <v>206</v>
      </c>
      <c r="C56" s="1770" t="s">
        <v>1601</v>
      </c>
      <c r="D56" s="1771">
        <f>IF(Inputs!$C$287="Yes",Inputs!C297,"Default to State Data")</f>
        <v>0</v>
      </c>
      <c r="E56" s="1772">
        <f>SUMIF($D$62:$D$131,"Industrial Waste",$C$62:$C$131)</f>
        <v>0</v>
      </c>
      <c r="F56" s="871">
        <f>IF(Inputs!$C$287="Yes",D56,E56)</f>
        <v>0</v>
      </c>
      <c r="G56" s="1769">
        <v>0.15</v>
      </c>
      <c r="H56" s="40"/>
      <c r="I56" s="40"/>
      <c r="J56" s="40"/>
      <c r="K56" s="40"/>
      <c r="L56" s="40"/>
      <c r="M56" s="40"/>
      <c r="N56" s="40"/>
      <c r="O56" s="40"/>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row>
    <row r="57" spans="2:42" s="88" customFormat="1" ht="34.5" customHeight="1" thickBot="1">
      <c r="B57" s="2358" t="s">
        <v>1616</v>
      </c>
      <c r="C57" s="2195"/>
      <c r="D57" s="1958"/>
      <c r="E57" s="40"/>
      <c r="F57" s="113"/>
      <c r="G57" s="40"/>
      <c r="H57" s="40"/>
      <c r="I57" s="40"/>
      <c r="J57" s="40"/>
      <c r="K57" s="40"/>
      <c r="L57" s="40"/>
      <c r="M57" s="40"/>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40"/>
      <c r="AP57" s="40"/>
    </row>
    <row r="58" spans="2:42" s="88" customFormat="1" ht="13.5" thickBot="1">
      <c r="B58" s="40"/>
      <c r="C58" s="40"/>
      <c r="D58" s="40"/>
      <c r="E58" s="40"/>
      <c r="F58" s="40"/>
      <c r="G58" s="40"/>
      <c r="H58" s="40"/>
      <c r="I58" s="40"/>
      <c r="J58" s="40"/>
      <c r="K58" s="40"/>
      <c r="L58" s="40"/>
      <c r="M58" s="40"/>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40"/>
      <c r="AP58" s="40"/>
    </row>
    <row r="59" spans="2:42" s="86" customFormat="1" ht="19.5" customHeight="1" thickBot="1">
      <c r="B59" s="2351" t="s">
        <v>1617</v>
      </c>
      <c r="C59" s="2193"/>
      <c r="D59" s="2352"/>
      <c r="E59" s="543"/>
      <c r="F59" s="40"/>
      <c r="G59" s="40"/>
      <c r="H59" s="40"/>
      <c r="I59" s="40"/>
      <c r="J59" s="40"/>
      <c r="K59" s="40"/>
      <c r="L59" s="40"/>
      <c r="M59" s="40"/>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40"/>
      <c r="AP59" s="40"/>
    </row>
    <row r="60" spans="2:42" s="86" customFormat="1" ht="24.75" customHeight="1">
      <c r="B60" s="106" t="s">
        <v>1618</v>
      </c>
      <c r="C60" s="107" t="s">
        <v>1619</v>
      </c>
      <c r="D60" s="108" t="s">
        <v>199</v>
      </c>
      <c r="E60" s="545"/>
      <c r="F60" s="40"/>
      <c r="G60" s="40"/>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40"/>
      <c r="AJ60" s="40"/>
      <c r="AK60" s="40"/>
      <c r="AL60" s="40"/>
      <c r="AM60" s="40"/>
      <c r="AN60" s="40"/>
      <c r="AO60" s="40"/>
      <c r="AP60" s="40"/>
    </row>
    <row r="61" spans="2:42" s="86" customFormat="1">
      <c r="B61" s="546" t="s">
        <v>203</v>
      </c>
      <c r="C61" s="917"/>
      <c r="D61" s="919"/>
      <c r="E61" s="40"/>
      <c r="F61" s="40"/>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40"/>
      <c r="AI61" s="40"/>
      <c r="AJ61" s="40"/>
      <c r="AK61" s="40"/>
      <c r="AL61" s="40"/>
      <c r="AM61" s="40"/>
      <c r="AN61" s="40"/>
      <c r="AO61" s="40"/>
      <c r="AP61" s="40"/>
    </row>
    <row r="62" spans="2:42" s="86" customFormat="1">
      <c r="B62" s="547" t="s">
        <v>1620</v>
      </c>
      <c r="C62" s="1110">
        <v>9.2469983949716963E-2</v>
      </c>
      <c r="D62" s="548" t="s">
        <v>203</v>
      </c>
      <c r="E62" s="40"/>
      <c r="F62" s="1612"/>
      <c r="G62" s="544"/>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40"/>
      <c r="AI62" s="40"/>
      <c r="AJ62" s="40"/>
      <c r="AK62" s="40"/>
      <c r="AL62" s="40"/>
      <c r="AM62" s="40"/>
      <c r="AN62" s="40"/>
      <c r="AO62" s="40"/>
      <c r="AP62" s="40"/>
    </row>
    <row r="63" spans="2:42" s="86" customFormat="1">
      <c r="B63" s="549" t="s">
        <v>1621</v>
      </c>
      <c r="C63" s="1111">
        <v>2.7396467253548995E-3</v>
      </c>
      <c r="D63" s="550" t="s">
        <v>203</v>
      </c>
      <c r="E63" s="40"/>
      <c r="F63" s="40"/>
      <c r="G63" s="544"/>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40"/>
      <c r="AI63" s="40"/>
      <c r="AJ63" s="40"/>
      <c r="AK63" s="40"/>
      <c r="AL63" s="40"/>
      <c r="AM63" s="40"/>
      <c r="AN63" s="40"/>
      <c r="AO63" s="40"/>
      <c r="AP63" s="40"/>
    </row>
    <row r="64" spans="2:42" s="86" customFormat="1">
      <c r="B64" s="549" t="s">
        <v>1622</v>
      </c>
      <c r="C64" s="1111">
        <v>5.4286501762499601E-3</v>
      </c>
      <c r="D64" s="550" t="s">
        <v>203</v>
      </c>
      <c r="E64" s="40"/>
      <c r="F64" s="40"/>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40"/>
      <c r="AI64" s="40"/>
      <c r="AJ64" s="40"/>
      <c r="AK64" s="40"/>
      <c r="AL64" s="40"/>
      <c r="AM64" s="40"/>
      <c r="AN64" s="40"/>
      <c r="AO64" s="40"/>
      <c r="AP64" s="40"/>
    </row>
    <row r="65" spans="2:33" s="86" customFormat="1">
      <c r="B65" s="549" t="s">
        <v>1623</v>
      </c>
      <c r="C65" s="1111">
        <v>8.3732455423833584E-3</v>
      </c>
      <c r="D65" s="550" t="s">
        <v>203</v>
      </c>
      <c r="E65" s="40"/>
      <c r="F65" s="40"/>
      <c r="G65" s="544"/>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row>
    <row r="66" spans="2:33" s="86" customFormat="1">
      <c r="B66" s="549" t="s">
        <v>1624</v>
      </c>
      <c r="C66" s="1111">
        <v>7.0842532071092815E-3</v>
      </c>
      <c r="D66" s="550" t="s">
        <v>203</v>
      </c>
      <c r="E66" s="40"/>
      <c r="F66" s="40"/>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row>
    <row r="67" spans="2:33" s="86" customFormat="1">
      <c r="B67" s="549" t="s">
        <v>1625</v>
      </c>
      <c r="C67" s="1111">
        <v>3.6103542683142489E-2</v>
      </c>
      <c r="D67" s="550" t="s">
        <v>203</v>
      </c>
      <c r="E67" s="40"/>
      <c r="F67" s="40"/>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row>
    <row r="68" spans="2:33" s="86" customFormat="1">
      <c r="B68" s="549" t="s">
        <v>1626</v>
      </c>
      <c r="C68" s="1111">
        <v>5.81508130403076E-2</v>
      </c>
      <c r="D68" s="550" t="s">
        <v>203</v>
      </c>
      <c r="E68" s="40"/>
      <c r="F68" s="40"/>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row>
    <row r="69" spans="2:33" s="86" customFormat="1">
      <c r="B69" s="551" t="s">
        <v>1627</v>
      </c>
      <c r="C69" s="1112">
        <v>7.0379310460978268E-3</v>
      </c>
      <c r="D69" s="552" t="s">
        <v>203</v>
      </c>
      <c r="E69" s="40"/>
      <c r="F69" s="40"/>
      <c r="G69" s="544"/>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row>
    <row r="70" spans="2:33" s="86" customFormat="1">
      <c r="B70" s="546" t="s">
        <v>1628</v>
      </c>
      <c r="C70" s="918"/>
      <c r="D70" s="920"/>
      <c r="E70" s="40"/>
      <c r="F70" s="40"/>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row>
    <row r="71" spans="2:33" s="86" customFormat="1">
      <c r="B71" s="547" t="s">
        <v>1629</v>
      </c>
      <c r="C71" s="1110">
        <v>6.6252183124803155E-3</v>
      </c>
      <c r="D71" s="548" t="s">
        <v>1190</v>
      </c>
      <c r="E71" s="40"/>
      <c r="F71" s="40"/>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row>
    <row r="72" spans="2:33" s="86" customFormat="1">
      <c r="B72" s="549" t="s">
        <v>1630</v>
      </c>
      <c r="C72" s="1111">
        <v>1.8103075490224149E-3</v>
      </c>
      <c r="D72" s="550" t="s">
        <v>1190</v>
      </c>
      <c r="E72" s="40"/>
      <c r="F72" s="40"/>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row>
    <row r="73" spans="2:33" s="86" customFormat="1">
      <c r="B73" s="549" t="s">
        <v>1631</v>
      </c>
      <c r="C73" s="1111">
        <v>1.2274021951667259E-3</v>
      </c>
      <c r="D73" s="550" t="s">
        <v>1190</v>
      </c>
      <c r="E73" s="40"/>
      <c r="F73" s="40"/>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4"/>
    </row>
    <row r="74" spans="2:33" s="86" customFormat="1">
      <c r="B74" s="549" t="s">
        <v>1632</v>
      </c>
      <c r="C74" s="1111">
        <v>4.4019044763953059E-3</v>
      </c>
      <c r="D74" s="550" t="s">
        <v>1190</v>
      </c>
      <c r="E74" s="40"/>
      <c r="F74" s="40"/>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row>
    <row r="75" spans="2:33" s="86" customFormat="1">
      <c r="B75" s="549" t="s">
        <v>1633</v>
      </c>
      <c r="C75" s="1111">
        <v>3.660258623448234E-3</v>
      </c>
      <c r="D75" s="550" t="s">
        <v>1190</v>
      </c>
      <c r="E75" s="40"/>
      <c r="F75" s="40"/>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row>
    <row r="76" spans="2:33" s="86" customFormat="1">
      <c r="B76" s="549" t="s">
        <v>1634</v>
      </c>
      <c r="C76" s="1111">
        <v>5.0763648214174435E-3</v>
      </c>
      <c r="D76" s="550" t="s">
        <v>1190</v>
      </c>
      <c r="E76" s="40"/>
      <c r="F76" s="40"/>
      <c r="G76" s="544"/>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row>
    <row r="77" spans="2:33" s="86" customFormat="1">
      <c r="B77" s="549" t="s">
        <v>1635</v>
      </c>
      <c r="C77" s="1111">
        <v>3.6048519685596345E-3</v>
      </c>
      <c r="D77" s="550" t="s">
        <v>1190</v>
      </c>
      <c r="E77" s="40"/>
      <c r="F77" s="40"/>
      <c r="G77" s="544"/>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row>
    <row r="78" spans="2:33" s="86" customFormat="1">
      <c r="B78" s="549" t="s">
        <v>1636</v>
      </c>
      <c r="C78" s="1111">
        <v>1.8433032594032258E-3</v>
      </c>
      <c r="D78" s="550" t="s">
        <v>1190</v>
      </c>
      <c r="E78" s="40"/>
      <c r="F78" s="40"/>
      <c r="G78" s="544"/>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44"/>
    </row>
    <row r="79" spans="2:33" s="86" customFormat="1">
      <c r="B79" s="549" t="s">
        <v>1637</v>
      </c>
      <c r="C79" s="1111">
        <v>1.6181312788521942E-2</v>
      </c>
      <c r="D79" s="550" t="s">
        <v>1190</v>
      </c>
      <c r="E79" s="40"/>
      <c r="F79" s="40"/>
      <c r="G79" s="544"/>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row>
    <row r="80" spans="2:33" s="86" customFormat="1">
      <c r="B80" s="549" t="s">
        <v>1638</v>
      </c>
      <c r="C80" s="1111">
        <v>4.7178333296842654E-3</v>
      </c>
      <c r="D80" s="550" t="s">
        <v>1190</v>
      </c>
      <c r="E80" s="40"/>
      <c r="F80" s="40"/>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row>
    <row r="81" spans="1:33" s="86" customFormat="1">
      <c r="A81" s="40"/>
      <c r="B81" s="549" t="s">
        <v>1639</v>
      </c>
      <c r="C81" s="1111">
        <v>5.0430647788075635E-3</v>
      </c>
      <c r="D81" s="550" t="s">
        <v>1190</v>
      </c>
      <c r="E81" s="40"/>
      <c r="F81" s="40"/>
      <c r="G81" s="544"/>
      <c r="H81" s="544"/>
      <c r="I81" s="544"/>
      <c r="J81" s="544"/>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row>
    <row r="82" spans="1:33" s="86" customFormat="1">
      <c r="A82" s="40"/>
      <c r="B82" s="549" t="s">
        <v>1640</v>
      </c>
      <c r="C82" s="1111">
        <v>4.8596496895204962E-2</v>
      </c>
      <c r="D82" s="550" t="s">
        <v>1190</v>
      </c>
      <c r="E82" s="40"/>
      <c r="F82" s="40"/>
      <c r="G82" s="544"/>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row>
    <row r="83" spans="1:33" s="86" customFormat="1">
      <c r="A83" s="40"/>
      <c r="B83" s="551" t="s">
        <v>1641</v>
      </c>
      <c r="C83" s="1112">
        <v>2.8035142877834276E-2</v>
      </c>
      <c r="D83" s="552" t="s">
        <v>1190</v>
      </c>
      <c r="E83" s="40"/>
      <c r="F83" s="40"/>
      <c r="G83" s="544"/>
      <c r="H83" s="544"/>
      <c r="I83" s="544"/>
      <c r="J83" s="544"/>
      <c r="K83" s="544"/>
      <c r="L83" s="544"/>
      <c r="M83" s="544"/>
      <c r="N83" s="544"/>
      <c r="O83" s="544"/>
      <c r="P83" s="544"/>
      <c r="Q83" s="544"/>
      <c r="R83" s="544"/>
      <c r="S83" s="544"/>
      <c r="T83" s="544"/>
      <c r="U83" s="544"/>
      <c r="V83" s="544"/>
      <c r="W83" s="544"/>
      <c r="X83" s="544"/>
      <c r="Y83" s="544"/>
      <c r="Z83" s="544"/>
      <c r="AA83" s="544"/>
      <c r="AB83" s="544"/>
      <c r="AC83" s="544"/>
      <c r="AD83" s="544"/>
      <c r="AE83" s="544"/>
      <c r="AF83" s="544"/>
      <c r="AG83" s="544"/>
    </row>
    <row r="84" spans="1:33" s="34" customFormat="1">
      <c r="A84" s="40"/>
      <c r="B84" s="546" t="s">
        <v>1642</v>
      </c>
      <c r="C84" s="918"/>
      <c r="D84" s="920"/>
      <c r="E84" s="40"/>
      <c r="F84" s="40"/>
      <c r="G84" s="544"/>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row>
    <row r="85" spans="1:33" s="34" customFormat="1">
      <c r="A85" s="40"/>
      <c r="B85" s="547" t="s">
        <v>1643</v>
      </c>
      <c r="C85" s="1110">
        <v>3.1848729871884046E-4</v>
      </c>
      <c r="D85" s="548" t="s">
        <v>1190</v>
      </c>
      <c r="E85" s="40"/>
      <c r="F85" s="40"/>
      <c r="G85" s="544"/>
      <c r="H85" s="544"/>
      <c r="I85" s="544"/>
      <c r="J85" s="544"/>
      <c r="K85" s="544"/>
      <c r="L85" s="544"/>
      <c r="M85" s="544"/>
      <c r="N85" s="544"/>
      <c r="O85" s="544"/>
      <c r="P85" s="544"/>
      <c r="Q85" s="544"/>
      <c r="R85" s="544"/>
      <c r="S85" s="544"/>
      <c r="T85" s="544"/>
      <c r="U85" s="544"/>
      <c r="V85" s="544"/>
      <c r="W85" s="544"/>
      <c r="X85" s="544"/>
      <c r="Y85" s="544"/>
      <c r="Z85" s="544"/>
      <c r="AA85" s="544"/>
      <c r="AB85" s="544"/>
      <c r="AC85" s="544"/>
      <c r="AD85" s="544"/>
      <c r="AE85" s="544"/>
      <c r="AF85" s="544"/>
      <c r="AG85" s="544"/>
    </row>
    <row r="86" spans="1:33" s="34" customFormat="1">
      <c r="A86" s="40"/>
      <c r="B86" s="549" t="s">
        <v>1644</v>
      </c>
      <c r="C86" s="1111">
        <v>1.3577550824492766E-3</v>
      </c>
      <c r="D86" s="550" t="s">
        <v>1190</v>
      </c>
      <c r="E86" s="40"/>
      <c r="F86" s="40"/>
      <c r="G86" s="544"/>
      <c r="H86" s="544"/>
      <c r="I86" s="544"/>
      <c r="J86" s="544"/>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row>
    <row r="87" spans="1:33" s="34" customFormat="1">
      <c r="A87" s="40"/>
      <c r="B87" s="549" t="s">
        <v>1645</v>
      </c>
      <c r="C87" s="1111">
        <v>5.8733134150387627E-3</v>
      </c>
      <c r="D87" s="550" t="s">
        <v>1190</v>
      </c>
      <c r="E87" s="40"/>
      <c r="F87" s="40"/>
      <c r="G87" s="544"/>
      <c r="H87" s="544"/>
      <c r="I87" s="544"/>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row>
    <row r="88" spans="1:33" s="34" customFormat="1">
      <c r="A88" s="40"/>
      <c r="B88" s="549" t="s">
        <v>1646</v>
      </c>
      <c r="C88" s="1111">
        <v>3.2895590635257741E-3</v>
      </c>
      <c r="D88" s="550" t="s">
        <v>1190</v>
      </c>
      <c r="E88" s="40"/>
      <c r="F88" s="40"/>
      <c r="G88" s="544"/>
      <c r="H88" s="544"/>
      <c r="I88" s="544"/>
      <c r="J88" s="544"/>
      <c r="K88" s="544"/>
      <c r="L88" s="544"/>
      <c r="M88" s="544"/>
      <c r="N88" s="544"/>
      <c r="O88" s="544"/>
      <c r="P88" s="544"/>
      <c r="Q88" s="544"/>
      <c r="R88" s="544"/>
      <c r="S88" s="544"/>
      <c r="T88" s="544"/>
      <c r="U88" s="544"/>
      <c r="V88" s="544"/>
      <c r="W88" s="544"/>
      <c r="X88" s="544"/>
      <c r="Y88" s="544"/>
      <c r="Z88" s="544"/>
      <c r="AA88" s="544"/>
      <c r="AB88" s="544"/>
      <c r="AC88" s="544"/>
      <c r="AD88" s="544"/>
      <c r="AE88" s="544"/>
      <c r="AF88" s="544"/>
      <c r="AG88" s="544"/>
    </row>
    <row r="89" spans="1:33" s="34" customFormat="1">
      <c r="A89" s="40"/>
      <c r="B89" s="549" t="s">
        <v>1647</v>
      </c>
      <c r="C89" s="1111">
        <v>8.2210334495982362E-3</v>
      </c>
      <c r="D89" s="550" t="s">
        <v>1190</v>
      </c>
      <c r="E89" s="40"/>
      <c r="F89" s="40"/>
      <c r="G89" s="544"/>
      <c r="H89" s="544"/>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row>
    <row r="90" spans="1:33" s="34" customFormat="1">
      <c r="A90" s="40"/>
      <c r="B90" s="549" t="s">
        <v>1648</v>
      </c>
      <c r="C90" s="1111">
        <v>2.3906490680562316E-3</v>
      </c>
      <c r="D90" s="550" t="s">
        <v>1190</v>
      </c>
      <c r="E90" s="40"/>
      <c r="F90" s="40"/>
      <c r="G90" s="544"/>
      <c r="H90" s="544"/>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row>
    <row r="91" spans="1:33" s="34" customFormat="1">
      <c r="A91" s="40"/>
      <c r="B91" s="551" t="s">
        <v>1649</v>
      </c>
      <c r="C91" s="1112">
        <v>1.6494431747560882E-2</v>
      </c>
      <c r="D91" s="552" t="s">
        <v>1190</v>
      </c>
      <c r="E91" s="40"/>
      <c r="F91" s="40"/>
      <c r="G91" s="544"/>
      <c r="H91" s="544"/>
      <c r="I91" s="544"/>
      <c r="J91" s="544"/>
      <c r="K91" s="544"/>
      <c r="L91" s="544"/>
      <c r="M91" s="544"/>
      <c r="N91" s="544"/>
      <c r="O91" s="544"/>
      <c r="P91" s="544"/>
      <c r="Q91" s="544"/>
      <c r="R91" s="544"/>
      <c r="S91" s="544"/>
      <c r="T91" s="544"/>
      <c r="U91" s="544"/>
      <c r="V91" s="544"/>
      <c r="W91" s="544"/>
      <c r="X91" s="544"/>
      <c r="Y91" s="544"/>
      <c r="Z91" s="544"/>
      <c r="AA91" s="544"/>
      <c r="AB91" s="544"/>
      <c r="AC91" s="544"/>
      <c r="AD91" s="544"/>
      <c r="AE91" s="544"/>
      <c r="AF91" s="544"/>
      <c r="AG91" s="544"/>
    </row>
    <row r="92" spans="1:33" s="34" customFormat="1">
      <c r="A92" s="40"/>
      <c r="B92" s="546" t="s">
        <v>1650</v>
      </c>
      <c r="C92" s="918"/>
      <c r="D92" s="920"/>
      <c r="E92" s="40"/>
      <c r="F92" s="40"/>
      <c r="G92" s="544"/>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row>
    <row r="93" spans="1:33" s="34" customFormat="1">
      <c r="A93" s="40"/>
      <c r="B93" s="547" t="s">
        <v>1651</v>
      </c>
      <c r="C93" s="1110">
        <v>5.4575816113945222E-3</v>
      </c>
      <c r="D93" s="548" t="s">
        <v>1190</v>
      </c>
      <c r="E93" s="40"/>
      <c r="F93" s="40"/>
      <c r="G93" s="544"/>
      <c r="H93" s="544"/>
      <c r="I93" s="544"/>
      <c r="J93" s="544"/>
      <c r="K93" s="544"/>
      <c r="L93" s="544"/>
      <c r="M93" s="544"/>
      <c r="N93" s="544"/>
      <c r="O93" s="544"/>
      <c r="P93" s="544"/>
      <c r="Q93" s="544"/>
      <c r="R93" s="544"/>
      <c r="S93" s="544"/>
      <c r="T93" s="544"/>
      <c r="U93" s="544"/>
      <c r="V93" s="544"/>
      <c r="W93" s="544"/>
      <c r="X93" s="544"/>
      <c r="Y93" s="544"/>
      <c r="Z93" s="544"/>
      <c r="AA93" s="544"/>
      <c r="AB93" s="544"/>
      <c r="AC93" s="544"/>
      <c r="AD93" s="544"/>
      <c r="AE93" s="544"/>
      <c r="AF93" s="544"/>
      <c r="AG93" s="544"/>
    </row>
    <row r="94" spans="1:33" s="34" customFormat="1">
      <c r="A94" s="40"/>
      <c r="B94" s="549" t="s">
        <v>1652</v>
      </c>
      <c r="C94" s="1111">
        <v>3.4634147861337681E-3</v>
      </c>
      <c r="D94" s="550" t="s">
        <v>1190</v>
      </c>
      <c r="E94" s="40"/>
      <c r="F94" s="40"/>
      <c r="G94" s="544"/>
      <c r="H94" s="544"/>
      <c r="I94" s="544"/>
      <c r="J94" s="544"/>
      <c r="K94" s="544"/>
      <c r="L94" s="544"/>
      <c r="M94" s="544"/>
      <c r="N94" s="544"/>
      <c r="O94" s="544"/>
      <c r="P94" s="544"/>
      <c r="Q94" s="544"/>
      <c r="R94" s="544"/>
      <c r="S94" s="544"/>
      <c r="T94" s="544"/>
      <c r="U94" s="544"/>
      <c r="V94" s="544"/>
      <c r="W94" s="544"/>
      <c r="X94" s="544"/>
      <c r="Y94" s="544"/>
      <c r="Z94" s="544"/>
      <c r="AA94" s="544"/>
      <c r="AB94" s="544"/>
      <c r="AC94" s="544"/>
      <c r="AD94" s="544"/>
      <c r="AE94" s="544"/>
      <c r="AF94" s="544"/>
      <c r="AG94" s="544"/>
    </row>
    <row r="95" spans="1:33" s="34" customFormat="1">
      <c r="A95" s="40"/>
      <c r="B95" s="549" t="s">
        <v>1653</v>
      </c>
      <c r="C95" s="1111">
        <v>2.8543607760050794E-3</v>
      </c>
      <c r="D95" s="550" t="s">
        <v>1190</v>
      </c>
      <c r="E95" s="40"/>
      <c r="F95" s="40"/>
      <c r="G95" s="544"/>
      <c r="H95" s="544"/>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row>
    <row r="96" spans="1:33" s="34" customFormat="1">
      <c r="A96" s="40"/>
      <c r="B96" s="551" t="s">
        <v>1654</v>
      </c>
      <c r="C96" s="1112">
        <v>4.2990630878858259E-3</v>
      </c>
      <c r="D96" s="552" t="s">
        <v>1190</v>
      </c>
      <c r="E96" s="40"/>
      <c r="F96" s="40"/>
      <c r="G96" s="544"/>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row>
    <row r="97" spans="1:33" s="34" customFormat="1">
      <c r="A97" s="40"/>
      <c r="B97" s="546" t="s">
        <v>1655</v>
      </c>
      <c r="C97" s="918"/>
      <c r="D97" s="920"/>
      <c r="E97" s="40"/>
      <c r="F97" s="40"/>
      <c r="G97" s="544"/>
      <c r="H97" s="544"/>
      <c r="I97" s="544"/>
      <c r="J97" s="544"/>
      <c r="K97" s="544"/>
      <c r="L97" s="544"/>
      <c r="M97" s="544"/>
      <c r="N97" s="544"/>
      <c r="O97" s="544"/>
      <c r="P97" s="544"/>
      <c r="Q97" s="544"/>
      <c r="R97" s="544"/>
      <c r="S97" s="544"/>
      <c r="T97" s="544"/>
      <c r="U97" s="544"/>
      <c r="V97" s="544"/>
      <c r="W97" s="544"/>
      <c r="X97" s="544"/>
      <c r="Y97" s="544"/>
      <c r="Z97" s="544"/>
      <c r="AA97" s="544"/>
      <c r="AB97" s="544"/>
      <c r="AC97" s="544"/>
      <c r="AD97" s="544"/>
      <c r="AE97" s="544"/>
      <c r="AF97" s="544"/>
      <c r="AG97" s="544"/>
    </row>
    <row r="98" spans="1:33" s="34" customFormat="1">
      <c r="A98" s="40"/>
      <c r="B98" s="547" t="s">
        <v>1656</v>
      </c>
      <c r="C98" s="1110">
        <v>0.2597407784976733</v>
      </c>
      <c r="D98" s="548" t="s">
        <v>201</v>
      </c>
      <c r="E98" s="40"/>
      <c r="F98" s="40"/>
      <c r="G98" s="544"/>
      <c r="H98" s="544"/>
      <c r="I98" s="544"/>
      <c r="J98" s="544"/>
      <c r="K98" s="544"/>
      <c r="L98" s="544"/>
      <c r="M98" s="544"/>
      <c r="N98" s="544"/>
      <c r="O98" s="544"/>
      <c r="P98" s="544"/>
      <c r="Q98" s="544"/>
      <c r="R98" s="544"/>
      <c r="S98" s="544"/>
      <c r="T98" s="544"/>
      <c r="U98" s="544"/>
      <c r="V98" s="544"/>
      <c r="W98" s="544"/>
      <c r="X98" s="544"/>
      <c r="Y98" s="544"/>
      <c r="Z98" s="544"/>
      <c r="AA98" s="544"/>
      <c r="AB98" s="544"/>
      <c r="AC98" s="544"/>
      <c r="AD98" s="544"/>
      <c r="AE98" s="544"/>
      <c r="AF98" s="544"/>
      <c r="AG98" s="544"/>
    </row>
    <row r="99" spans="1:33" s="34" customFormat="1">
      <c r="A99" s="40"/>
      <c r="B99" s="549" t="s">
        <v>1657</v>
      </c>
      <c r="C99" s="1111">
        <v>1.2702449983916036E-3</v>
      </c>
      <c r="D99" s="550" t="s">
        <v>202</v>
      </c>
      <c r="E99" s="40"/>
      <c r="F99" s="40"/>
      <c r="G99" s="544"/>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row>
    <row r="100" spans="1:33" s="34" customFormat="1">
      <c r="A100" s="40"/>
      <c r="B100" s="549" t="s">
        <v>1658</v>
      </c>
      <c r="C100" s="1111">
        <v>2.4705275204249536E-2</v>
      </c>
      <c r="D100" s="550" t="s">
        <v>202</v>
      </c>
      <c r="E100" s="40"/>
      <c r="F100" s="40"/>
      <c r="G100" s="544"/>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row>
    <row r="101" spans="1:33" s="34" customFormat="1">
      <c r="A101" s="40"/>
      <c r="B101" s="549" t="s">
        <v>1659</v>
      </c>
      <c r="C101" s="1111">
        <v>7.9703819226319085E-4</v>
      </c>
      <c r="D101" s="550" t="s">
        <v>202</v>
      </c>
      <c r="E101" s="40"/>
      <c r="F101" s="40"/>
      <c r="G101" s="544"/>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4"/>
    </row>
    <row r="102" spans="1:33" s="34" customFormat="1">
      <c r="A102" s="40"/>
      <c r="B102" s="551" t="s">
        <v>1660</v>
      </c>
      <c r="C102" s="1112">
        <v>2.6100992995474592E-2</v>
      </c>
      <c r="D102" s="552" t="s">
        <v>202</v>
      </c>
      <c r="E102" s="40"/>
      <c r="F102" s="40"/>
      <c r="G102" s="544"/>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4"/>
    </row>
    <row r="103" spans="1:33" s="34" customFormat="1">
      <c r="A103" s="40"/>
      <c r="B103" s="546" t="s">
        <v>1661</v>
      </c>
      <c r="C103" s="918"/>
      <c r="D103" s="920"/>
      <c r="E103" s="40"/>
      <c r="F103" s="40"/>
      <c r="G103" s="544"/>
      <c r="H103" s="544"/>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row>
    <row r="104" spans="1:33" s="34" customFormat="1">
      <c r="A104" s="40"/>
      <c r="B104" s="547" t="s">
        <v>1662</v>
      </c>
      <c r="C104" s="1110">
        <v>7.4495359228239069E-4</v>
      </c>
      <c r="D104" s="548" t="s">
        <v>1190</v>
      </c>
      <c r="E104" s="40"/>
      <c r="F104" s="40"/>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row>
    <row r="105" spans="1:33" s="34" customFormat="1">
      <c r="A105" s="40"/>
      <c r="B105" s="549" t="s">
        <v>1663</v>
      </c>
      <c r="C105" s="1111">
        <v>4.4358089730008304E-3</v>
      </c>
      <c r="D105" s="550" t="s">
        <v>1190</v>
      </c>
      <c r="E105" s="40"/>
      <c r="F105" s="40"/>
      <c r="G105" s="544"/>
      <c r="H105" s="544"/>
      <c r="I105" s="544"/>
      <c r="J105" s="544"/>
      <c r="K105" s="544"/>
      <c r="L105" s="544"/>
      <c r="M105" s="544"/>
      <c r="N105" s="544"/>
      <c r="O105" s="544"/>
      <c r="P105" s="544"/>
      <c r="Q105" s="544"/>
      <c r="R105" s="544"/>
      <c r="S105" s="544"/>
      <c r="T105" s="544"/>
      <c r="U105" s="544"/>
      <c r="V105" s="544"/>
      <c r="W105" s="544"/>
      <c r="X105" s="544"/>
      <c r="Y105" s="544"/>
      <c r="Z105" s="544"/>
      <c r="AA105" s="544"/>
      <c r="AB105" s="544"/>
      <c r="AC105" s="544"/>
      <c r="AD105" s="544"/>
      <c r="AE105" s="544"/>
      <c r="AF105" s="544"/>
      <c r="AG105" s="544"/>
    </row>
    <row r="106" spans="1:33" s="34" customFormat="1">
      <c r="A106" s="40"/>
      <c r="B106" s="549" t="s">
        <v>1664</v>
      </c>
      <c r="C106" s="1111">
        <v>5.6646343718579427E-2</v>
      </c>
      <c r="D106" s="550" t="s">
        <v>204</v>
      </c>
      <c r="E106" s="40"/>
      <c r="F106" s="40"/>
      <c r="G106" s="544"/>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row>
    <row r="107" spans="1:33" s="34" customFormat="1">
      <c r="A107" s="40"/>
      <c r="B107" s="549" t="s">
        <v>1665</v>
      </c>
      <c r="C107" s="1111">
        <v>1.9596455295835515E-2</v>
      </c>
      <c r="D107" s="550" t="s">
        <v>204</v>
      </c>
      <c r="E107" s="40"/>
      <c r="F107" s="40"/>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row>
    <row r="108" spans="1:33" s="34" customFormat="1">
      <c r="A108" s="40"/>
      <c r="B108" s="549" t="s">
        <v>1666</v>
      </c>
      <c r="C108" s="1111">
        <v>3.3308999105697767E-3</v>
      </c>
      <c r="D108" s="550" t="s">
        <v>1190</v>
      </c>
      <c r="E108" s="40"/>
      <c r="F108" s="40"/>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row>
    <row r="109" spans="1:33" s="34" customFormat="1">
      <c r="A109" s="40"/>
      <c r="B109" s="549" t="s">
        <v>1667</v>
      </c>
      <c r="C109" s="1111">
        <v>5.7538437312108113E-3</v>
      </c>
      <c r="D109" s="550" t="s">
        <v>1190</v>
      </c>
      <c r="E109" s="40"/>
      <c r="F109" s="40"/>
      <c r="G109" s="544"/>
      <c r="H109" s="544"/>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row>
    <row r="110" spans="1:33" s="34" customFormat="1">
      <c r="A110" s="40"/>
      <c r="B110" s="549" t="s">
        <v>1668</v>
      </c>
      <c r="C110" s="1111">
        <v>3.2909271269993386E-2</v>
      </c>
      <c r="D110" s="550" t="s">
        <v>1190</v>
      </c>
      <c r="E110" s="40"/>
      <c r="F110" s="40"/>
      <c r="G110" s="544"/>
      <c r="H110" s="544"/>
      <c r="I110" s="544"/>
      <c r="J110" s="544"/>
      <c r="K110" s="544"/>
      <c r="L110" s="544"/>
      <c r="M110" s="544"/>
      <c r="N110" s="544"/>
      <c r="O110" s="544"/>
      <c r="P110" s="544"/>
      <c r="Q110" s="544"/>
      <c r="R110" s="544"/>
      <c r="S110" s="544"/>
      <c r="T110" s="544"/>
      <c r="U110" s="544"/>
      <c r="V110" s="544"/>
      <c r="W110" s="544"/>
      <c r="X110" s="544"/>
      <c r="Y110" s="544"/>
      <c r="Z110" s="544"/>
      <c r="AA110" s="544"/>
      <c r="AB110" s="544"/>
      <c r="AC110" s="544"/>
      <c r="AD110" s="544"/>
      <c r="AE110" s="544"/>
      <c r="AF110" s="544"/>
      <c r="AG110" s="544"/>
    </row>
    <row r="111" spans="1:33" s="34" customFormat="1">
      <c r="A111" s="40"/>
      <c r="B111" s="551" t="s">
        <v>1669</v>
      </c>
      <c r="C111" s="1112">
        <v>2.6029353660323461E-2</v>
      </c>
      <c r="D111" s="552" t="s">
        <v>1190</v>
      </c>
      <c r="E111" s="40"/>
      <c r="F111" s="40"/>
      <c r="G111" s="544"/>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row>
    <row r="112" spans="1:33" s="34" customFormat="1">
      <c r="A112" s="40"/>
      <c r="B112" s="546" t="s">
        <v>1670</v>
      </c>
      <c r="C112" s="918"/>
      <c r="D112" s="920"/>
      <c r="E112" s="40"/>
      <c r="F112" s="40"/>
      <c r="G112" s="544"/>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row>
    <row r="113" spans="1:33" s="34" customFormat="1">
      <c r="A113" s="40"/>
      <c r="B113" s="547" t="s">
        <v>1671</v>
      </c>
      <c r="C113" s="1110">
        <v>7.0537878162688908E-5</v>
      </c>
      <c r="D113" s="548" t="s">
        <v>1190</v>
      </c>
      <c r="E113" s="40"/>
      <c r="F113" s="40"/>
      <c r="G113" s="544"/>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row>
    <row r="114" spans="1:33" s="34" customFormat="1">
      <c r="A114" s="40"/>
      <c r="B114" s="549" t="s">
        <v>1672</v>
      </c>
      <c r="C114" s="1111">
        <v>1.4327816504676138E-4</v>
      </c>
      <c r="D114" s="550" t="s">
        <v>1190</v>
      </c>
      <c r="E114" s="40"/>
      <c r="F114" s="40"/>
      <c r="G114" s="544"/>
      <c r="H114" s="544"/>
      <c r="I114" s="544"/>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row>
    <row r="115" spans="1:33" s="34" customFormat="1">
      <c r="A115" s="40"/>
      <c r="B115" s="549" t="s">
        <v>1673</v>
      </c>
      <c r="C115" s="1111">
        <v>4.5104259472277474E-4</v>
      </c>
      <c r="D115" s="550" t="s">
        <v>1190</v>
      </c>
      <c r="E115" s="40"/>
      <c r="F115" s="40"/>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row>
    <row r="116" spans="1:33" s="34" customFormat="1">
      <c r="A116" s="40"/>
      <c r="B116" s="549" t="s">
        <v>1674</v>
      </c>
      <c r="C116" s="1111">
        <v>7.8181080202573768E-4</v>
      </c>
      <c r="D116" s="550" t="s">
        <v>1190</v>
      </c>
      <c r="E116" s="40"/>
      <c r="F116" s="40"/>
      <c r="G116" s="544"/>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row>
    <row r="117" spans="1:33" s="34" customFormat="1">
      <c r="A117" s="40"/>
      <c r="B117" s="549" t="s">
        <v>1675</v>
      </c>
      <c r="C117" s="1111">
        <v>3.3161935566450362E-2</v>
      </c>
      <c r="D117" s="550" t="s">
        <v>1190</v>
      </c>
      <c r="E117" s="40"/>
      <c r="F117" s="40"/>
      <c r="G117" s="544"/>
      <c r="H117" s="544"/>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row>
    <row r="118" spans="1:33" s="34" customFormat="1">
      <c r="A118" s="40"/>
      <c r="B118" s="549" t="s">
        <v>1676</v>
      </c>
      <c r="C118" s="1111">
        <v>1.1316675620916905E-3</v>
      </c>
      <c r="D118" s="550" t="s">
        <v>1190</v>
      </c>
      <c r="E118" s="40"/>
      <c r="F118" s="40"/>
      <c r="G118" s="544"/>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row>
    <row r="119" spans="1:33" s="34" customFormat="1">
      <c r="A119" s="40"/>
      <c r="B119" s="549" t="s">
        <v>1677</v>
      </c>
      <c r="C119" s="1111">
        <v>1.4175665547806432E-3</v>
      </c>
      <c r="D119" s="550" t="s">
        <v>1190</v>
      </c>
      <c r="E119" s="40"/>
      <c r="F119" s="40"/>
      <c r="G119" s="544"/>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row>
    <row r="120" spans="1:33" s="34" customFormat="1">
      <c r="A120" s="40"/>
      <c r="B120" s="551" t="s">
        <v>1678</v>
      </c>
      <c r="C120" s="1112">
        <v>1.7103851899508051E-3</v>
      </c>
      <c r="D120" s="552" t="s">
        <v>1190</v>
      </c>
      <c r="E120" s="40"/>
      <c r="F120" s="40"/>
      <c r="G120" s="544"/>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row>
    <row r="121" spans="1:33" s="34" customFormat="1">
      <c r="A121" s="40"/>
      <c r="B121" s="546" t="s">
        <v>1679</v>
      </c>
      <c r="C121" s="918"/>
      <c r="D121" s="920"/>
      <c r="E121" s="40"/>
      <c r="F121" s="40"/>
      <c r="G121" s="544"/>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row>
    <row r="122" spans="1:33" s="34" customFormat="1">
      <c r="A122" s="40"/>
      <c r="B122" s="547" t="s">
        <v>1680</v>
      </c>
      <c r="C122" s="1110">
        <v>2.0734109293501233E-3</v>
      </c>
      <c r="D122" s="548" t="s">
        <v>1190</v>
      </c>
      <c r="E122" s="40"/>
      <c r="F122" s="40"/>
      <c r="G122" s="544"/>
      <c r="H122" s="544"/>
      <c r="I122" s="544"/>
      <c r="J122" s="544"/>
      <c r="K122" s="544"/>
      <c r="L122" s="544"/>
      <c r="M122" s="544"/>
      <c r="N122" s="544"/>
      <c r="O122" s="544"/>
      <c r="P122" s="544"/>
      <c r="Q122" s="544"/>
      <c r="R122" s="544"/>
      <c r="S122" s="544"/>
      <c r="T122" s="544"/>
      <c r="U122" s="544"/>
      <c r="V122" s="544"/>
      <c r="W122" s="544"/>
      <c r="X122" s="544"/>
      <c r="Y122" s="544"/>
      <c r="Z122" s="544"/>
      <c r="AA122" s="544"/>
      <c r="AB122" s="544"/>
      <c r="AC122" s="544"/>
      <c r="AD122" s="544"/>
      <c r="AE122" s="544"/>
      <c r="AF122" s="544"/>
      <c r="AG122" s="544"/>
    </row>
    <row r="123" spans="1:33" s="34" customFormat="1">
      <c r="A123" s="40"/>
      <c r="B123" s="549" t="s">
        <v>1681</v>
      </c>
      <c r="C123" s="1111">
        <v>7.0782573400992657E-3</v>
      </c>
      <c r="D123" s="550" t="s">
        <v>1190</v>
      </c>
      <c r="E123" s="40"/>
      <c r="F123" s="40"/>
      <c r="G123" s="544"/>
      <c r="H123" s="544"/>
      <c r="I123" s="544"/>
      <c r="J123" s="544"/>
      <c r="K123" s="544"/>
      <c r="L123" s="544"/>
      <c r="M123" s="544"/>
      <c r="N123" s="544"/>
      <c r="O123" s="544"/>
      <c r="P123" s="544"/>
      <c r="Q123" s="544"/>
      <c r="R123" s="544"/>
      <c r="S123" s="544"/>
      <c r="T123" s="544"/>
      <c r="U123" s="544"/>
      <c r="V123" s="544"/>
      <c r="W123" s="544"/>
      <c r="X123" s="544"/>
      <c r="Y123" s="544"/>
      <c r="Z123" s="544"/>
      <c r="AA123" s="544"/>
      <c r="AB123" s="544"/>
      <c r="AC123" s="544"/>
      <c r="AD123" s="544"/>
      <c r="AE123" s="544"/>
      <c r="AF123" s="544"/>
      <c r="AG123" s="544"/>
    </row>
    <row r="124" spans="1:33" s="34" customFormat="1">
      <c r="A124" s="40"/>
      <c r="B124" s="551" t="s">
        <v>1682</v>
      </c>
      <c r="C124" s="1112">
        <v>1.5465102844756879E-3</v>
      </c>
      <c r="D124" s="552" t="s">
        <v>1190</v>
      </c>
      <c r="E124" s="40"/>
      <c r="F124" s="40"/>
      <c r="G124" s="544"/>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row>
    <row r="125" spans="1:33" s="34" customFormat="1">
      <c r="A125" s="40"/>
      <c r="B125" s="546" t="s">
        <v>1683</v>
      </c>
      <c r="C125" s="918"/>
      <c r="D125" s="920"/>
      <c r="E125" s="40"/>
      <c r="F125" s="40"/>
      <c r="G125" s="544"/>
      <c r="H125" s="544"/>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row>
    <row r="126" spans="1:33" s="34" customFormat="1">
      <c r="A126" s="40"/>
      <c r="B126" s="547" t="s">
        <v>1684</v>
      </c>
      <c r="C126" s="1110">
        <v>7.1089799059887923E-3</v>
      </c>
      <c r="D126" s="548" t="s">
        <v>1190</v>
      </c>
      <c r="E126" s="40"/>
      <c r="F126" s="40"/>
      <c r="G126" s="544"/>
      <c r="H126" s="544"/>
      <c r="I126" s="544"/>
      <c r="J126" s="544"/>
      <c r="K126" s="544"/>
      <c r="L126" s="544"/>
      <c r="M126" s="544"/>
      <c r="N126" s="544"/>
      <c r="O126" s="544"/>
      <c r="P126" s="544"/>
      <c r="Q126" s="544"/>
      <c r="R126" s="544"/>
      <c r="S126" s="544"/>
      <c r="T126" s="544"/>
      <c r="U126" s="544"/>
      <c r="V126" s="544"/>
      <c r="W126" s="544"/>
      <c r="X126" s="544"/>
      <c r="Y126" s="544"/>
      <c r="Z126" s="544"/>
      <c r="AA126" s="544"/>
      <c r="AB126" s="544"/>
      <c r="AC126" s="544"/>
      <c r="AD126" s="544"/>
      <c r="AE126" s="544"/>
      <c r="AF126" s="544"/>
      <c r="AG126" s="544"/>
    </row>
    <row r="127" spans="1:33" s="34" customFormat="1">
      <c r="A127" s="40"/>
      <c r="B127" s="549" t="s">
        <v>1685</v>
      </c>
      <c r="C127" s="1111">
        <v>5.8358097308840798E-2</v>
      </c>
      <c r="D127" s="550" t="s">
        <v>205</v>
      </c>
      <c r="E127" s="40"/>
      <c r="F127" s="40"/>
      <c r="G127" s="544"/>
      <c r="H127" s="544"/>
      <c r="I127" s="544"/>
      <c r="J127" s="544"/>
      <c r="K127" s="544"/>
      <c r="L127" s="544"/>
      <c r="M127" s="544"/>
      <c r="N127" s="544"/>
      <c r="O127" s="544"/>
      <c r="P127" s="544"/>
      <c r="Q127" s="544"/>
      <c r="R127" s="544"/>
      <c r="S127" s="544"/>
      <c r="T127" s="544"/>
      <c r="U127" s="544"/>
      <c r="V127" s="544"/>
      <c r="W127" s="544"/>
      <c r="X127" s="544"/>
      <c r="Y127" s="544"/>
      <c r="Z127" s="544"/>
      <c r="AA127" s="544"/>
      <c r="AB127" s="544"/>
      <c r="AC127" s="544"/>
      <c r="AD127" s="544"/>
      <c r="AE127" s="544"/>
      <c r="AF127" s="544"/>
      <c r="AG127" s="544"/>
    </row>
    <row r="128" spans="1:33" s="34" customFormat="1">
      <c r="A128" s="40"/>
      <c r="B128" s="549" t="s">
        <v>1686</v>
      </c>
      <c r="C128" s="1111">
        <v>8.6357111218524681E-3</v>
      </c>
      <c r="D128" s="550" t="s">
        <v>1190</v>
      </c>
      <c r="E128" s="40"/>
      <c r="F128" s="40"/>
      <c r="G128" s="544"/>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4"/>
    </row>
    <row r="129" spans="1:40" s="34" customFormat="1">
      <c r="A129" s="40"/>
      <c r="B129" s="549" t="s">
        <v>1687</v>
      </c>
      <c r="C129" s="1111">
        <v>7.1759097546310877E-4</v>
      </c>
      <c r="D129" s="550" t="s">
        <v>1190</v>
      </c>
      <c r="E129" s="40"/>
      <c r="F129" s="40"/>
      <c r="G129" s="544"/>
      <c r="H129" s="544"/>
      <c r="I129" s="544"/>
      <c r="J129" s="544"/>
      <c r="K129" s="544"/>
      <c r="L129" s="544"/>
      <c r="M129" s="544"/>
      <c r="N129" s="544"/>
      <c r="O129" s="544"/>
      <c r="P129" s="544"/>
      <c r="Q129" s="544"/>
      <c r="R129" s="544"/>
      <c r="S129" s="544"/>
      <c r="T129" s="544"/>
      <c r="U129" s="544"/>
      <c r="V129" s="544"/>
      <c r="W129" s="544"/>
      <c r="X129" s="544"/>
      <c r="Y129" s="544"/>
      <c r="Z129" s="544"/>
      <c r="AA129" s="544"/>
      <c r="AB129" s="544"/>
      <c r="AC129" s="544"/>
      <c r="AD129" s="544"/>
      <c r="AE129" s="544"/>
      <c r="AF129" s="544"/>
      <c r="AG129" s="544"/>
      <c r="AH129" s="40"/>
      <c r="AI129" s="40"/>
      <c r="AJ129" s="40"/>
      <c r="AK129" s="40"/>
      <c r="AL129" s="40"/>
      <c r="AM129" s="40"/>
      <c r="AN129" s="40"/>
    </row>
    <row r="130" spans="1:40" s="34" customFormat="1">
      <c r="A130" s="40"/>
      <c r="B130" s="549" t="s">
        <v>1688</v>
      </c>
      <c r="C130" s="1111">
        <v>7.845284029378923E-4</v>
      </c>
      <c r="D130" s="550" t="s">
        <v>201</v>
      </c>
      <c r="E130" s="40"/>
      <c r="F130" s="40"/>
      <c r="G130" s="544"/>
      <c r="H130" s="544"/>
      <c r="I130" s="544"/>
      <c r="J130" s="544"/>
      <c r="K130" s="544"/>
      <c r="L130" s="544"/>
      <c r="M130" s="544"/>
      <c r="N130" s="544"/>
      <c r="O130" s="544"/>
      <c r="P130" s="544"/>
      <c r="Q130" s="544"/>
      <c r="R130" s="544"/>
      <c r="S130" s="544"/>
      <c r="T130" s="544"/>
      <c r="U130" s="544"/>
      <c r="V130" s="544"/>
      <c r="W130" s="544"/>
      <c r="X130" s="544"/>
      <c r="Y130" s="544"/>
      <c r="Z130" s="544"/>
      <c r="AA130" s="544"/>
      <c r="AB130" s="544"/>
      <c r="AC130" s="544"/>
      <c r="AD130" s="544"/>
      <c r="AE130" s="544"/>
      <c r="AF130" s="544"/>
      <c r="AG130" s="544"/>
      <c r="AH130" s="40"/>
      <c r="AI130" s="40"/>
      <c r="AJ130" s="40"/>
      <c r="AK130" s="40"/>
      <c r="AL130" s="40"/>
      <c r="AM130" s="40"/>
      <c r="AN130" s="40"/>
    </row>
    <row r="131" spans="1:40" s="34" customFormat="1">
      <c r="A131" s="40"/>
      <c r="B131" s="551" t="s">
        <v>1689</v>
      </c>
      <c r="C131" s="1112">
        <v>9.546093953944278E-3</v>
      </c>
      <c r="D131" s="552" t="s">
        <v>1190</v>
      </c>
      <c r="E131" s="40"/>
      <c r="F131" s="40"/>
      <c r="G131" s="544"/>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40"/>
      <c r="AI131" s="40"/>
      <c r="AJ131" s="40"/>
      <c r="AK131" s="40"/>
      <c r="AL131" s="40"/>
      <c r="AM131" s="40"/>
      <c r="AN131" s="40"/>
    </row>
    <row r="132" spans="1:40" s="34" customFormat="1" ht="13.5" thickBot="1">
      <c r="A132" s="40"/>
      <c r="B132" s="557" t="s">
        <v>76</v>
      </c>
      <c r="C132" s="1113">
        <v>0.99900984220870759</v>
      </c>
      <c r="D132" s="921"/>
      <c r="E132" s="40"/>
      <c r="F132" s="40"/>
      <c r="G132" s="544"/>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40"/>
      <c r="AI132" s="40"/>
      <c r="AJ132" s="40"/>
      <c r="AK132" s="40"/>
      <c r="AL132" s="40"/>
      <c r="AM132" s="40"/>
      <c r="AN132" s="40"/>
    </row>
    <row r="133" spans="1:40" s="34" customFormat="1" ht="69" customHeight="1" thickBot="1">
      <c r="A133" s="40"/>
      <c r="B133" s="2350" t="s">
        <v>1690</v>
      </c>
      <c r="C133" s="2168"/>
      <c r="D133" s="523" t="s">
        <v>1691</v>
      </c>
      <c r="E133" s="40"/>
      <c r="F133" s="40"/>
      <c r="G133" s="40"/>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40"/>
      <c r="AJ133" s="40"/>
      <c r="AK133" s="40"/>
      <c r="AL133" s="40"/>
      <c r="AM133" s="40"/>
      <c r="AN133" s="40"/>
    </row>
    <row r="134" spans="1:40" s="34" customFormat="1">
      <c r="A134" s="40"/>
      <c r="B134" s="40"/>
      <c r="C134" s="40"/>
      <c r="D134" s="40"/>
      <c r="E134" s="40"/>
      <c r="F134" s="40"/>
      <c r="G134" s="40"/>
      <c r="H134" s="544"/>
      <c r="I134" s="544"/>
      <c r="J134" s="544"/>
      <c r="K134" s="544"/>
      <c r="L134" s="544"/>
      <c r="M134" s="544"/>
      <c r="N134" s="544"/>
      <c r="O134" s="544"/>
      <c r="P134" s="544"/>
      <c r="Q134" s="544"/>
      <c r="R134" s="544"/>
      <c r="S134" s="544"/>
      <c r="T134" s="544"/>
      <c r="U134" s="544"/>
      <c r="V134" s="544"/>
      <c r="W134" s="544"/>
      <c r="X134" s="544"/>
      <c r="Y134" s="544"/>
      <c r="Z134" s="544"/>
      <c r="AA134" s="544"/>
      <c r="AB134" s="544"/>
      <c r="AC134" s="544"/>
      <c r="AD134" s="544"/>
      <c r="AE134" s="544"/>
      <c r="AF134" s="544"/>
      <c r="AG134" s="544"/>
      <c r="AH134" s="544"/>
      <c r="AI134" s="40"/>
      <c r="AJ134" s="40"/>
      <c r="AK134" s="40"/>
      <c r="AL134" s="40"/>
      <c r="AM134" s="40"/>
      <c r="AN134" s="40"/>
    </row>
    <row r="135" spans="1:40" s="34" customFormat="1">
      <c r="A135" s="40"/>
      <c r="B135" s="40"/>
      <c r="C135" s="40"/>
      <c r="D135" s="40"/>
      <c r="E135" s="40"/>
      <c r="F135" s="40"/>
      <c r="G135" s="40"/>
      <c r="H135" s="40"/>
      <c r="I135" s="40"/>
      <c r="J135" s="40"/>
      <c r="K135" s="40"/>
      <c r="L135" s="40"/>
      <c r="M135" s="40"/>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44"/>
    </row>
    <row r="136" spans="1:40" s="34" customFormat="1" ht="24.75" customHeight="1">
      <c r="A136" s="40"/>
      <c r="B136" s="40"/>
      <c r="C136" s="40"/>
      <c r="D136" s="40"/>
      <c r="E136" s="40"/>
      <c r="F136" s="40"/>
      <c r="G136" s="40"/>
      <c r="H136" s="40"/>
      <c r="I136" s="40"/>
      <c r="J136" s="40"/>
      <c r="K136" s="40"/>
      <c r="L136" s="40"/>
      <c r="M136" s="40"/>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row>
    <row r="137" spans="1:40" s="34" customFormat="1">
      <c r="A137" s="40"/>
      <c r="B137" s="40"/>
      <c r="C137" s="40"/>
      <c r="D137" s="40"/>
      <c r="E137" s="40"/>
      <c r="F137" s="40"/>
      <c r="G137" s="40"/>
      <c r="H137" s="40"/>
      <c r="I137" s="40"/>
      <c r="J137" s="40"/>
      <c r="K137" s="40"/>
      <c r="L137" s="40"/>
      <c r="M137" s="40"/>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c r="AK137" s="544"/>
      <c r="AL137" s="544"/>
      <c r="AM137" s="544"/>
      <c r="AN137" s="544"/>
    </row>
    <row r="138" spans="1:40" s="34" customFormat="1">
      <c r="A138" s="40"/>
      <c r="B138" s="40"/>
      <c r="C138" s="40"/>
      <c r="D138" s="40"/>
      <c r="E138" s="40"/>
      <c r="F138" s="40"/>
      <c r="G138" s="40"/>
      <c r="H138" s="40"/>
      <c r="I138" s="40"/>
      <c r="J138" s="40"/>
      <c r="K138" s="40"/>
      <c r="L138" s="40"/>
      <c r="M138" s="40"/>
      <c r="N138" s="544"/>
      <c r="O138" s="544"/>
      <c r="P138" s="544"/>
      <c r="Q138" s="544"/>
      <c r="R138" s="544"/>
      <c r="S138" s="544"/>
      <c r="T138" s="544"/>
      <c r="U138" s="544"/>
      <c r="V138" s="544"/>
      <c r="W138" s="544"/>
      <c r="X138" s="544"/>
      <c r="Y138" s="544"/>
      <c r="Z138" s="544"/>
      <c r="AA138" s="544"/>
      <c r="AB138" s="544"/>
      <c r="AC138" s="544"/>
      <c r="AD138" s="544"/>
      <c r="AE138" s="544"/>
      <c r="AF138" s="544"/>
      <c r="AG138" s="544"/>
      <c r="AH138" s="544"/>
      <c r="AI138" s="544"/>
      <c r="AJ138" s="544"/>
      <c r="AK138" s="544"/>
      <c r="AL138" s="544"/>
      <c r="AM138" s="544"/>
      <c r="AN138" s="544"/>
    </row>
    <row r="139" spans="1:40" s="34" customFormat="1">
      <c r="A139" s="40"/>
      <c r="B139" s="40"/>
      <c r="C139" s="40"/>
      <c r="D139" s="40"/>
      <c r="E139" s="40"/>
      <c r="F139" s="40"/>
      <c r="G139" s="40"/>
      <c r="H139" s="40"/>
      <c r="I139" s="40"/>
      <c r="J139" s="40"/>
      <c r="K139" s="40"/>
      <c r="L139" s="40"/>
      <c r="M139" s="40"/>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c r="AN139" s="544"/>
    </row>
    <row r="140" spans="1:40" s="34" customFormat="1" ht="88.5" customHeight="1">
      <c r="A140" s="40"/>
      <c r="B140" s="40"/>
      <c r="C140" s="40"/>
      <c r="D140" s="40"/>
      <c r="E140" s="40"/>
      <c r="F140" s="40"/>
      <c r="G140" s="40"/>
      <c r="H140" s="40"/>
      <c r="I140" s="40"/>
      <c r="J140" s="40"/>
      <c r="K140" s="40"/>
      <c r="L140" s="40"/>
      <c r="M140" s="40"/>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row>
    <row r="141" spans="1:40" s="34" customFormat="1">
      <c r="A141" s="40"/>
      <c r="B141" s="40"/>
      <c r="C141" s="40"/>
      <c r="D141" s="40"/>
      <c r="E141" s="40"/>
      <c r="F141" s="40"/>
      <c r="G141" s="40"/>
      <c r="H141" s="40"/>
      <c r="I141" s="40"/>
      <c r="J141" s="40"/>
      <c r="K141" s="40"/>
      <c r="L141" s="40"/>
      <c r="M141" s="40"/>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c r="AN141" s="544"/>
    </row>
    <row r="142" spans="1:40" s="34" customFormat="1">
      <c r="A142" s="40"/>
      <c r="B142" s="40"/>
      <c r="C142" s="40"/>
      <c r="D142" s="40"/>
      <c r="E142" s="40"/>
      <c r="F142" s="40"/>
      <c r="G142" s="40"/>
      <c r="H142" s="40"/>
      <c r="I142" s="40"/>
      <c r="J142" s="40"/>
      <c r="K142" s="40"/>
      <c r="L142" s="40"/>
      <c r="M142" s="40"/>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row>
    <row r="143" spans="1:40" s="34" customFormat="1">
      <c r="A143" s="40"/>
      <c r="B143" s="40"/>
      <c r="C143" s="40"/>
      <c r="D143" s="40"/>
      <c r="E143" s="40"/>
      <c r="F143" s="40"/>
      <c r="G143" s="40"/>
      <c r="H143" s="40"/>
      <c r="I143" s="40"/>
      <c r="J143" s="40"/>
      <c r="K143" s="40"/>
      <c r="L143" s="40"/>
      <c r="M143" s="40"/>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row>
    <row r="144" spans="1:40" s="34" customFormat="1">
      <c r="A144" s="40"/>
      <c r="B144" s="40"/>
      <c r="C144" s="40"/>
      <c r="D144" s="40"/>
      <c r="E144" s="40"/>
      <c r="F144" s="40"/>
      <c r="G144" s="40"/>
      <c r="H144" s="40"/>
      <c r="I144" s="40"/>
      <c r="J144" s="40"/>
      <c r="K144" s="40"/>
      <c r="L144" s="40"/>
      <c r="M144" s="40"/>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c r="AN144" s="544"/>
    </row>
    <row r="145" spans="1:40" s="34" customFormat="1">
      <c r="A145" s="40"/>
      <c r="B145" s="40"/>
      <c r="C145" s="40"/>
      <c r="D145" s="40"/>
      <c r="E145" s="40"/>
      <c r="F145" s="40"/>
      <c r="G145" s="40"/>
      <c r="H145" s="40"/>
      <c r="I145" s="40"/>
      <c r="J145" s="40"/>
      <c r="K145" s="40"/>
      <c r="L145" s="40"/>
      <c r="M145" s="40"/>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c r="AN145" s="544"/>
    </row>
    <row r="146" spans="1:40" s="34" customFormat="1">
      <c r="A146" s="40"/>
      <c r="B146" s="40"/>
      <c r="C146" s="40"/>
      <c r="D146" s="40"/>
      <c r="E146" s="40"/>
      <c r="F146" s="40"/>
      <c r="G146" s="40"/>
      <c r="H146" s="40"/>
      <c r="I146" s="40"/>
      <c r="J146" s="40"/>
      <c r="K146" s="40"/>
      <c r="L146" s="40"/>
      <c r="M146" s="40"/>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c r="AK146" s="544"/>
      <c r="AL146" s="544"/>
      <c r="AM146" s="544"/>
      <c r="AN146" s="544"/>
    </row>
    <row r="147" spans="1:40" s="34" customFormat="1">
      <c r="A147" s="40"/>
      <c r="B147" s="40"/>
      <c r="C147" s="40"/>
      <c r="D147" s="40"/>
      <c r="E147" s="40"/>
      <c r="F147" s="40"/>
      <c r="G147" s="40"/>
      <c r="H147" s="40"/>
      <c r="I147" s="40"/>
      <c r="J147" s="40"/>
      <c r="K147" s="40"/>
      <c r="L147" s="40"/>
      <c r="M147" s="40"/>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c r="AN147" s="544"/>
    </row>
    <row r="148" spans="1:40" s="34" customFormat="1">
      <c r="A148" s="40"/>
      <c r="B148" s="40"/>
      <c r="C148" s="40"/>
      <c r="D148" s="40"/>
      <c r="E148" s="40"/>
      <c r="F148" s="40"/>
      <c r="G148" s="40"/>
      <c r="H148" s="40"/>
      <c r="I148" s="40"/>
      <c r="J148" s="40"/>
      <c r="K148" s="40"/>
      <c r="L148" s="40"/>
      <c r="M148" s="40"/>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c r="AN148" s="544"/>
    </row>
    <row r="149" spans="1:40" s="34" customFormat="1">
      <c r="A149" s="40"/>
      <c r="B149" s="40"/>
      <c r="C149" s="40"/>
      <c r="D149" s="40"/>
      <c r="E149" s="40"/>
      <c r="F149" s="40"/>
      <c r="G149" s="40"/>
      <c r="H149" s="40"/>
      <c r="I149" s="40"/>
      <c r="J149" s="40"/>
      <c r="K149" s="40"/>
      <c r="L149" s="40"/>
      <c r="M149" s="40"/>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c r="AN149" s="544"/>
    </row>
    <row r="150" spans="1:40" s="34" customFormat="1">
      <c r="A150" s="40"/>
      <c r="B150" s="40"/>
      <c r="C150" s="40"/>
      <c r="D150" s="40"/>
      <c r="E150" s="40"/>
      <c r="F150" s="40"/>
      <c r="G150" s="40"/>
      <c r="H150" s="40"/>
      <c r="I150" s="40"/>
      <c r="J150" s="40"/>
      <c r="K150" s="40"/>
      <c r="L150" s="40"/>
      <c r="M150" s="40"/>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I150" s="544"/>
      <c r="AJ150" s="544"/>
      <c r="AK150" s="544"/>
      <c r="AL150" s="544"/>
      <c r="AM150" s="544"/>
      <c r="AN150" s="544"/>
    </row>
    <row r="151" spans="1:40" s="34" customFormat="1">
      <c r="A151" s="40"/>
      <c r="B151" s="40"/>
      <c r="C151" s="40"/>
      <c r="D151" s="40"/>
      <c r="E151" s="40"/>
      <c r="F151" s="40"/>
      <c r="G151" s="40"/>
      <c r="H151" s="40"/>
      <c r="I151" s="40"/>
      <c r="J151" s="40"/>
      <c r="K151" s="40"/>
      <c r="L151" s="40"/>
      <c r="M151" s="40"/>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c r="AK151" s="544"/>
      <c r="AL151" s="544"/>
      <c r="AM151" s="544"/>
      <c r="AN151" s="544"/>
    </row>
    <row r="152" spans="1:40" s="34" customFormat="1">
      <c r="A152" s="40"/>
      <c r="B152" s="40"/>
      <c r="C152" s="40"/>
      <c r="D152" s="40"/>
      <c r="E152" s="40"/>
      <c r="F152" s="40"/>
      <c r="G152" s="40"/>
      <c r="H152" s="40"/>
      <c r="I152" s="40"/>
      <c r="J152" s="40"/>
      <c r="K152" s="40"/>
      <c r="L152" s="40"/>
      <c r="M152" s="40"/>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I152" s="544"/>
      <c r="AJ152" s="544"/>
      <c r="AK152" s="544"/>
      <c r="AL152" s="544"/>
      <c r="AM152" s="544"/>
      <c r="AN152" s="544"/>
    </row>
    <row r="153" spans="1:40" s="34" customFormat="1">
      <c r="A153" s="40"/>
      <c r="B153" s="40"/>
      <c r="C153" s="40"/>
      <c r="D153" s="40"/>
      <c r="E153" s="40"/>
      <c r="F153" s="40"/>
      <c r="G153" s="40"/>
      <c r="H153" s="40"/>
      <c r="I153" s="40"/>
      <c r="J153" s="40"/>
      <c r="K153" s="40"/>
      <c r="L153" s="40"/>
      <c r="M153" s="40"/>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I153" s="544"/>
      <c r="AJ153" s="544"/>
      <c r="AK153" s="544"/>
      <c r="AL153" s="544"/>
      <c r="AM153" s="544"/>
      <c r="AN153" s="544"/>
    </row>
    <row r="154" spans="1:40" s="34" customFormat="1">
      <c r="A154" s="40"/>
      <c r="B154" s="40"/>
      <c r="C154" s="40"/>
      <c r="D154" s="40"/>
      <c r="E154" s="40"/>
      <c r="F154" s="40"/>
      <c r="G154" s="40"/>
      <c r="H154" s="40"/>
      <c r="I154" s="40"/>
      <c r="J154" s="40"/>
      <c r="K154" s="40"/>
      <c r="L154" s="40"/>
      <c r="M154" s="40"/>
      <c r="N154" s="544"/>
      <c r="O154" s="544"/>
      <c r="P154" s="544"/>
      <c r="Q154" s="544"/>
      <c r="R154" s="544"/>
      <c r="S154" s="544"/>
      <c r="T154" s="544"/>
      <c r="U154" s="544"/>
      <c r="V154" s="544"/>
      <c r="W154" s="544"/>
      <c r="X154" s="544"/>
      <c r="Y154" s="544"/>
      <c r="Z154" s="544"/>
      <c r="AA154" s="544"/>
      <c r="AB154" s="544"/>
      <c r="AC154" s="544"/>
      <c r="AD154" s="544"/>
      <c r="AE154" s="544"/>
      <c r="AF154" s="544"/>
      <c r="AG154" s="544"/>
      <c r="AH154" s="544"/>
      <c r="AI154" s="544"/>
      <c r="AJ154" s="544"/>
      <c r="AK154" s="544"/>
      <c r="AL154" s="544"/>
      <c r="AM154" s="544"/>
      <c r="AN154" s="544"/>
    </row>
    <row r="155" spans="1:40" s="34" customFormat="1">
      <c r="A155" s="40"/>
      <c r="B155" s="40"/>
      <c r="C155" s="40"/>
      <c r="D155" s="40"/>
      <c r="E155" s="40"/>
      <c r="F155" s="40"/>
      <c r="G155" s="40"/>
      <c r="H155" s="40"/>
      <c r="I155" s="40"/>
      <c r="J155" s="40"/>
      <c r="K155" s="40"/>
      <c r="L155" s="40"/>
      <c r="M155" s="40"/>
      <c r="N155" s="544"/>
      <c r="O155" s="544"/>
      <c r="P155" s="544"/>
      <c r="Q155" s="544"/>
      <c r="R155" s="544"/>
      <c r="S155" s="544"/>
      <c r="T155" s="544"/>
      <c r="U155" s="544"/>
      <c r="V155" s="544"/>
      <c r="W155" s="544"/>
      <c r="X155" s="544"/>
      <c r="Y155" s="544"/>
      <c r="Z155" s="544"/>
      <c r="AA155" s="544"/>
      <c r="AB155" s="544"/>
      <c r="AC155" s="544"/>
      <c r="AD155" s="544"/>
      <c r="AE155" s="544"/>
      <c r="AF155" s="544"/>
      <c r="AG155" s="544"/>
      <c r="AH155" s="544"/>
      <c r="AI155" s="544"/>
      <c r="AJ155" s="544"/>
      <c r="AK155" s="544"/>
      <c r="AL155" s="544"/>
      <c r="AM155" s="544"/>
      <c r="AN155" s="544"/>
    </row>
    <row r="156" spans="1:40" s="34" customFormat="1">
      <c r="A156" s="40"/>
      <c r="B156" s="40"/>
      <c r="C156" s="40"/>
      <c r="D156" s="40"/>
      <c r="E156" s="40"/>
      <c r="F156" s="40"/>
      <c r="G156" s="40"/>
      <c r="H156" s="40"/>
      <c r="I156" s="40"/>
      <c r="J156" s="40"/>
      <c r="K156" s="40"/>
      <c r="L156" s="40"/>
      <c r="M156" s="40"/>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I156" s="544"/>
      <c r="AJ156" s="544"/>
      <c r="AK156" s="544"/>
      <c r="AL156" s="544"/>
      <c r="AM156" s="544"/>
      <c r="AN156" s="544"/>
    </row>
    <row r="157" spans="1:40" s="34" customFormat="1">
      <c r="A157" s="40"/>
      <c r="B157" s="40"/>
      <c r="C157" s="40"/>
      <c r="D157" s="40"/>
      <c r="E157" s="40"/>
      <c r="F157" s="40"/>
      <c r="G157" s="40"/>
      <c r="H157" s="40"/>
      <c r="I157" s="40"/>
      <c r="J157" s="40"/>
      <c r="K157" s="40"/>
      <c r="L157" s="40"/>
      <c r="M157" s="40"/>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I157" s="544"/>
      <c r="AJ157" s="544"/>
      <c r="AK157" s="544"/>
      <c r="AL157" s="544"/>
      <c r="AM157" s="544"/>
      <c r="AN157" s="544"/>
    </row>
    <row r="158" spans="1:40" s="34" customFormat="1">
      <c r="A158" s="40"/>
      <c r="B158" s="40"/>
      <c r="C158" s="40"/>
      <c r="D158" s="40"/>
      <c r="E158" s="40"/>
      <c r="F158" s="40"/>
      <c r="G158" s="40"/>
      <c r="H158" s="40"/>
      <c r="I158" s="40"/>
      <c r="J158" s="40"/>
      <c r="K158" s="40"/>
      <c r="L158" s="40"/>
      <c r="M158" s="40"/>
      <c r="N158" s="544"/>
      <c r="O158" s="544"/>
      <c r="P158" s="544"/>
      <c r="Q158" s="544"/>
      <c r="R158" s="544"/>
      <c r="S158" s="544"/>
      <c r="T158" s="544"/>
      <c r="U158" s="544"/>
      <c r="V158" s="544"/>
      <c r="W158" s="544"/>
      <c r="X158" s="544"/>
      <c r="Y158" s="544"/>
      <c r="Z158" s="544"/>
      <c r="AA158" s="544"/>
      <c r="AB158" s="544"/>
      <c r="AC158" s="544"/>
      <c r="AD158" s="544"/>
      <c r="AE158" s="544"/>
      <c r="AF158" s="544"/>
      <c r="AG158" s="544"/>
      <c r="AH158" s="544"/>
      <c r="AI158" s="544"/>
      <c r="AJ158" s="544"/>
      <c r="AK158" s="544"/>
      <c r="AL158" s="544"/>
      <c r="AM158" s="544"/>
      <c r="AN158" s="544"/>
    </row>
    <row r="159" spans="1:40" s="34" customFormat="1">
      <c r="A159" s="40"/>
      <c r="B159" s="40"/>
      <c r="C159" s="40"/>
      <c r="D159" s="40"/>
      <c r="E159" s="40"/>
      <c r="F159" s="40"/>
      <c r="G159" s="40"/>
      <c r="H159" s="40"/>
      <c r="I159" s="40"/>
      <c r="J159" s="40"/>
      <c r="K159" s="40"/>
      <c r="L159" s="40"/>
      <c r="M159" s="40"/>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c r="AN159" s="544"/>
    </row>
    <row r="160" spans="1:40" s="34" customFormat="1">
      <c r="A160" s="40"/>
      <c r="B160" s="40"/>
      <c r="C160" s="40"/>
      <c r="D160" s="40"/>
      <c r="E160" s="40"/>
      <c r="F160" s="40"/>
      <c r="G160" s="40"/>
      <c r="H160" s="40"/>
      <c r="I160" s="40"/>
      <c r="J160" s="40"/>
      <c r="K160" s="40"/>
      <c r="L160" s="40"/>
      <c r="M160" s="40"/>
      <c r="N160" s="544"/>
      <c r="O160" s="544"/>
      <c r="P160" s="544"/>
      <c r="Q160" s="544"/>
      <c r="R160" s="544"/>
      <c r="S160" s="544"/>
      <c r="T160" s="544"/>
      <c r="U160" s="544"/>
      <c r="V160" s="544"/>
      <c r="W160" s="544"/>
      <c r="X160" s="544"/>
      <c r="Y160" s="544"/>
      <c r="Z160" s="544"/>
      <c r="AA160" s="544"/>
      <c r="AB160" s="544"/>
      <c r="AC160" s="544"/>
      <c r="AD160" s="544"/>
      <c r="AE160" s="544"/>
      <c r="AF160" s="544"/>
      <c r="AG160" s="544"/>
      <c r="AH160" s="544"/>
      <c r="AI160" s="544"/>
      <c r="AJ160" s="544"/>
      <c r="AK160" s="544"/>
      <c r="AL160" s="544"/>
      <c r="AM160" s="544"/>
      <c r="AN160" s="544"/>
    </row>
    <row r="161" spans="1:40" s="34" customFormat="1">
      <c r="A161" s="40"/>
      <c r="B161" s="40"/>
      <c r="C161" s="40"/>
      <c r="D161" s="40"/>
      <c r="E161" s="40"/>
      <c r="F161" s="40"/>
      <c r="G161" s="40"/>
      <c r="H161" s="40"/>
      <c r="I161" s="40"/>
      <c r="J161" s="40"/>
      <c r="K161" s="40"/>
      <c r="L161" s="40"/>
      <c r="M161" s="40"/>
      <c r="N161" s="544"/>
      <c r="O161" s="544"/>
      <c r="P161" s="544"/>
      <c r="Q161" s="544"/>
      <c r="R161" s="544"/>
      <c r="S161" s="544"/>
      <c r="T161" s="544"/>
      <c r="U161" s="544"/>
      <c r="V161" s="544"/>
      <c r="W161" s="544"/>
      <c r="X161" s="544"/>
      <c r="Y161" s="544"/>
      <c r="Z161" s="544"/>
      <c r="AA161" s="544"/>
      <c r="AB161" s="544"/>
      <c r="AC161" s="544"/>
      <c r="AD161" s="544"/>
      <c r="AE161" s="544"/>
      <c r="AF161" s="544"/>
      <c r="AG161" s="544"/>
      <c r="AH161" s="544"/>
      <c r="AI161" s="544"/>
      <c r="AJ161" s="544"/>
      <c r="AK161" s="544"/>
      <c r="AL161" s="544"/>
      <c r="AM161" s="544"/>
      <c r="AN161" s="544"/>
    </row>
    <row r="162" spans="1:40" s="34" customFormat="1">
      <c r="A162" s="40"/>
      <c r="B162" s="40"/>
      <c r="C162" s="40"/>
      <c r="D162" s="40"/>
      <c r="E162" s="40"/>
      <c r="F162" s="40"/>
      <c r="G162" s="40"/>
      <c r="H162" s="40"/>
      <c r="I162" s="40"/>
      <c r="J162" s="40"/>
      <c r="K162" s="40"/>
      <c r="L162" s="40"/>
      <c r="M162" s="40"/>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c r="AK162" s="544"/>
      <c r="AL162" s="544"/>
      <c r="AM162" s="544"/>
      <c r="AN162" s="544"/>
    </row>
    <row r="163" spans="1:40" s="34" customFormat="1">
      <c r="A163" s="40"/>
      <c r="B163" s="40"/>
      <c r="C163" s="40"/>
      <c r="D163" s="40"/>
      <c r="E163" s="40"/>
      <c r="F163" s="40"/>
      <c r="G163" s="40"/>
      <c r="H163" s="40"/>
      <c r="I163" s="40"/>
      <c r="J163" s="40"/>
      <c r="K163" s="40"/>
      <c r="L163" s="40"/>
      <c r="M163" s="40"/>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c r="AK163" s="544"/>
      <c r="AL163" s="544"/>
      <c r="AM163" s="544"/>
      <c r="AN163" s="544"/>
    </row>
    <row r="164" spans="1:40" s="34" customFormat="1">
      <c r="A164" s="40"/>
      <c r="B164" s="40"/>
      <c r="C164" s="40"/>
      <c r="D164" s="40"/>
      <c r="E164" s="40"/>
      <c r="F164" s="40"/>
      <c r="G164" s="40"/>
      <c r="H164" s="40"/>
      <c r="I164" s="40"/>
      <c r="J164" s="40"/>
      <c r="K164" s="40"/>
      <c r="L164" s="40"/>
      <c r="M164" s="40"/>
      <c r="N164" s="544"/>
      <c r="O164" s="544"/>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c r="AK164" s="544"/>
      <c r="AL164" s="544"/>
      <c r="AM164" s="544"/>
      <c r="AN164" s="544"/>
    </row>
    <row r="165" spans="1:40" s="34" customFormat="1">
      <c r="A165" s="40"/>
      <c r="B165" s="40"/>
      <c r="C165" s="40"/>
      <c r="D165" s="40"/>
      <c r="E165" s="40"/>
      <c r="F165" s="40"/>
      <c r="G165" s="40"/>
      <c r="H165" s="40"/>
      <c r="I165" s="40"/>
      <c r="J165" s="40"/>
      <c r="K165" s="40"/>
      <c r="L165" s="40"/>
      <c r="M165" s="40"/>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c r="AN165" s="544"/>
    </row>
    <row r="166" spans="1:40" s="34" customFormat="1">
      <c r="A166" s="40"/>
      <c r="B166" s="40"/>
      <c r="C166" s="40"/>
      <c r="D166" s="40"/>
      <c r="E166" s="40"/>
      <c r="F166" s="40"/>
      <c r="G166" s="40"/>
      <c r="H166" s="40"/>
      <c r="I166" s="40"/>
      <c r="J166" s="40"/>
      <c r="K166" s="40"/>
      <c r="L166" s="40"/>
      <c r="M166" s="40"/>
      <c r="N166" s="544"/>
      <c r="O166" s="544"/>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c r="AK166" s="544"/>
      <c r="AL166" s="544"/>
      <c r="AM166" s="544"/>
      <c r="AN166" s="544"/>
    </row>
    <row r="167" spans="1:40" s="34" customFormat="1">
      <c r="A167" s="40"/>
      <c r="B167" s="40"/>
      <c r="C167" s="40"/>
      <c r="D167" s="40"/>
      <c r="E167" s="40"/>
      <c r="F167" s="40"/>
      <c r="G167" s="40"/>
      <c r="H167" s="40"/>
      <c r="I167" s="40"/>
      <c r="J167" s="40"/>
      <c r="K167" s="40"/>
      <c r="L167" s="40"/>
      <c r="M167" s="40"/>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I167" s="544"/>
      <c r="AJ167" s="544"/>
      <c r="AK167" s="544"/>
      <c r="AL167" s="544"/>
      <c r="AM167" s="544"/>
      <c r="AN167" s="544"/>
    </row>
    <row r="168" spans="1:40" s="34" customFormat="1">
      <c r="A168" s="40"/>
      <c r="B168" s="40"/>
      <c r="C168" s="40"/>
      <c r="D168" s="40"/>
      <c r="E168" s="40"/>
      <c r="F168" s="40"/>
      <c r="G168" s="40"/>
      <c r="H168" s="40"/>
      <c r="I168" s="40"/>
      <c r="J168" s="40"/>
      <c r="K168" s="40"/>
      <c r="L168" s="40"/>
      <c r="M168" s="40"/>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c r="AK168" s="544"/>
      <c r="AL168" s="544"/>
      <c r="AM168" s="544"/>
      <c r="AN168" s="544"/>
    </row>
    <row r="169" spans="1:40" s="34" customFormat="1">
      <c r="A169" s="40"/>
      <c r="B169" s="40"/>
      <c r="C169" s="40"/>
      <c r="D169" s="40"/>
      <c r="E169" s="40"/>
      <c r="F169" s="40"/>
      <c r="G169" s="40"/>
      <c r="H169" s="40"/>
      <c r="I169" s="40"/>
      <c r="J169" s="40"/>
      <c r="K169" s="40"/>
      <c r="L169" s="40"/>
      <c r="M169" s="40"/>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I169" s="544"/>
      <c r="AJ169" s="544"/>
      <c r="AK169" s="544"/>
      <c r="AL169" s="544"/>
      <c r="AM169" s="544"/>
      <c r="AN169" s="544"/>
    </row>
    <row r="170" spans="1:40" s="34" customFormat="1">
      <c r="A170" s="40"/>
      <c r="B170" s="40"/>
      <c r="C170" s="40"/>
      <c r="D170" s="40"/>
      <c r="E170" s="40"/>
      <c r="F170" s="40"/>
      <c r="G170" s="40"/>
      <c r="H170" s="40"/>
      <c r="I170" s="40"/>
      <c r="J170" s="40"/>
      <c r="K170" s="40"/>
      <c r="L170" s="40"/>
      <c r="M170" s="40"/>
      <c r="N170" s="544"/>
      <c r="O170" s="544"/>
      <c r="P170" s="544"/>
      <c r="Q170" s="544"/>
      <c r="R170" s="544"/>
      <c r="S170" s="544"/>
      <c r="T170" s="544"/>
      <c r="U170" s="544"/>
      <c r="V170" s="544"/>
      <c r="W170" s="544"/>
      <c r="X170" s="544"/>
      <c r="Y170" s="544"/>
      <c r="Z170" s="544"/>
      <c r="AA170" s="544"/>
      <c r="AB170" s="544"/>
      <c r="AC170" s="544"/>
      <c r="AD170" s="544"/>
      <c r="AE170" s="544"/>
      <c r="AF170" s="544"/>
      <c r="AG170" s="544"/>
      <c r="AH170" s="544"/>
      <c r="AI170" s="544"/>
      <c r="AJ170" s="544"/>
      <c r="AK170" s="544"/>
      <c r="AL170" s="544"/>
      <c r="AM170" s="544"/>
      <c r="AN170" s="544"/>
    </row>
    <row r="171" spans="1:40" s="34" customFormat="1">
      <c r="A171" s="40"/>
      <c r="B171" s="40"/>
      <c r="C171" s="40"/>
      <c r="D171" s="40"/>
      <c r="E171" s="40"/>
      <c r="F171" s="40"/>
      <c r="G171" s="40"/>
      <c r="H171" s="40"/>
      <c r="I171" s="40"/>
      <c r="J171" s="40"/>
      <c r="K171" s="40"/>
      <c r="L171" s="40"/>
      <c r="M171" s="40"/>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c r="AK171" s="544"/>
      <c r="AL171" s="544"/>
      <c r="AM171" s="544"/>
      <c r="AN171" s="544"/>
    </row>
    <row r="172" spans="1:40" s="34" customFormat="1">
      <c r="A172" s="40"/>
      <c r="B172" s="40"/>
      <c r="C172" s="40"/>
      <c r="D172" s="40"/>
      <c r="E172" s="40"/>
      <c r="F172" s="40"/>
      <c r="G172" s="40"/>
      <c r="H172" s="40"/>
      <c r="I172" s="40"/>
      <c r="J172" s="40"/>
      <c r="K172" s="40"/>
      <c r="L172" s="40"/>
      <c r="M172" s="40"/>
      <c r="N172" s="544"/>
      <c r="O172" s="544"/>
      <c r="P172" s="544"/>
      <c r="Q172" s="544"/>
      <c r="R172" s="544"/>
      <c r="S172" s="544"/>
      <c r="T172" s="544"/>
      <c r="U172" s="544"/>
      <c r="V172" s="544"/>
      <c r="W172" s="544"/>
      <c r="X172" s="544"/>
      <c r="Y172" s="544"/>
      <c r="Z172" s="544"/>
      <c r="AA172" s="544"/>
      <c r="AB172" s="544"/>
      <c r="AC172" s="544"/>
      <c r="AD172" s="544"/>
      <c r="AE172" s="544"/>
      <c r="AF172" s="544"/>
      <c r="AG172" s="544"/>
      <c r="AH172" s="544"/>
      <c r="AI172" s="544"/>
      <c r="AJ172" s="544"/>
      <c r="AK172" s="544"/>
      <c r="AL172" s="544"/>
      <c r="AM172" s="544"/>
      <c r="AN172" s="544"/>
    </row>
    <row r="173" spans="1:40" s="34" customForma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row>
    <row r="174" spans="1:40" s="34" customForma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row>
    <row r="175" spans="1:40" s="34" customForma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row>
    <row r="176" spans="1:40" s="34" customForma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row>
    <row r="177" spans="1:1" s="34" customFormat="1">
      <c r="A177" s="40"/>
    </row>
    <row r="178" spans="1:1" s="34" customFormat="1">
      <c r="A178" s="40"/>
    </row>
    <row r="179" spans="1:1" s="34" customFormat="1">
      <c r="A179" s="40"/>
    </row>
    <row r="180" spans="1:1" s="34" customFormat="1">
      <c r="A180" s="40"/>
    </row>
    <row r="181" spans="1:1" s="34" customFormat="1">
      <c r="A181" s="40"/>
    </row>
    <row r="182" spans="1:1" s="34" customFormat="1">
      <c r="A182" s="40"/>
    </row>
    <row r="183" spans="1:1" s="34" customFormat="1">
      <c r="A183" s="40"/>
    </row>
    <row r="184" spans="1:1" s="34" customFormat="1">
      <c r="A184" s="40"/>
    </row>
    <row r="185" spans="1:1" s="34" customFormat="1">
      <c r="A185" s="40"/>
    </row>
    <row r="186" spans="1:1" s="34" customFormat="1">
      <c r="A186" s="40"/>
    </row>
    <row r="187" spans="1:1" s="34" customFormat="1">
      <c r="A187" s="40"/>
    </row>
    <row r="188" spans="1:1" s="34" customFormat="1">
      <c r="A188" s="40"/>
    </row>
    <row r="189" spans="1:1" s="34" customFormat="1">
      <c r="A189" s="40"/>
    </row>
    <row r="190" spans="1:1" s="34" customFormat="1">
      <c r="A190" s="40"/>
    </row>
    <row r="191" spans="1:1" s="34" customFormat="1">
      <c r="A191" s="40"/>
    </row>
    <row r="192" spans="1:1" s="34" customFormat="1">
      <c r="A192" s="40"/>
    </row>
    <row r="193" spans="1:1" s="34" customFormat="1">
      <c r="A193" s="40"/>
    </row>
    <row r="194" spans="1:1" s="34" customFormat="1">
      <c r="A194" s="40"/>
    </row>
    <row r="195" spans="1:1" s="34" customFormat="1">
      <c r="A195" s="40"/>
    </row>
    <row r="196" spans="1:1" s="34" customFormat="1">
      <c r="A196" s="40"/>
    </row>
    <row r="197" spans="1:1" s="34" customFormat="1">
      <c r="A197" s="40"/>
    </row>
    <row r="198" spans="1:1" s="34" customFormat="1">
      <c r="A198" s="40"/>
    </row>
    <row r="199" spans="1:1" s="34" customFormat="1">
      <c r="A199" s="40"/>
    </row>
    <row r="200" spans="1:1" s="34" customFormat="1">
      <c r="A200" s="40"/>
    </row>
    <row r="201" spans="1:1" s="34" customFormat="1">
      <c r="A201" s="40"/>
    </row>
    <row r="202" spans="1:1" s="34" customFormat="1">
      <c r="A202" s="40"/>
    </row>
    <row r="203" spans="1:1" s="34" customFormat="1">
      <c r="A203" s="40"/>
    </row>
    <row r="204" spans="1:1" s="34" customFormat="1">
      <c r="A204" s="40"/>
    </row>
    <row r="205" spans="1:1" s="34" customFormat="1">
      <c r="A205" s="40"/>
    </row>
    <row r="206" spans="1:1" s="34" customFormat="1">
      <c r="A206" s="40"/>
    </row>
    <row r="207" spans="1:1" s="34" customFormat="1">
      <c r="A207" s="40"/>
    </row>
    <row r="208" spans="1:1" s="34" customFormat="1">
      <c r="A208" s="40"/>
    </row>
    <row r="209" spans="1:1" s="34" customFormat="1">
      <c r="A209" s="40"/>
    </row>
    <row r="210" spans="1:1" s="34" customFormat="1">
      <c r="A210" s="40"/>
    </row>
    <row r="211" spans="1:1" s="34" customFormat="1">
      <c r="A211" s="40"/>
    </row>
    <row r="212" spans="1:1" s="34" customFormat="1">
      <c r="A212" s="40"/>
    </row>
    <row r="213" spans="1:1" s="34" customFormat="1">
      <c r="A213" s="40"/>
    </row>
    <row r="214" spans="1:1" s="34" customFormat="1">
      <c r="A214" s="40"/>
    </row>
    <row r="215" spans="1:1" s="34" customFormat="1">
      <c r="A215" s="40"/>
    </row>
    <row r="216" spans="1:1" s="34" customFormat="1">
      <c r="A216" s="40"/>
    </row>
    <row r="217" spans="1:1" s="34" customFormat="1">
      <c r="A217" s="40"/>
    </row>
    <row r="218" spans="1:1" s="34" customFormat="1">
      <c r="A218" s="40"/>
    </row>
    <row r="219" spans="1:1" s="34" customFormat="1">
      <c r="A219" s="40"/>
    </row>
    <row r="220" spans="1:1" s="34" customFormat="1">
      <c r="A220" s="40"/>
    </row>
    <row r="221" spans="1:1" s="34" customFormat="1">
      <c r="A221" s="40"/>
    </row>
    <row r="222" spans="1:1" s="34" customFormat="1">
      <c r="A222" s="40"/>
    </row>
    <row r="223" spans="1:1" s="34" customFormat="1">
      <c r="A223" s="40"/>
    </row>
    <row r="224" spans="1:1" s="34" customFormat="1">
      <c r="A224" s="40"/>
    </row>
    <row r="225" spans="1:1" s="34" customFormat="1">
      <c r="A225" s="40"/>
    </row>
    <row r="226" spans="1:1" s="34" customFormat="1">
      <c r="A226" s="40"/>
    </row>
    <row r="227" spans="1:1" s="34" customFormat="1">
      <c r="A227" s="40"/>
    </row>
    <row r="228" spans="1:1" s="34" customFormat="1">
      <c r="A228" s="40"/>
    </row>
    <row r="229" spans="1:1" s="34" customFormat="1">
      <c r="A229" s="40"/>
    </row>
    <row r="230" spans="1:1" s="34" customFormat="1">
      <c r="A230" s="40"/>
    </row>
    <row r="231" spans="1:1" s="34" customFormat="1">
      <c r="A231" s="40"/>
    </row>
    <row r="232" spans="1:1" s="34" customFormat="1">
      <c r="A232" s="40"/>
    </row>
    <row r="233" spans="1:1" s="34" customFormat="1">
      <c r="A233" s="40"/>
    </row>
    <row r="234" spans="1:1" s="34" customFormat="1">
      <c r="A234" s="40"/>
    </row>
    <row r="235" spans="1:1" s="34" customFormat="1">
      <c r="A235" s="40"/>
    </row>
    <row r="236" spans="1:1" s="34" customFormat="1">
      <c r="A236" s="40"/>
    </row>
    <row r="237" spans="1:1" s="34" customFormat="1">
      <c r="A237" s="40"/>
    </row>
    <row r="238" spans="1:1" s="34" customFormat="1">
      <c r="A238" s="40"/>
    </row>
    <row r="239" spans="1:1" s="34" customFormat="1">
      <c r="A239" s="40"/>
    </row>
    <row r="240" spans="1:1" s="34" customFormat="1">
      <c r="A240" s="40"/>
    </row>
    <row r="241" spans="1:1" s="34" customFormat="1">
      <c r="A241" s="40"/>
    </row>
    <row r="242" spans="1:1" s="34" customFormat="1">
      <c r="A242" s="40"/>
    </row>
    <row r="243" spans="1:1" s="34" customFormat="1">
      <c r="A243" s="40"/>
    </row>
    <row r="244" spans="1:1" s="34" customFormat="1">
      <c r="A244" s="40"/>
    </row>
    <row r="245" spans="1:1" s="34" customFormat="1">
      <c r="A245" s="40"/>
    </row>
    <row r="246" spans="1:1" s="34" customFormat="1">
      <c r="A246" s="40"/>
    </row>
    <row r="247" spans="1:1" s="34" customFormat="1">
      <c r="A247" s="40"/>
    </row>
    <row r="248" spans="1:1" s="34" customFormat="1">
      <c r="A248" s="40"/>
    </row>
    <row r="249" spans="1:1" s="34" customFormat="1">
      <c r="A249" s="40"/>
    </row>
    <row r="250" spans="1:1" s="34" customFormat="1">
      <c r="A250" s="40"/>
    </row>
    <row r="251" spans="1:1" s="34" customFormat="1">
      <c r="A251" s="40"/>
    </row>
    <row r="252" spans="1:1" s="34" customFormat="1">
      <c r="A252" s="40"/>
    </row>
    <row r="253" spans="1:1" s="34" customFormat="1">
      <c r="A253" s="40"/>
    </row>
    <row r="254" spans="1:1" s="34" customFormat="1">
      <c r="A254" s="40"/>
    </row>
    <row r="255" spans="1:1" s="34" customFormat="1">
      <c r="A255" s="40"/>
    </row>
    <row r="256" spans="1:1" s="34" customFormat="1">
      <c r="A256" s="40"/>
    </row>
    <row r="257" spans="1:1" s="34" customFormat="1">
      <c r="A257" s="40"/>
    </row>
    <row r="258" spans="1:1" s="34" customFormat="1">
      <c r="A258" s="40"/>
    </row>
    <row r="259" spans="1:1" s="34" customFormat="1">
      <c r="A259" s="40"/>
    </row>
    <row r="260" spans="1:1" s="34" customFormat="1">
      <c r="A260" s="40"/>
    </row>
    <row r="261" spans="1:1" s="34" customFormat="1">
      <c r="A261" s="40"/>
    </row>
    <row r="262" spans="1:1" s="34" customFormat="1">
      <c r="A262" s="40"/>
    </row>
    <row r="263" spans="1:1" s="34" customFormat="1">
      <c r="A263" s="40"/>
    </row>
    <row r="264" spans="1:1" s="34" customFormat="1">
      <c r="A264" s="40"/>
    </row>
    <row r="265" spans="1:1" s="34" customFormat="1">
      <c r="A265" s="40"/>
    </row>
    <row r="266" spans="1:1" s="34" customFormat="1">
      <c r="A266" s="40"/>
    </row>
    <row r="267" spans="1:1" s="34" customFormat="1">
      <c r="A267" s="40"/>
    </row>
    <row r="268" spans="1:1" s="34" customFormat="1">
      <c r="A268" s="40"/>
    </row>
    <row r="269" spans="1:1" s="34" customFormat="1">
      <c r="A269" s="40"/>
    </row>
    <row r="270" spans="1:1" s="34" customFormat="1">
      <c r="A270" s="40"/>
    </row>
    <row r="271" spans="1:1" s="34" customFormat="1">
      <c r="A271" s="40"/>
    </row>
    <row r="272" spans="1:1" s="34" customFormat="1">
      <c r="A272" s="40"/>
    </row>
    <row r="273" spans="1:1" s="34" customFormat="1">
      <c r="A273" s="40"/>
    </row>
    <row r="274" spans="1:1" s="34" customFormat="1">
      <c r="A274" s="40"/>
    </row>
    <row r="275" spans="1:1" s="34" customFormat="1">
      <c r="A275" s="40"/>
    </row>
    <row r="276" spans="1:1" s="34" customFormat="1">
      <c r="A276" s="40"/>
    </row>
    <row r="277" spans="1:1" s="34" customFormat="1">
      <c r="A277" s="40"/>
    </row>
    <row r="278" spans="1:1" s="34" customFormat="1">
      <c r="A278" s="40"/>
    </row>
    <row r="279" spans="1:1" s="34" customFormat="1">
      <c r="A279" s="40"/>
    </row>
    <row r="280" spans="1:1" s="34" customFormat="1">
      <c r="A280" s="40"/>
    </row>
    <row r="281" spans="1:1" s="34" customFormat="1">
      <c r="A281" s="40"/>
    </row>
    <row r="282" spans="1:1" s="34" customFormat="1">
      <c r="A282" s="40"/>
    </row>
    <row r="283" spans="1:1" s="34" customFormat="1">
      <c r="A283" s="40"/>
    </row>
    <row r="284" spans="1:1" s="34" customFormat="1">
      <c r="A284" s="40"/>
    </row>
    <row r="285" spans="1:1" s="34" customFormat="1">
      <c r="A285" s="40"/>
    </row>
    <row r="286" spans="1:1" s="34" customFormat="1">
      <c r="A286" s="40"/>
    </row>
    <row r="287" spans="1:1" s="34" customFormat="1">
      <c r="A287" s="40"/>
    </row>
    <row r="288" spans="1:1" s="34" customFormat="1">
      <c r="A288" s="40"/>
    </row>
    <row r="289" spans="1:1" s="34" customFormat="1">
      <c r="A289" s="40"/>
    </row>
    <row r="290" spans="1:1" s="34" customFormat="1">
      <c r="A290" s="40"/>
    </row>
    <row r="291" spans="1:1" s="34" customFormat="1">
      <c r="A291" s="40"/>
    </row>
    <row r="292" spans="1:1" s="34" customFormat="1">
      <c r="A292" s="40"/>
    </row>
    <row r="293" spans="1:1" s="34" customFormat="1">
      <c r="A293" s="40"/>
    </row>
    <row r="294" spans="1:1" s="34" customFormat="1">
      <c r="A294" s="40"/>
    </row>
    <row r="295" spans="1:1" s="34" customFormat="1">
      <c r="A295" s="40"/>
    </row>
    <row r="296" spans="1:1" s="34" customFormat="1">
      <c r="A296" s="40"/>
    </row>
    <row r="297" spans="1:1" s="34" customFormat="1">
      <c r="A297" s="40"/>
    </row>
    <row r="298" spans="1:1" s="34" customFormat="1">
      <c r="A298" s="40"/>
    </row>
    <row r="299" spans="1:1" s="34" customFormat="1">
      <c r="A299" s="40"/>
    </row>
    <row r="300" spans="1:1" s="34" customFormat="1">
      <c r="A300" s="40"/>
    </row>
    <row r="301" spans="1:1" s="34" customFormat="1">
      <c r="A301" s="40"/>
    </row>
    <row r="302" spans="1:1" s="34" customFormat="1">
      <c r="A302" s="40"/>
    </row>
    <row r="303" spans="1:1" s="34" customFormat="1">
      <c r="A303" s="40"/>
    </row>
    <row r="304" spans="1:1" s="34" customFormat="1">
      <c r="A304" s="40"/>
    </row>
    <row r="305" spans="1:1" s="34" customFormat="1">
      <c r="A305" s="40"/>
    </row>
    <row r="306" spans="1:1" s="34" customFormat="1">
      <c r="A306" s="40"/>
    </row>
    <row r="307" spans="1:1" s="34" customFormat="1">
      <c r="A307" s="40"/>
    </row>
    <row r="308" spans="1:1" s="34" customFormat="1">
      <c r="A308" s="40"/>
    </row>
    <row r="309" spans="1:1" s="34" customFormat="1">
      <c r="A309" s="40"/>
    </row>
    <row r="310" spans="1:1" s="34" customFormat="1">
      <c r="A310" s="40"/>
    </row>
    <row r="311" spans="1:1" s="34" customFormat="1">
      <c r="A311" s="40"/>
    </row>
    <row r="312" spans="1:1" s="34" customFormat="1">
      <c r="A312" s="40"/>
    </row>
    <row r="313" spans="1:1" s="34" customFormat="1">
      <c r="A313" s="40"/>
    </row>
    <row r="314" spans="1:1" s="34" customFormat="1">
      <c r="A314" s="40"/>
    </row>
    <row r="315" spans="1:1" s="34" customFormat="1">
      <c r="A315" s="40"/>
    </row>
    <row r="316" spans="1:1" s="34" customFormat="1">
      <c r="A316" s="40"/>
    </row>
    <row r="317" spans="1:1" s="34" customFormat="1">
      <c r="A317" s="40"/>
    </row>
    <row r="318" spans="1:1" s="34" customFormat="1">
      <c r="A318" s="40"/>
    </row>
    <row r="319" spans="1:1" s="34" customFormat="1">
      <c r="A319" s="40"/>
    </row>
    <row r="320" spans="1:1" s="34" customFormat="1">
      <c r="A320" s="40"/>
    </row>
    <row r="321" spans="1:1" s="34" customFormat="1">
      <c r="A321" s="40"/>
    </row>
    <row r="322" spans="1:1" s="34" customFormat="1">
      <c r="A322" s="40"/>
    </row>
    <row r="323" spans="1:1" s="34" customFormat="1">
      <c r="A323" s="40"/>
    </row>
    <row r="324" spans="1:1" s="34" customFormat="1">
      <c r="A324" s="40"/>
    </row>
    <row r="325" spans="1:1" s="34" customFormat="1">
      <c r="A325" s="40"/>
    </row>
    <row r="326" spans="1:1" s="34" customFormat="1">
      <c r="A326" s="40"/>
    </row>
    <row r="327" spans="1:1" s="34" customFormat="1">
      <c r="A327" s="40"/>
    </row>
    <row r="328" spans="1:1" s="34" customFormat="1">
      <c r="A328" s="40"/>
    </row>
    <row r="329" spans="1:1" s="34" customFormat="1">
      <c r="A329" s="40"/>
    </row>
    <row r="330" spans="1:1" s="34" customFormat="1">
      <c r="A330" s="40"/>
    </row>
    <row r="331" spans="1:1" s="34" customFormat="1">
      <c r="A331" s="40"/>
    </row>
    <row r="332" spans="1:1" s="34" customFormat="1">
      <c r="A332" s="40"/>
    </row>
    <row r="333" spans="1:1" s="34" customFormat="1">
      <c r="A333" s="40"/>
    </row>
    <row r="334" spans="1:1" s="34" customFormat="1">
      <c r="A334" s="40"/>
    </row>
    <row r="335" spans="1:1" s="34" customFormat="1">
      <c r="A335" s="40"/>
    </row>
    <row r="336" spans="1:1" s="34" customFormat="1">
      <c r="A336" s="40"/>
    </row>
    <row r="337" spans="1:1" s="34" customFormat="1">
      <c r="A337" s="40"/>
    </row>
    <row r="338" spans="1:1" s="34" customFormat="1">
      <c r="A338" s="40"/>
    </row>
    <row r="339" spans="1:1" s="34" customFormat="1">
      <c r="A339" s="40"/>
    </row>
    <row r="340" spans="1:1" s="34" customFormat="1">
      <c r="A340" s="40"/>
    </row>
    <row r="341" spans="1:1" s="34" customFormat="1">
      <c r="A341" s="40"/>
    </row>
    <row r="342" spans="1:1" s="34" customFormat="1">
      <c r="A342" s="40"/>
    </row>
    <row r="343" spans="1:1" s="34" customFormat="1">
      <c r="A343" s="40"/>
    </row>
    <row r="344" spans="1:1" s="34" customFormat="1">
      <c r="A344" s="40"/>
    </row>
    <row r="345" spans="1:1" s="34" customFormat="1">
      <c r="A345" s="40"/>
    </row>
    <row r="346" spans="1:1" s="34" customFormat="1">
      <c r="A346" s="40"/>
    </row>
    <row r="347" spans="1:1" s="34" customFormat="1">
      <c r="A347" s="40"/>
    </row>
    <row r="348" spans="1:1" s="34" customFormat="1">
      <c r="A348" s="40"/>
    </row>
    <row r="349" spans="1:1" s="34" customFormat="1">
      <c r="A349" s="40"/>
    </row>
    <row r="350" spans="1:1" s="34" customFormat="1">
      <c r="A350" s="40"/>
    </row>
    <row r="351" spans="1:1" s="34" customFormat="1">
      <c r="A351" s="40"/>
    </row>
    <row r="352" spans="1:1" s="34" customFormat="1">
      <c r="A352" s="40"/>
    </row>
    <row r="353" spans="1:1" s="34" customFormat="1">
      <c r="A353" s="40"/>
    </row>
    <row r="354" spans="1:1" s="34" customFormat="1">
      <c r="A354" s="40"/>
    </row>
    <row r="355" spans="1:1" s="34" customFormat="1">
      <c r="A355" s="40"/>
    </row>
    <row r="356" spans="1:1" s="34" customFormat="1">
      <c r="A356" s="40"/>
    </row>
    <row r="357" spans="1:1" s="34" customFormat="1">
      <c r="A357" s="40"/>
    </row>
    <row r="358" spans="1:1" s="34" customFormat="1">
      <c r="A358" s="40"/>
    </row>
    <row r="359" spans="1:1" s="34" customFormat="1">
      <c r="A359" s="40"/>
    </row>
    <row r="360" spans="1:1" s="34" customFormat="1">
      <c r="A360" s="40"/>
    </row>
    <row r="361" spans="1:1" s="34" customFormat="1">
      <c r="A361" s="40"/>
    </row>
    <row r="362" spans="1:1" s="34" customFormat="1">
      <c r="A362" s="40"/>
    </row>
    <row r="363" spans="1:1" s="34" customFormat="1">
      <c r="A363" s="40"/>
    </row>
    <row r="364" spans="1:1" s="34" customFormat="1">
      <c r="A364" s="40"/>
    </row>
    <row r="365" spans="1:1" s="34" customFormat="1">
      <c r="A365" s="40"/>
    </row>
    <row r="366" spans="1:1" s="34" customFormat="1">
      <c r="A366" s="40"/>
    </row>
    <row r="367" spans="1:1" s="34" customFormat="1">
      <c r="A367" s="40"/>
    </row>
    <row r="368" spans="1:1" s="34" customFormat="1">
      <c r="A368" s="40"/>
    </row>
    <row r="369" spans="1:1" s="34" customFormat="1">
      <c r="A369" s="40"/>
    </row>
    <row r="370" spans="1:1" s="34" customFormat="1">
      <c r="A370" s="40"/>
    </row>
    <row r="371" spans="1:1" s="34" customFormat="1">
      <c r="A371" s="40"/>
    </row>
    <row r="372" spans="1:1" s="34" customFormat="1">
      <c r="A372" s="40"/>
    </row>
    <row r="373" spans="1:1" s="34" customFormat="1">
      <c r="A373" s="40"/>
    </row>
    <row r="374" spans="1:1" s="34" customFormat="1">
      <c r="A374" s="40"/>
    </row>
    <row r="375" spans="1:1" s="34" customFormat="1">
      <c r="A375" s="40"/>
    </row>
    <row r="376" spans="1:1" s="34" customFormat="1">
      <c r="A376" s="40"/>
    </row>
    <row r="377" spans="1:1" s="34" customFormat="1">
      <c r="A377" s="40"/>
    </row>
    <row r="378" spans="1:1" s="34" customFormat="1">
      <c r="A378" s="40"/>
    </row>
    <row r="379" spans="1:1" s="34" customFormat="1">
      <c r="A379" s="40"/>
    </row>
    <row r="380" spans="1:1" s="34" customFormat="1">
      <c r="A380" s="40"/>
    </row>
    <row r="381" spans="1:1" s="34" customFormat="1">
      <c r="A381" s="40"/>
    </row>
    <row r="382" spans="1:1" s="34" customFormat="1">
      <c r="A382" s="40"/>
    </row>
    <row r="383" spans="1:1" s="34" customFormat="1">
      <c r="A383" s="40"/>
    </row>
    <row r="384" spans="1:1" s="34" customFormat="1">
      <c r="A384" s="40"/>
    </row>
    <row r="385" spans="1:1" s="34" customFormat="1">
      <c r="A385" s="40"/>
    </row>
    <row r="386" spans="1:1" s="34" customFormat="1">
      <c r="A386" s="40"/>
    </row>
    <row r="387" spans="1:1" s="34" customFormat="1">
      <c r="A387" s="40"/>
    </row>
    <row r="388" spans="1:1" s="34" customFormat="1">
      <c r="A388" s="40"/>
    </row>
    <row r="389" spans="1:1" s="34" customFormat="1">
      <c r="A389" s="40"/>
    </row>
    <row r="390" spans="1:1" s="34" customFormat="1">
      <c r="A390" s="40"/>
    </row>
    <row r="391" spans="1:1" s="34" customFormat="1">
      <c r="A391" s="40"/>
    </row>
    <row r="392" spans="1:1" s="34" customFormat="1">
      <c r="A392" s="40"/>
    </row>
    <row r="393" spans="1:1" s="34" customFormat="1">
      <c r="A393" s="40"/>
    </row>
    <row r="394" spans="1:1" s="34" customFormat="1">
      <c r="A394" s="40"/>
    </row>
    <row r="395" spans="1:1" s="34" customFormat="1">
      <c r="A395" s="40"/>
    </row>
    <row r="396" spans="1:1" s="34" customFormat="1">
      <c r="A396" s="40"/>
    </row>
    <row r="397" spans="1:1" s="34" customFormat="1">
      <c r="A397" s="40"/>
    </row>
    <row r="398" spans="1:1" s="34" customFormat="1">
      <c r="A398" s="40"/>
    </row>
    <row r="399" spans="1:1" s="34" customFormat="1">
      <c r="A399" s="40"/>
    </row>
    <row r="400" spans="1:1" s="34" customFormat="1">
      <c r="A400" s="40"/>
    </row>
    <row r="401" spans="1:1" s="34" customFormat="1">
      <c r="A401" s="40"/>
    </row>
    <row r="402" spans="1:1" s="34" customFormat="1">
      <c r="A402" s="40"/>
    </row>
    <row r="403" spans="1:1" s="34" customFormat="1">
      <c r="A403" s="40"/>
    </row>
    <row r="404" spans="1:1" s="34" customFormat="1">
      <c r="A404" s="40"/>
    </row>
    <row r="405" spans="1:1" s="34" customFormat="1">
      <c r="A405" s="40"/>
    </row>
    <row r="406" spans="1:1" s="34" customFormat="1">
      <c r="A406" s="40"/>
    </row>
    <row r="407" spans="1:1" s="34" customFormat="1">
      <c r="A407" s="40"/>
    </row>
    <row r="408" spans="1:1" s="34" customFormat="1">
      <c r="A408" s="40"/>
    </row>
    <row r="409" spans="1:1" s="34" customFormat="1">
      <c r="A409" s="40"/>
    </row>
    <row r="410" spans="1:1" s="34" customFormat="1">
      <c r="A410" s="40"/>
    </row>
    <row r="411" spans="1:1" s="34" customFormat="1">
      <c r="A411" s="40"/>
    </row>
    <row r="412" spans="1:1" s="34" customFormat="1">
      <c r="A412" s="40"/>
    </row>
    <row r="413" spans="1:1" s="34" customFormat="1">
      <c r="A413" s="40"/>
    </row>
    <row r="414" spans="1:1" s="34" customFormat="1">
      <c r="A414" s="40"/>
    </row>
    <row r="415" spans="1:1" s="34" customFormat="1">
      <c r="A415" s="40"/>
    </row>
    <row r="416" spans="1:1" s="34" customFormat="1">
      <c r="A416" s="40"/>
    </row>
    <row r="417" spans="1:1" s="34" customFormat="1">
      <c r="A417" s="40"/>
    </row>
    <row r="418" spans="1:1" s="34" customFormat="1">
      <c r="A418" s="40"/>
    </row>
    <row r="419" spans="1:1" s="34" customFormat="1">
      <c r="A419" s="40"/>
    </row>
    <row r="420" spans="1:1" s="34" customFormat="1">
      <c r="A420" s="40"/>
    </row>
    <row r="421" spans="1:1" s="34" customFormat="1">
      <c r="A421" s="40"/>
    </row>
    <row r="422" spans="1:1" s="34" customFormat="1">
      <c r="A422" s="40"/>
    </row>
    <row r="423" spans="1:1" s="34" customFormat="1">
      <c r="A423" s="40"/>
    </row>
    <row r="424" spans="1:1" s="34" customFormat="1">
      <c r="A424" s="40"/>
    </row>
    <row r="425" spans="1:1" s="34" customFormat="1">
      <c r="A425" s="40"/>
    </row>
    <row r="426" spans="1:1" s="34" customFormat="1">
      <c r="A426" s="40"/>
    </row>
    <row r="427" spans="1:1" s="34" customFormat="1">
      <c r="A427" s="40"/>
    </row>
    <row r="428" spans="1:1" s="34" customFormat="1">
      <c r="A428" s="40"/>
    </row>
    <row r="429" spans="1:1" s="34" customFormat="1">
      <c r="A429" s="40"/>
    </row>
    <row r="430" spans="1:1" s="34" customFormat="1">
      <c r="A430" s="40"/>
    </row>
    <row r="431" spans="1:1" s="34" customFormat="1">
      <c r="A431" s="40"/>
    </row>
    <row r="432" spans="1:1" s="34" customFormat="1">
      <c r="A432" s="40"/>
    </row>
    <row r="433" spans="1:1" s="34" customFormat="1">
      <c r="A433" s="40"/>
    </row>
    <row r="434" spans="1:1" s="34" customFormat="1">
      <c r="A434" s="40"/>
    </row>
    <row r="435" spans="1:1" s="34" customFormat="1">
      <c r="A435" s="40"/>
    </row>
    <row r="436" spans="1:1" s="34" customFormat="1">
      <c r="A436" s="40"/>
    </row>
    <row r="437" spans="1:1" s="34" customFormat="1">
      <c r="A437" s="40"/>
    </row>
    <row r="438" spans="1:1" s="34" customFormat="1">
      <c r="A438" s="40"/>
    </row>
    <row r="439" spans="1:1" s="34" customFormat="1">
      <c r="A439" s="40"/>
    </row>
    <row r="440" spans="1:1" s="34" customFormat="1">
      <c r="A440" s="40"/>
    </row>
    <row r="441" spans="1:1" s="34" customFormat="1">
      <c r="A441" s="40"/>
    </row>
    <row r="442" spans="1:1" s="34" customFormat="1">
      <c r="A442" s="40"/>
    </row>
    <row r="443" spans="1:1" s="34" customFormat="1">
      <c r="A443" s="40"/>
    </row>
    <row r="444" spans="1:1" s="34" customFormat="1">
      <c r="A444" s="40"/>
    </row>
    <row r="445" spans="1:1" s="34" customFormat="1">
      <c r="A445" s="40"/>
    </row>
    <row r="446" spans="1:1" s="34" customFormat="1">
      <c r="A446" s="40"/>
    </row>
    <row r="447" spans="1:1" s="34" customFormat="1">
      <c r="A447" s="40"/>
    </row>
    <row r="448" spans="1:1" s="34" customFormat="1">
      <c r="A448" s="40"/>
    </row>
    <row r="449" spans="1:1" s="34" customFormat="1">
      <c r="A449" s="40"/>
    </row>
    <row r="450" spans="1:1" s="34" customFormat="1">
      <c r="A450" s="40"/>
    </row>
    <row r="451" spans="1:1" s="34" customFormat="1">
      <c r="A451" s="40"/>
    </row>
    <row r="452" spans="1:1" s="34" customFormat="1">
      <c r="A452" s="40"/>
    </row>
    <row r="453" spans="1:1" s="34" customFormat="1">
      <c r="A453" s="40"/>
    </row>
    <row r="454" spans="1:1" s="34" customFormat="1">
      <c r="A454" s="40"/>
    </row>
    <row r="455" spans="1:1" s="34" customFormat="1">
      <c r="A455" s="40"/>
    </row>
    <row r="456" spans="1:1" s="34" customFormat="1">
      <c r="A456" s="40"/>
    </row>
  </sheetData>
  <mergeCells count="20">
    <mergeCell ref="B133:C133"/>
    <mergeCell ref="B59:D59"/>
    <mergeCell ref="B49:G49"/>
    <mergeCell ref="C3:E3"/>
    <mergeCell ref="C4:E4"/>
    <mergeCell ref="B40:D40"/>
    <mergeCell ref="B46:E46"/>
    <mergeCell ref="B57:D57"/>
    <mergeCell ref="B42:H42"/>
    <mergeCell ref="B35:D35"/>
    <mergeCell ref="B2:E2"/>
    <mergeCell ref="B33:D33"/>
    <mergeCell ref="B6:E6"/>
    <mergeCell ref="B9:G9"/>
    <mergeCell ref="B17:F17"/>
    <mergeCell ref="B13:E13"/>
    <mergeCell ref="B26:B29"/>
    <mergeCell ref="B30:B32"/>
    <mergeCell ref="B23:E23"/>
    <mergeCell ref="B7:E7"/>
  </mergeCells>
  <hyperlinks>
    <hyperlink ref="E33" r:id="rId1" xr:uid="{00000000-0004-0000-1000-000000000000}"/>
    <hyperlink ref="D133" r:id="rId2" location="-waste-characterization-&amp;-capacity-studies-" xr:uid="{00000000-0004-0000-1000-000001000000}"/>
  </hyperlinks>
  <pageMargins left="0.75" right="0.75" top="1" bottom="1" header="0.5" footer="0.5"/>
  <pageSetup orientation="portrait" r:id="rId3"/>
  <headerFooter alignWithMargins="0"/>
  <ignoredErrors>
    <ignoredError sqref="D29" formulaRange="1"/>
    <ignoredError sqref="E29" formula="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249977111117893"/>
  </sheetPr>
  <dimension ref="A1:P199"/>
  <sheetViews>
    <sheetView showGridLines="0" topLeftCell="A4" zoomScaleNormal="100" workbookViewId="0">
      <selection activeCell="B11" sqref="B11"/>
    </sheetView>
  </sheetViews>
  <sheetFormatPr defaultRowHeight="12.75"/>
  <cols>
    <col min="1" max="1" width="2.7109375" style="3" customWidth="1"/>
    <col min="2" max="2" width="31.7109375" style="3" customWidth="1"/>
    <col min="3" max="4" width="29.140625" style="3" customWidth="1"/>
    <col min="5" max="6" width="15.85546875" style="3" customWidth="1"/>
    <col min="7" max="7" width="18.140625" style="3" customWidth="1"/>
    <col min="8" max="8" width="19.28515625" style="3" customWidth="1"/>
    <col min="9"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16" ht="13.5" thickBot="1">
      <c r="A1" s="40"/>
      <c r="B1" s="40"/>
      <c r="C1" s="40"/>
      <c r="D1" s="18"/>
      <c r="E1" s="40"/>
      <c r="F1" s="40"/>
      <c r="G1" s="40"/>
      <c r="H1" s="40"/>
      <c r="I1" s="40"/>
      <c r="J1" s="40"/>
      <c r="K1" s="40"/>
      <c r="L1" s="18"/>
      <c r="M1" s="40"/>
      <c r="N1" s="40"/>
      <c r="O1" s="18"/>
      <c r="P1" s="40"/>
    </row>
    <row r="2" spans="1:16" ht="21" customHeight="1" thickBot="1">
      <c r="A2" s="40"/>
      <c r="B2" s="2244" t="s">
        <v>1692</v>
      </c>
      <c r="C2" s="2339"/>
      <c r="D2" s="2339"/>
      <c r="E2" s="1909"/>
      <c r="F2" s="40"/>
      <c r="G2" s="40"/>
      <c r="H2" s="40"/>
      <c r="I2" s="40"/>
      <c r="J2" s="40"/>
      <c r="K2" s="40"/>
      <c r="L2" s="18"/>
      <c r="M2" s="40"/>
      <c r="N2" s="40"/>
      <c r="O2" s="18"/>
      <c r="P2" s="40"/>
    </row>
    <row r="3" spans="1:16">
      <c r="A3" s="40"/>
      <c r="B3" s="165" t="s">
        <v>430</v>
      </c>
      <c r="C3" s="2182" t="s">
        <v>443</v>
      </c>
      <c r="D3" s="2231"/>
      <c r="E3" s="2232"/>
      <c r="F3" s="40"/>
      <c r="G3" s="40"/>
      <c r="H3" s="40"/>
      <c r="I3" s="40"/>
      <c r="J3" s="40"/>
      <c r="K3" s="40"/>
      <c r="L3" s="18"/>
      <c r="M3" s="40"/>
      <c r="N3" s="40"/>
      <c r="O3" s="18"/>
      <c r="P3" s="40"/>
    </row>
    <row r="4" spans="1:16" ht="13.5" thickBot="1">
      <c r="A4" s="40"/>
      <c r="B4" s="166" t="s">
        <v>1281</v>
      </c>
      <c r="C4" s="2233" t="s">
        <v>1693</v>
      </c>
      <c r="D4" s="2048"/>
      <c r="E4" s="2049"/>
      <c r="F4" s="40"/>
      <c r="G4" s="40"/>
      <c r="H4" s="40"/>
      <c r="I4" s="40"/>
      <c r="J4" s="40"/>
      <c r="K4" s="40"/>
      <c r="L4" s="18"/>
      <c r="M4" s="40"/>
      <c r="N4" s="40"/>
      <c r="O4" s="18"/>
      <c r="P4" s="40"/>
    </row>
    <row r="5" spans="1:16" ht="13.5" thickBot="1">
      <c r="A5" s="40"/>
      <c r="B5" s="1875"/>
      <c r="C5" s="1875"/>
      <c r="D5" s="1875"/>
      <c r="E5" s="1875"/>
      <c r="F5" s="40"/>
      <c r="G5" s="40"/>
      <c r="H5" s="40"/>
      <c r="I5" s="40"/>
      <c r="J5" s="40"/>
      <c r="K5" s="40"/>
      <c r="L5" s="18"/>
      <c r="M5" s="40"/>
      <c r="N5" s="40"/>
      <c r="O5" s="18"/>
      <c r="P5" s="40"/>
    </row>
    <row r="6" spans="1:16" ht="15.75" customHeight="1" thickBot="1">
      <c r="A6" s="40"/>
      <c r="B6" s="1936" t="s">
        <v>434</v>
      </c>
      <c r="C6" s="1937"/>
      <c r="D6" s="1937"/>
      <c r="E6" s="1937"/>
      <c r="F6" s="1937"/>
      <c r="G6" s="1938"/>
      <c r="H6" s="40"/>
      <c r="I6" s="40"/>
      <c r="J6" s="40"/>
      <c r="K6" s="40"/>
      <c r="L6" s="18"/>
      <c r="M6" s="40"/>
      <c r="N6" s="40"/>
      <c r="O6" s="18"/>
      <c r="P6" s="40"/>
    </row>
    <row r="7" spans="1:16" ht="55.5" customHeight="1" thickBot="1">
      <c r="A7" s="40"/>
      <c r="B7" s="2070" t="s">
        <v>1694</v>
      </c>
      <c r="C7" s="2172"/>
      <c r="D7" s="2172"/>
      <c r="E7" s="2172"/>
      <c r="F7" s="2172"/>
      <c r="G7" s="2173"/>
      <c r="H7" s="40"/>
      <c r="I7" s="40"/>
      <c r="J7" s="40"/>
      <c r="K7" s="40"/>
      <c r="L7" s="40"/>
      <c r="M7" s="40"/>
      <c r="N7" s="40"/>
      <c r="O7" s="18"/>
      <c r="P7" s="40"/>
    </row>
    <row r="8" spans="1:16" ht="13.5" thickBot="1">
      <c r="A8" s="1608"/>
      <c r="B8" s="1608"/>
      <c r="C8" s="40"/>
      <c r="D8" s="40"/>
      <c r="E8" s="40"/>
      <c r="F8" s="40"/>
      <c r="G8" s="40"/>
      <c r="H8" s="40"/>
      <c r="I8" s="40"/>
      <c r="J8" s="40"/>
      <c r="K8" s="40"/>
      <c r="L8" s="40"/>
      <c r="M8" s="40"/>
      <c r="N8" s="18"/>
      <c r="O8" s="40"/>
      <c r="P8" s="1608"/>
    </row>
    <row r="9" spans="1:16" ht="15.75" customHeight="1" thickBot="1">
      <c r="A9" s="1608"/>
      <c r="B9" s="2351" t="s">
        <v>1695</v>
      </c>
      <c r="C9" s="2193"/>
      <c r="D9" s="2352"/>
      <c r="E9" s="40"/>
      <c r="F9" s="40"/>
      <c r="G9" s="40"/>
      <c r="H9" s="40"/>
      <c r="I9" s="40"/>
      <c r="J9" s="40"/>
      <c r="K9" s="40"/>
      <c r="L9" s="40"/>
      <c r="M9" s="40"/>
      <c r="N9" s="18"/>
      <c r="O9" s="40"/>
      <c r="P9" s="1608"/>
    </row>
    <row r="10" spans="1:16" ht="38.25" customHeight="1">
      <c r="A10" s="1608"/>
      <c r="B10" s="1874" t="s">
        <v>1568</v>
      </c>
      <c r="C10" s="75" t="s">
        <v>1696</v>
      </c>
      <c r="D10" s="1884" t="s">
        <v>1697</v>
      </c>
      <c r="E10" s="40"/>
      <c r="F10" s="40"/>
      <c r="G10" s="40"/>
      <c r="H10" s="40"/>
      <c r="I10" s="40"/>
      <c r="J10" s="40"/>
      <c r="K10" s="40"/>
      <c r="L10" s="40"/>
      <c r="M10" s="18"/>
      <c r="N10" s="40"/>
      <c r="O10" s="1608"/>
      <c r="P10" s="1608"/>
    </row>
    <row r="11" spans="1:16" ht="13.5" thickBot="1">
      <c r="A11" s="1608"/>
      <c r="B11" s="566">
        <f>'Waste-Solid Waste Disposal'!D21</f>
        <v>25244.508300000001</v>
      </c>
      <c r="C11" s="1773">
        <f>IF(Inputs!C279="Yes",Inputs!C284,0.5)</f>
        <v>1</v>
      </c>
      <c r="D11" s="1774">
        <f>IF(Inputs!C279="Yes",Inputs!C285,0.5)</f>
        <v>0</v>
      </c>
      <c r="E11" s="40"/>
      <c r="F11" s="40"/>
      <c r="G11" s="40"/>
      <c r="H11" s="40"/>
      <c r="I11" s="40"/>
      <c r="J11" s="40"/>
      <c r="K11" s="40"/>
      <c r="L11" s="40"/>
      <c r="M11" s="18"/>
      <c r="N11" s="40"/>
      <c r="O11" s="1608"/>
      <c r="P11" s="1608"/>
    </row>
    <row r="12" spans="1:16" ht="25.5" customHeight="1" thickBot="1">
      <c r="A12" s="1608"/>
      <c r="B12" s="2358" t="s">
        <v>1698</v>
      </c>
      <c r="C12" s="2195"/>
      <c r="D12" s="1958"/>
      <c r="E12" s="40"/>
      <c r="F12" s="40"/>
      <c r="G12" s="40"/>
      <c r="H12" s="40"/>
      <c r="I12" s="40"/>
      <c r="J12" s="40"/>
      <c r="K12" s="40"/>
      <c r="L12" s="40"/>
      <c r="M12" s="40"/>
      <c r="N12" s="18"/>
      <c r="O12" s="40"/>
      <c r="P12" s="1608"/>
    </row>
    <row r="13" spans="1:16" ht="13.5" thickBot="1">
      <c r="A13" s="1608"/>
      <c r="B13" s="1608"/>
      <c r="C13" s="40"/>
      <c r="D13" s="40"/>
      <c r="E13" s="40"/>
      <c r="F13" s="40"/>
      <c r="G13" s="40"/>
      <c r="H13" s="40"/>
      <c r="I13" s="40"/>
      <c r="J13" s="40"/>
      <c r="K13" s="40"/>
      <c r="L13" s="40"/>
      <c r="M13" s="40"/>
      <c r="N13" s="18"/>
      <c r="O13" s="40"/>
      <c r="P13" s="1608"/>
    </row>
    <row r="14" spans="1:16" s="88" customFormat="1" ht="16.5" customHeight="1" thickBot="1">
      <c r="A14" s="40"/>
      <c r="B14" s="2351" t="s">
        <v>1699</v>
      </c>
      <c r="C14" s="2193"/>
      <c r="D14" s="2193"/>
      <c r="E14" s="2193"/>
      <c r="F14" s="2193"/>
      <c r="G14" s="2193"/>
      <c r="H14" s="2193"/>
      <c r="I14" s="2352"/>
      <c r="J14" s="40"/>
      <c r="K14" s="40"/>
      <c r="L14" s="40"/>
      <c r="M14" s="40"/>
      <c r="N14" s="40"/>
      <c r="O14" s="40"/>
      <c r="P14" s="40"/>
    </row>
    <row r="15" spans="1:16" s="88" customFormat="1" ht="63.75">
      <c r="A15" s="40"/>
      <c r="B15" s="1874" t="s">
        <v>1700</v>
      </c>
      <c r="C15" s="75" t="s">
        <v>1701</v>
      </c>
      <c r="D15" s="75" t="s">
        <v>1702</v>
      </c>
      <c r="E15" s="75" t="s">
        <v>1703</v>
      </c>
      <c r="F15" s="75" t="s">
        <v>1704</v>
      </c>
      <c r="G15" s="75" t="s">
        <v>1705</v>
      </c>
      <c r="H15" s="75" t="s">
        <v>1706</v>
      </c>
      <c r="I15" s="1884" t="s">
        <v>1707</v>
      </c>
      <c r="J15" s="40"/>
      <c r="K15" s="40"/>
      <c r="L15" s="40"/>
      <c r="M15" s="40"/>
      <c r="N15" s="40"/>
      <c r="O15" s="40"/>
      <c r="P15" s="40"/>
    </row>
    <row r="16" spans="1:16" s="88" customFormat="1">
      <c r="A16" s="40"/>
      <c r="B16" s="1880" t="s">
        <v>1708</v>
      </c>
      <c r="C16" s="553">
        <f>(B11*C11)*'Emission Factors'!$D$145</f>
        <v>22901439.262135498</v>
      </c>
      <c r="D16" s="1114">
        <v>4</v>
      </c>
      <c r="E16" s="1114">
        <v>0.3</v>
      </c>
      <c r="F16" s="1149">
        <f>(C16*D16)*'Emission Factors'!D138</f>
        <v>91.605757048541989</v>
      </c>
      <c r="G16" s="1115">
        <v>0</v>
      </c>
      <c r="H16" s="553">
        <f>F16-(F16*G16)</f>
        <v>91.605757048541989</v>
      </c>
      <c r="I16" s="1150">
        <f>(C16*E16)*'Emission Factors'!D138</f>
        <v>6.8704317786406488</v>
      </c>
      <c r="J16" s="40"/>
      <c r="K16" s="40"/>
      <c r="L16" s="40"/>
      <c r="M16" s="40"/>
      <c r="N16" s="40"/>
      <c r="O16" s="40"/>
      <c r="P16" s="40"/>
    </row>
    <row r="17" spans="2:12" s="88" customFormat="1" ht="13.5" thickBot="1">
      <c r="B17" s="105" t="s">
        <v>195</v>
      </c>
      <c r="C17" s="1775">
        <f>(B11*D11)*'Emission Factors'!$D$145</f>
        <v>0</v>
      </c>
      <c r="D17" s="1776">
        <v>1</v>
      </c>
      <c r="E17" s="1777">
        <v>0</v>
      </c>
      <c r="F17" s="1778">
        <f>(C17*D17)*'Emission Factors'!D138</f>
        <v>0</v>
      </c>
      <c r="G17" s="1779">
        <v>1</v>
      </c>
      <c r="H17" s="1780">
        <f>F17-(F17*G17)</f>
        <v>0</v>
      </c>
      <c r="I17" s="1781">
        <f>(C17*E17)*'Emission Factors'!D138</f>
        <v>0</v>
      </c>
      <c r="J17" s="40"/>
      <c r="K17" s="40"/>
      <c r="L17" s="40"/>
    </row>
    <row r="18" spans="2:12" s="88" customFormat="1" ht="13.5" thickBot="1">
      <c r="B18" s="2361" t="s">
        <v>1709</v>
      </c>
      <c r="C18" s="2334"/>
      <c r="D18" s="2334"/>
      <c r="E18" s="2334"/>
      <c r="F18" s="2334"/>
      <c r="G18" s="2335"/>
      <c r="H18" s="1775">
        <f>SUM(H16:H17)</f>
        <v>91.605757048541989</v>
      </c>
      <c r="I18" s="1782">
        <f>SUM(I16:I17)</f>
        <v>6.8704317786406488</v>
      </c>
      <c r="J18" s="40"/>
      <c r="K18" s="40"/>
      <c r="L18" s="40"/>
    </row>
    <row r="19" spans="2:12" s="88" customFormat="1" ht="73.5" customHeight="1" thickBot="1">
      <c r="B19" s="2362" t="s">
        <v>1710</v>
      </c>
      <c r="C19" s="2223"/>
      <c r="D19" s="2363"/>
      <c r="E19" s="2364"/>
      <c r="F19" s="493" t="s">
        <v>1711</v>
      </c>
      <c r="G19" s="40"/>
      <c r="H19" s="1611"/>
      <c r="I19" s="40"/>
      <c r="J19" s="40"/>
      <c r="K19" s="1611"/>
      <c r="L19" s="40"/>
    </row>
    <row r="20" spans="2:12" s="88" customFormat="1">
      <c r="B20" s="40"/>
      <c r="C20" s="40"/>
      <c r="D20" s="40"/>
      <c r="E20" s="40"/>
      <c r="F20" s="40"/>
      <c r="G20" s="40"/>
      <c r="H20" s="40"/>
      <c r="I20" s="40"/>
      <c r="J20" s="40"/>
      <c r="K20" s="40"/>
      <c r="L20" s="40"/>
    </row>
    <row r="21" spans="2:12" s="88" customFormat="1" ht="357" customHeight="1">
      <c r="B21" s="40"/>
      <c r="C21" s="40"/>
      <c r="D21" s="40"/>
      <c r="E21" s="40"/>
      <c r="F21" s="40"/>
      <c r="G21" s="40"/>
      <c r="H21" s="40"/>
      <c r="I21" s="40"/>
      <c r="J21" s="40"/>
      <c r="K21" s="40"/>
      <c r="L21" s="40"/>
    </row>
    <row r="22" spans="2:12" s="88" customFormat="1">
      <c r="B22" s="40"/>
      <c r="C22" s="40"/>
      <c r="D22" s="40"/>
      <c r="E22" s="40"/>
      <c r="F22" s="40"/>
      <c r="G22" s="40"/>
      <c r="H22" s="40"/>
      <c r="I22" s="40"/>
      <c r="J22" s="40"/>
      <c r="K22" s="40"/>
      <c r="L22" s="40"/>
    </row>
    <row r="23" spans="2:12" s="88" customFormat="1">
      <c r="B23" s="40"/>
      <c r="C23" s="40"/>
      <c r="D23" s="40"/>
      <c r="E23" s="40"/>
      <c r="F23" s="40"/>
      <c r="G23" s="40"/>
      <c r="H23" s="40"/>
      <c r="I23" s="40"/>
      <c r="J23" s="40"/>
      <c r="K23" s="40"/>
      <c r="L23" s="40"/>
    </row>
    <row r="24" spans="2:12" s="88" customFormat="1">
      <c r="B24" s="40"/>
      <c r="C24" s="40"/>
      <c r="D24" s="40"/>
      <c r="E24" s="40"/>
      <c r="F24" s="40"/>
      <c r="G24" s="40"/>
      <c r="H24" s="40"/>
      <c r="I24" s="40"/>
      <c r="J24" s="40"/>
      <c r="K24" s="40"/>
      <c r="L24" s="40"/>
    </row>
    <row r="25" spans="2:12" s="88" customFormat="1">
      <c r="B25" s="40"/>
      <c r="C25" s="40"/>
      <c r="D25" s="40"/>
      <c r="E25" s="40"/>
      <c r="F25" s="40"/>
      <c r="G25" s="40"/>
      <c r="H25" s="40"/>
      <c r="I25" s="40"/>
      <c r="J25" s="40"/>
      <c r="K25" s="40"/>
      <c r="L25" s="40"/>
    </row>
    <row r="26" spans="2:12" s="88" customFormat="1">
      <c r="B26" s="40"/>
      <c r="C26" s="40"/>
      <c r="D26" s="40"/>
      <c r="E26" s="40"/>
      <c r="F26" s="40"/>
      <c r="G26" s="40"/>
      <c r="H26" s="40"/>
      <c r="I26" s="40"/>
      <c r="J26" s="40"/>
      <c r="K26" s="40"/>
      <c r="L26" s="40"/>
    </row>
    <row r="27" spans="2:12" s="88" customFormat="1">
      <c r="B27" s="40"/>
      <c r="C27" s="40"/>
      <c r="D27" s="40"/>
      <c r="E27" s="40"/>
      <c r="F27" s="40"/>
      <c r="G27" s="40"/>
      <c r="H27" s="40"/>
      <c r="I27" s="40"/>
      <c r="J27" s="40"/>
      <c r="K27" s="40"/>
      <c r="L27" s="40"/>
    </row>
    <row r="28" spans="2:12" s="88" customFormat="1">
      <c r="B28" s="40"/>
      <c r="C28" s="40"/>
      <c r="D28" s="40"/>
      <c r="E28" s="40"/>
      <c r="F28" s="40"/>
      <c r="G28" s="40"/>
      <c r="H28" s="40"/>
      <c r="I28" s="40"/>
      <c r="J28" s="40"/>
      <c r="K28" s="40"/>
      <c r="L28" s="40"/>
    </row>
    <row r="29" spans="2:12" s="88" customFormat="1">
      <c r="B29" s="40"/>
      <c r="C29" s="40"/>
      <c r="D29" s="40"/>
      <c r="E29" s="40"/>
      <c r="F29" s="40"/>
      <c r="G29" s="40"/>
      <c r="H29" s="40"/>
      <c r="I29" s="40"/>
      <c r="J29" s="40"/>
      <c r="K29" s="40"/>
      <c r="L29" s="40"/>
    </row>
    <row r="30" spans="2:12" s="88" customFormat="1">
      <c r="B30" s="40"/>
      <c r="C30" s="40"/>
      <c r="D30" s="40"/>
      <c r="E30" s="40"/>
      <c r="F30" s="40"/>
      <c r="G30" s="40"/>
      <c r="H30" s="40"/>
      <c r="I30" s="40"/>
      <c r="J30" s="40"/>
      <c r="K30" s="40"/>
      <c r="L30" s="40"/>
    </row>
    <row r="31" spans="2:12" s="88" customFormat="1">
      <c r="B31" s="40"/>
      <c r="C31" s="40"/>
      <c r="D31" s="40"/>
      <c r="E31" s="40"/>
      <c r="F31" s="40"/>
      <c r="G31" s="40"/>
      <c r="H31" s="40"/>
      <c r="I31" s="40"/>
      <c r="J31" s="40"/>
      <c r="K31" s="40"/>
      <c r="L31" s="40"/>
    </row>
    <row r="32" spans="2:12" s="88" customFormat="1">
      <c r="B32" s="40"/>
      <c r="C32" s="40"/>
      <c r="D32" s="40"/>
      <c r="E32" s="40"/>
      <c r="F32" s="40"/>
      <c r="G32" s="40"/>
      <c r="H32" s="40"/>
      <c r="I32" s="40"/>
      <c r="J32" s="40"/>
      <c r="K32" s="40"/>
      <c r="L32" s="40"/>
    </row>
    <row r="33" s="88" customFormat="1"/>
    <row r="34" s="88" customFormat="1"/>
    <row r="35" s="88" customFormat="1"/>
    <row r="36" s="88" customFormat="1"/>
    <row r="37" s="88" customFormat="1"/>
    <row r="38" s="88" customFormat="1"/>
    <row r="39" s="88" customFormat="1"/>
    <row r="40" s="88" customFormat="1"/>
    <row r="41" s="88" customFormat="1"/>
    <row r="42" s="88" customFormat="1"/>
    <row r="43" s="88" customFormat="1"/>
    <row r="44" s="88" customFormat="1"/>
    <row r="45" s="88" customFormat="1"/>
    <row r="46" s="88" customFormat="1"/>
    <row r="47" s="88" customFormat="1"/>
    <row r="48" s="88" customFormat="1"/>
    <row r="49" s="88" customFormat="1"/>
    <row r="50" s="88" customFormat="1"/>
    <row r="51" s="88" customFormat="1"/>
    <row r="52" s="88" customFormat="1"/>
    <row r="53" s="88" customFormat="1"/>
    <row r="54" s="88" customFormat="1"/>
    <row r="55" s="88" customFormat="1"/>
    <row r="56" s="88" customFormat="1"/>
    <row r="57" s="88" customFormat="1"/>
    <row r="58" s="88" customFormat="1"/>
    <row r="59" s="88" customFormat="1"/>
    <row r="60" s="88" customFormat="1"/>
    <row r="61" s="88" customFormat="1"/>
    <row r="62" s="88" customFormat="1"/>
    <row r="63" s="88" customFormat="1"/>
    <row r="64" s="88" customFormat="1"/>
    <row r="65" s="88" customFormat="1"/>
    <row r="66" s="88" customFormat="1"/>
    <row r="67" s="88" customFormat="1"/>
    <row r="68" s="88" customFormat="1"/>
    <row r="69" s="88" customFormat="1"/>
    <row r="70" s="88" customFormat="1"/>
    <row r="71" s="88" customFormat="1"/>
    <row r="72" s="88" customFormat="1"/>
    <row r="73" s="88" customFormat="1"/>
    <row r="74" s="88" customFormat="1"/>
    <row r="75" s="88" customFormat="1"/>
    <row r="76" s="88" customFormat="1"/>
    <row r="77" s="88" customFormat="1"/>
    <row r="78" s="88" customFormat="1"/>
    <row r="79" s="88" customFormat="1"/>
    <row r="80" s="88" customFormat="1"/>
    <row r="81" s="88" customFormat="1"/>
    <row r="82" s="88" customFormat="1"/>
    <row r="83" s="88" customFormat="1"/>
    <row r="84" s="88" customFormat="1"/>
    <row r="85" s="88" customFormat="1"/>
    <row r="86" s="88" customFormat="1"/>
    <row r="87" s="88" customFormat="1"/>
    <row r="88" s="88" customFormat="1"/>
    <row r="89" s="88" customFormat="1"/>
    <row r="90" s="88" customFormat="1"/>
    <row r="91" s="88" customFormat="1"/>
    <row r="92" s="88" customFormat="1"/>
    <row r="93" s="88" customFormat="1"/>
    <row r="94" s="88" customFormat="1"/>
    <row r="95" s="88" customFormat="1"/>
    <row r="96" s="88" customFormat="1"/>
    <row r="97" s="88" customFormat="1"/>
    <row r="98" s="88" customFormat="1"/>
    <row r="99" s="88" customFormat="1"/>
    <row r="100" s="88" customFormat="1"/>
    <row r="101" s="88" customFormat="1"/>
    <row r="102" s="88" customFormat="1"/>
    <row r="103" s="88" customFormat="1"/>
    <row r="104" s="88" customFormat="1"/>
    <row r="105" s="88" customFormat="1"/>
    <row r="106" s="88" customFormat="1"/>
    <row r="107" s="88" customFormat="1"/>
    <row r="108" s="88" customFormat="1"/>
    <row r="109" s="88" customFormat="1"/>
    <row r="110" s="88" customFormat="1"/>
    <row r="111" s="88" customFormat="1"/>
    <row r="112" s="88" customFormat="1"/>
    <row r="113" s="88" customFormat="1"/>
    <row r="114" s="88" customFormat="1"/>
    <row r="115" s="88" customFormat="1"/>
    <row r="116" s="88" customFormat="1"/>
    <row r="117" s="88" customFormat="1"/>
    <row r="118" s="88" customFormat="1"/>
    <row r="119" s="88" customFormat="1"/>
    <row r="120" s="88" customFormat="1"/>
    <row r="121" s="88" customFormat="1"/>
    <row r="122" s="88" customFormat="1"/>
    <row r="123" s="88" customFormat="1"/>
    <row r="124" s="88" customFormat="1"/>
    <row r="125" s="88" customFormat="1"/>
    <row r="126" s="88" customFormat="1"/>
    <row r="127" s="88" customFormat="1"/>
    <row r="128" s="88" customFormat="1"/>
    <row r="129" s="88" customFormat="1"/>
    <row r="130" s="88" customFormat="1"/>
    <row r="131" s="88" customFormat="1"/>
    <row r="132" s="88" customFormat="1"/>
    <row r="133" s="88" customFormat="1"/>
    <row r="134" s="88" customFormat="1"/>
    <row r="135" s="88" customFormat="1"/>
    <row r="136" s="88" customFormat="1"/>
    <row r="137" s="88" customFormat="1"/>
    <row r="138" s="88" customFormat="1"/>
    <row r="139" s="88" customFormat="1"/>
    <row r="140" s="88" customFormat="1"/>
    <row r="141" s="88" customFormat="1"/>
    <row r="142" s="88" customFormat="1"/>
    <row r="143" s="88" customFormat="1"/>
    <row r="144" s="88" customFormat="1"/>
    <row r="145" s="88" customFormat="1"/>
    <row r="146" s="88" customFormat="1"/>
    <row r="147" s="88" customFormat="1"/>
    <row r="148" s="88" customFormat="1"/>
    <row r="149" s="88" customFormat="1"/>
    <row r="150" s="88" customFormat="1"/>
    <row r="151" s="88" customFormat="1"/>
    <row r="152" s="88" customFormat="1"/>
    <row r="153" s="88" customFormat="1"/>
    <row r="154" s="88" customFormat="1"/>
    <row r="155" s="88" customFormat="1"/>
    <row r="156" s="88" customFormat="1"/>
    <row r="157" s="88" customFormat="1"/>
    <row r="158" s="88" customFormat="1"/>
    <row r="159" s="88" customFormat="1"/>
    <row r="160" s="88" customFormat="1"/>
    <row r="161" s="88" customFormat="1"/>
    <row r="162" s="88" customFormat="1"/>
    <row r="163" s="88" customFormat="1"/>
    <row r="164" s="88" customFormat="1"/>
    <row r="165" s="88" customFormat="1"/>
    <row r="166" s="88" customFormat="1"/>
    <row r="167" s="88" customFormat="1"/>
    <row r="168" s="88" customFormat="1"/>
    <row r="169" s="88" customFormat="1"/>
    <row r="170" s="88" customFormat="1"/>
    <row r="171" s="88" customFormat="1"/>
    <row r="172" s="88" customFormat="1"/>
    <row r="173" s="88" customFormat="1"/>
    <row r="174" s="88" customFormat="1"/>
    <row r="175" s="88" customFormat="1"/>
    <row r="176" s="88" customFormat="1"/>
    <row r="177" s="88" customFormat="1"/>
    <row r="178" s="88" customFormat="1"/>
    <row r="179" s="88" customFormat="1"/>
    <row r="180" s="88" customFormat="1"/>
    <row r="181" s="88" customFormat="1"/>
    <row r="182" s="88" customFormat="1"/>
    <row r="183" s="88" customFormat="1"/>
    <row r="184" s="88" customFormat="1"/>
    <row r="185" s="88" customFormat="1"/>
    <row r="186" s="88" customFormat="1"/>
    <row r="187" s="88" customFormat="1"/>
    <row r="188" s="88" customFormat="1"/>
    <row r="189" s="88" customFormat="1"/>
    <row r="190" s="88" customFormat="1"/>
    <row r="191" s="88" customFormat="1"/>
    <row r="192" s="88" customFormat="1"/>
    <row r="193" s="88" customFormat="1"/>
    <row r="194" s="88" customFormat="1"/>
    <row r="195" s="88" customFormat="1"/>
    <row r="196" s="88" customFormat="1"/>
    <row r="197" s="88" customFormat="1"/>
    <row r="198" s="88" customFormat="1"/>
    <row r="199" s="88" customFormat="1"/>
  </sheetData>
  <mergeCells count="10">
    <mergeCell ref="B12:D12"/>
    <mergeCell ref="B18:G18"/>
    <mergeCell ref="B14:I14"/>
    <mergeCell ref="B9:D9"/>
    <mergeCell ref="B19:E19"/>
    <mergeCell ref="B2:E2"/>
    <mergeCell ref="C3:E3"/>
    <mergeCell ref="C4:E4"/>
    <mergeCell ref="B6:G6"/>
    <mergeCell ref="B7:G7"/>
  </mergeCells>
  <hyperlinks>
    <hyperlink ref="F19" r:id="rId1" location="-waste-characterization-&amp;-capacity-studies-" xr:uid="{00000000-0004-0000-1100-000000000000}"/>
  </hyperlinks>
  <pageMargins left="0.75" right="0.75" top="1" bottom="1" header="0.5" footer="0.5"/>
  <pageSetup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249977111117893"/>
  </sheetPr>
  <dimension ref="A1:BE433"/>
  <sheetViews>
    <sheetView showGridLines="0" topLeftCell="A4" zoomScaleNormal="100" workbookViewId="0">
      <selection activeCell="D53" sqref="D53"/>
    </sheetView>
  </sheetViews>
  <sheetFormatPr defaultRowHeight="12.75"/>
  <cols>
    <col min="1" max="1" width="2.7109375" style="3" customWidth="1"/>
    <col min="2" max="2" width="25.5703125" style="3" bestFit="1" customWidth="1"/>
    <col min="3" max="4" width="29.140625" style="3" customWidth="1"/>
    <col min="5" max="6" width="15.85546875" style="3" customWidth="1"/>
    <col min="7" max="7" width="18.140625" style="3" customWidth="1"/>
    <col min="8" max="8" width="19.28515625" style="3" customWidth="1"/>
    <col min="9"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16" ht="13.5" thickBot="1">
      <c r="A1" s="40"/>
      <c r="B1" s="40"/>
      <c r="C1" s="40"/>
      <c r="D1" s="18"/>
      <c r="E1" s="40"/>
      <c r="F1" s="40"/>
      <c r="G1" s="40"/>
      <c r="H1" s="40"/>
      <c r="I1" s="40"/>
      <c r="J1" s="40"/>
      <c r="K1" s="40"/>
      <c r="L1" s="18"/>
      <c r="M1" s="40"/>
      <c r="N1" s="40"/>
      <c r="O1" s="18"/>
      <c r="P1" s="40"/>
    </row>
    <row r="2" spans="1:16" ht="21" customHeight="1" thickBot="1">
      <c r="A2" s="40"/>
      <c r="B2" s="2244" t="s">
        <v>1712</v>
      </c>
      <c r="C2" s="2339"/>
      <c r="D2" s="2339"/>
      <c r="E2" s="1909"/>
      <c r="F2" s="40"/>
      <c r="G2" s="40"/>
      <c r="H2" s="40"/>
      <c r="I2" s="40"/>
      <c r="J2" s="40"/>
      <c r="K2" s="40"/>
      <c r="L2" s="18"/>
      <c r="M2" s="40"/>
      <c r="N2" s="40"/>
      <c r="O2" s="18"/>
      <c r="P2" s="40"/>
    </row>
    <row r="3" spans="1:16">
      <c r="A3" s="40"/>
      <c r="B3" s="165" t="s">
        <v>430</v>
      </c>
      <c r="C3" s="2182" t="s">
        <v>443</v>
      </c>
      <c r="D3" s="2231"/>
      <c r="E3" s="2232"/>
      <c r="F3" s="40"/>
      <c r="G3" s="40"/>
      <c r="H3" s="40"/>
      <c r="I3" s="40"/>
      <c r="J3" s="40"/>
      <c r="K3" s="40"/>
      <c r="L3" s="18"/>
      <c r="M3" s="40"/>
      <c r="N3" s="40"/>
      <c r="O3" s="18"/>
      <c r="P3" s="40"/>
    </row>
    <row r="4" spans="1:16" ht="13.5" thickBot="1">
      <c r="A4" s="40"/>
      <c r="B4" s="166" t="s">
        <v>1281</v>
      </c>
      <c r="C4" s="2233" t="s">
        <v>460</v>
      </c>
      <c r="D4" s="2048"/>
      <c r="E4" s="2049"/>
      <c r="F4" s="40"/>
      <c r="G4" s="40"/>
      <c r="H4" s="40"/>
      <c r="I4" s="40"/>
      <c r="J4" s="40"/>
      <c r="K4" s="40"/>
      <c r="L4" s="18"/>
      <c r="M4" s="40"/>
      <c r="N4" s="40"/>
      <c r="O4" s="18"/>
      <c r="P4" s="40"/>
    </row>
    <row r="5" spans="1:16" ht="13.5" thickBot="1">
      <c r="A5" s="40"/>
      <c r="B5" s="1875"/>
      <c r="C5" s="1875"/>
      <c r="D5" s="1875"/>
      <c r="E5" s="1875"/>
      <c r="F5" s="40"/>
      <c r="G5" s="40"/>
      <c r="H5" s="40"/>
      <c r="I5" s="40"/>
      <c r="J5" s="40"/>
      <c r="K5" s="40"/>
      <c r="L5" s="18"/>
      <c r="M5" s="40"/>
      <c r="N5" s="40"/>
      <c r="O5" s="18"/>
      <c r="P5" s="40"/>
    </row>
    <row r="6" spans="1:16" ht="15.75" customHeight="1" thickBot="1">
      <c r="A6" s="40"/>
      <c r="B6" s="1936" t="s">
        <v>434</v>
      </c>
      <c r="C6" s="1937"/>
      <c r="D6" s="1937"/>
      <c r="E6" s="1937"/>
      <c r="F6" s="1937"/>
      <c r="G6" s="1938"/>
      <c r="H6" s="40"/>
      <c r="I6" s="40"/>
      <c r="J6" s="40"/>
      <c r="K6" s="40"/>
      <c r="L6" s="18"/>
      <c r="M6" s="40"/>
      <c r="N6" s="40"/>
      <c r="O6" s="18"/>
      <c r="P6" s="40"/>
    </row>
    <row r="7" spans="1:16" ht="141.75" customHeight="1" thickBot="1">
      <c r="A7" s="40"/>
      <c r="B7" s="2250" t="s">
        <v>1713</v>
      </c>
      <c r="C7" s="2251"/>
      <c r="D7" s="2251"/>
      <c r="E7" s="2251"/>
      <c r="F7" s="2251"/>
      <c r="G7" s="2252"/>
      <c r="H7" s="40"/>
      <c r="I7" s="40"/>
      <c r="J7" s="40"/>
      <c r="K7" s="40"/>
      <c r="L7" s="18"/>
      <c r="M7" s="40"/>
      <c r="N7" s="40"/>
      <c r="O7" s="18"/>
      <c r="P7" s="40"/>
    </row>
    <row r="8" spans="1:16" ht="13.5" thickBot="1">
      <c r="A8" s="1608"/>
      <c r="B8" s="1608"/>
      <c r="C8" s="1608"/>
      <c r="D8" s="40"/>
      <c r="E8" s="40"/>
      <c r="F8" s="40"/>
      <c r="G8" s="40"/>
      <c r="H8" s="40"/>
      <c r="I8" s="40"/>
      <c r="J8" s="40"/>
      <c r="K8" s="40"/>
      <c r="L8" s="40"/>
      <c r="M8" s="40"/>
      <c r="N8" s="18"/>
      <c r="O8" s="40"/>
      <c r="P8" s="1608"/>
    </row>
    <row r="9" spans="1:16" s="88" customFormat="1" ht="15.75" thickBot="1">
      <c r="A9" s="40"/>
      <c r="B9" s="1905" t="s">
        <v>1714</v>
      </c>
      <c r="C9" s="2114"/>
      <c r="D9" s="1909"/>
      <c r="E9" s="40"/>
      <c r="F9" s="40"/>
      <c r="G9" s="40"/>
      <c r="H9" s="18"/>
      <c r="I9" s="40"/>
      <c r="J9" s="40"/>
      <c r="K9" s="40"/>
      <c r="L9" s="40"/>
      <c r="M9" s="40"/>
      <c r="N9" s="18"/>
      <c r="O9" s="40"/>
      <c r="P9" s="40"/>
    </row>
    <row r="10" spans="1:16" s="88" customFormat="1">
      <c r="A10" s="40"/>
      <c r="B10" s="1419" t="s">
        <v>1414</v>
      </c>
      <c r="C10" s="1420" t="s">
        <v>1415</v>
      </c>
      <c r="D10" s="1881" t="s">
        <v>1416</v>
      </c>
      <c r="E10" s="40"/>
      <c r="F10" s="40"/>
      <c r="G10" s="40"/>
      <c r="H10" s="18"/>
      <c r="I10" s="40"/>
      <c r="J10" s="40"/>
      <c r="K10" s="40"/>
      <c r="L10" s="40"/>
      <c r="M10" s="40"/>
      <c r="N10" s="18"/>
      <c r="O10" s="40"/>
      <c r="P10" s="40"/>
    </row>
    <row r="11" spans="1:16" s="88" customFormat="1" ht="12.75" customHeight="1" thickBot="1">
      <c r="A11" s="40"/>
      <c r="B11" s="300">
        <f>H45</f>
        <v>0</v>
      </c>
      <c r="C11" s="1722">
        <f>J29</f>
        <v>0</v>
      </c>
      <c r="D11" s="1783">
        <f>H60</f>
        <v>0</v>
      </c>
      <c r="E11" s="40"/>
      <c r="F11" s="40"/>
      <c r="G11" s="40"/>
      <c r="H11" s="18"/>
      <c r="I11" s="40"/>
      <c r="J11" s="40"/>
      <c r="K11" s="40"/>
      <c r="L11" s="40"/>
      <c r="M11" s="40"/>
      <c r="N11" s="18"/>
      <c r="O11" s="40"/>
      <c r="P11" s="40"/>
    </row>
    <row r="12" spans="1:16" s="88" customFormat="1" ht="12.75" customHeight="1" thickBot="1">
      <c r="A12" s="40"/>
      <c r="B12" s="40"/>
      <c r="C12" s="40"/>
      <c r="D12" s="40"/>
      <c r="E12" s="40"/>
      <c r="F12" s="40"/>
      <c r="G12" s="40"/>
      <c r="H12" s="18"/>
      <c r="I12" s="40"/>
      <c r="J12" s="40"/>
      <c r="K12" s="40"/>
      <c r="L12" s="40"/>
      <c r="M12" s="40"/>
      <c r="N12" s="40"/>
      <c r="O12" s="40"/>
      <c r="P12" s="40"/>
    </row>
    <row r="13" spans="1:16" s="88" customFormat="1" ht="15.75" thickBot="1">
      <c r="A13" s="40"/>
      <c r="B13" s="1931" t="s">
        <v>1715</v>
      </c>
      <c r="C13" s="2146"/>
      <c r="D13" s="1932"/>
      <c r="E13" s="1933"/>
      <c r="F13" s="40"/>
      <c r="G13" s="40"/>
      <c r="H13" s="18"/>
      <c r="I13" s="40"/>
      <c r="J13" s="40"/>
      <c r="K13" s="40"/>
      <c r="L13" s="40"/>
      <c r="M13" s="40"/>
      <c r="N13" s="40"/>
      <c r="O13" s="40"/>
      <c r="P13" s="40"/>
    </row>
    <row r="14" spans="1:16" s="88" customFormat="1" ht="38.25" customHeight="1">
      <c r="A14" s="40"/>
      <c r="B14" s="1874" t="s">
        <v>209</v>
      </c>
      <c r="C14" s="75" t="s">
        <v>1716</v>
      </c>
      <c r="D14" s="75" t="s">
        <v>1717</v>
      </c>
      <c r="E14" s="1884" t="s">
        <v>1718</v>
      </c>
      <c r="F14" s="40"/>
      <c r="G14" s="40"/>
      <c r="H14" s="40"/>
      <c r="I14" s="18"/>
      <c r="J14" s="40"/>
      <c r="K14" s="40"/>
      <c r="L14" s="40"/>
      <c r="M14" s="40"/>
      <c r="N14" s="40"/>
      <c r="O14" s="40"/>
      <c r="P14" s="40"/>
    </row>
    <row r="15" spans="1:16" s="88" customFormat="1" ht="12.75" customHeight="1">
      <c r="A15" s="40"/>
      <c r="B15" s="438" t="s">
        <v>1571</v>
      </c>
      <c r="C15" s="1598">
        <f>'Waste-Solid Waste Disposal'!C19</f>
        <v>0</v>
      </c>
      <c r="D15" s="871">
        <f>'Waste-Solid Waste Disposal'!E32</f>
        <v>0</v>
      </c>
      <c r="E15" s="1617">
        <f>C15*D15</f>
        <v>0</v>
      </c>
      <c r="F15" s="40"/>
      <c r="G15" s="40"/>
      <c r="H15" s="40"/>
      <c r="I15" s="18"/>
      <c r="J15" s="40"/>
      <c r="K15" s="40"/>
      <c r="L15" s="40"/>
      <c r="M15" s="40"/>
      <c r="N15" s="40"/>
      <c r="O15" s="40"/>
      <c r="P15" s="40"/>
    </row>
    <row r="16" spans="1:16" s="88" customFormat="1" ht="12.75" customHeight="1">
      <c r="A16" s="40"/>
      <c r="B16" s="438" t="s">
        <v>1572</v>
      </c>
      <c r="C16" s="1598">
        <f>'Waste-Solid Waste Disposal'!C20</f>
        <v>0</v>
      </c>
      <c r="D16" s="871">
        <f>'Waste-Solid Waste Disposal'!E32</f>
        <v>0</v>
      </c>
      <c r="E16" s="1617">
        <f>C16*D16</f>
        <v>0</v>
      </c>
      <c r="F16" s="1618"/>
      <c r="G16" s="40"/>
      <c r="H16" s="40"/>
      <c r="I16" s="18"/>
      <c r="J16" s="40"/>
      <c r="K16" s="40"/>
      <c r="L16" s="40"/>
      <c r="M16" s="40"/>
      <c r="N16" s="40"/>
      <c r="O16" s="40"/>
      <c r="P16" s="40"/>
    </row>
    <row r="17" spans="2:57" s="88" customFormat="1" ht="12.75" customHeight="1" thickBot="1">
      <c r="B17" s="439" t="s">
        <v>1590</v>
      </c>
      <c r="C17" s="1729">
        <f>SUM(C15:C16)</f>
        <v>0</v>
      </c>
      <c r="D17" s="1726"/>
      <c r="E17" s="1727">
        <f t="shared" ref="E17" si="0">SUM(E15:E16)</f>
        <v>0</v>
      </c>
      <c r="F17" s="40"/>
      <c r="G17" s="40"/>
      <c r="H17" s="18"/>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row>
    <row r="18" spans="2:57" s="88" customFormat="1" ht="12.75" customHeight="1" thickBot="1">
      <c r="B18" s="40"/>
      <c r="C18" s="40"/>
      <c r="D18" s="40"/>
      <c r="E18" s="40"/>
      <c r="F18" s="40"/>
      <c r="G18" s="40"/>
      <c r="H18" s="18"/>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row>
    <row r="19" spans="2:57" s="4" customFormat="1" ht="15.75" customHeight="1" thickBot="1">
      <c r="B19" s="2345" t="s">
        <v>1719</v>
      </c>
      <c r="C19" s="1908"/>
      <c r="D19" s="1908"/>
      <c r="E19" s="1908"/>
      <c r="F19" s="1908"/>
      <c r="G19" s="1908"/>
      <c r="H19" s="1908"/>
      <c r="I19" s="1908"/>
      <c r="J19" s="1909"/>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row>
    <row r="20" spans="2:57" s="4" customFormat="1" ht="51">
      <c r="B20" s="1419" t="s">
        <v>418</v>
      </c>
      <c r="C20" s="123" t="s">
        <v>1720</v>
      </c>
      <c r="D20" s="107" t="s">
        <v>1718</v>
      </c>
      <c r="E20" s="107" t="s">
        <v>1721</v>
      </c>
      <c r="F20" s="107" t="s">
        <v>1722</v>
      </c>
      <c r="G20" s="107" t="s">
        <v>1723</v>
      </c>
      <c r="H20" s="107" t="s">
        <v>1724</v>
      </c>
      <c r="I20" s="107" t="s">
        <v>1559</v>
      </c>
      <c r="J20" s="2365" t="s">
        <v>1725</v>
      </c>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544"/>
    </row>
    <row r="21" spans="2:57" s="4" customFormat="1" ht="25.5">
      <c r="B21" s="1880" t="s">
        <v>1726</v>
      </c>
      <c r="C21" s="1619" t="s">
        <v>1727</v>
      </c>
      <c r="D21" s="1620" t="s">
        <v>1728</v>
      </c>
      <c r="E21" s="1620" t="s">
        <v>1729</v>
      </c>
      <c r="F21" s="1620" t="s">
        <v>1730</v>
      </c>
      <c r="G21" s="1620" t="s">
        <v>1731</v>
      </c>
      <c r="H21" s="1620" t="s">
        <v>1732</v>
      </c>
      <c r="I21" s="1620" t="s">
        <v>1733</v>
      </c>
      <c r="J21" s="2366"/>
      <c r="K21" s="110"/>
      <c r="L21" s="19"/>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544"/>
    </row>
    <row r="22" spans="2:57" s="4" customFormat="1">
      <c r="B22" s="2384" t="s">
        <v>425</v>
      </c>
      <c r="C22" s="1621" t="s">
        <v>1734</v>
      </c>
      <c r="D22" s="1622">
        <f>E17</f>
        <v>0</v>
      </c>
      <c r="E22" s="1623"/>
      <c r="F22" s="1623"/>
      <c r="G22" s="1623"/>
      <c r="H22" s="1623"/>
      <c r="I22" s="1623"/>
      <c r="J22" s="1623"/>
      <c r="K22" s="110"/>
      <c r="L22" s="19"/>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544"/>
    </row>
    <row r="23" spans="2:57" s="4" customFormat="1">
      <c r="B23" s="2385"/>
      <c r="C23" s="536" t="s">
        <v>1735</v>
      </c>
      <c r="D23" s="878"/>
      <c r="E23" s="872">
        <f>'Waste-Solid Waste Disposal'!F51</f>
        <v>0.15859999999999999</v>
      </c>
      <c r="F23" s="1116">
        <v>0.4</v>
      </c>
      <c r="G23" s="1116">
        <v>0.38</v>
      </c>
      <c r="H23" s="1116">
        <v>0</v>
      </c>
      <c r="I23" s="1116">
        <v>1</v>
      </c>
      <c r="J23" s="873">
        <f>E23*F23*G23*H23*I23</f>
        <v>0</v>
      </c>
      <c r="K23" s="110"/>
      <c r="L23" s="19"/>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544"/>
    </row>
    <row r="24" spans="2:57">
      <c r="B24" s="2385"/>
      <c r="C24" s="537" t="s">
        <v>202</v>
      </c>
      <c r="D24" s="879"/>
      <c r="E24" s="497">
        <f>'Waste-Solid Waste Disposal'!F52</f>
        <v>0.51780000000000004</v>
      </c>
      <c r="F24" s="1117">
        <v>0.4</v>
      </c>
      <c r="G24" s="1117">
        <v>0.49</v>
      </c>
      <c r="H24" s="1117">
        <v>0</v>
      </c>
      <c r="I24" s="1117">
        <v>1</v>
      </c>
      <c r="J24" s="874">
        <f>E24*F24*G24*H24*I24</f>
        <v>0</v>
      </c>
      <c r="K24" s="110"/>
      <c r="L24" s="19"/>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1608"/>
    </row>
    <row r="25" spans="2:57">
      <c r="B25" s="2385"/>
      <c r="C25" s="537" t="s">
        <v>203</v>
      </c>
      <c r="D25" s="879"/>
      <c r="E25" s="497">
        <f>'Waste-Solid Waste Disposal'!F53</f>
        <v>0.15409999999999999</v>
      </c>
      <c r="F25" s="1117">
        <v>0.9</v>
      </c>
      <c r="G25" s="1117">
        <v>0.46</v>
      </c>
      <c r="H25" s="1117">
        <v>0.01</v>
      </c>
      <c r="I25" s="1117">
        <v>1</v>
      </c>
      <c r="J25" s="874">
        <f t="shared" ref="J25:J28" si="1">E25*F25*G25*H25*I25</f>
        <v>6.3797399999999992E-4</v>
      </c>
      <c r="K25" s="110"/>
      <c r="L25" s="19"/>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1608"/>
    </row>
    <row r="26" spans="2:57">
      <c r="B26" s="2385"/>
      <c r="C26" s="537" t="s">
        <v>204</v>
      </c>
      <c r="D26" s="879"/>
      <c r="E26" s="497">
        <f>'Waste-Solid Waste Disposal'!F54</f>
        <v>0.16950000000000001</v>
      </c>
      <c r="F26" s="1117">
        <v>0.85</v>
      </c>
      <c r="G26" s="1117">
        <v>0.5</v>
      </c>
      <c r="H26" s="1117">
        <v>0</v>
      </c>
      <c r="I26" s="1117">
        <v>1</v>
      </c>
      <c r="J26" s="874">
        <f t="shared" si="1"/>
        <v>0</v>
      </c>
      <c r="K26" s="110"/>
      <c r="L26" s="19"/>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1608"/>
    </row>
    <row r="27" spans="2:57">
      <c r="B27" s="2385"/>
      <c r="C27" s="537" t="s">
        <v>205</v>
      </c>
      <c r="D27" s="879"/>
      <c r="E27" s="497">
        <f>'Waste-Solid Waste Disposal'!F55</f>
        <v>0</v>
      </c>
      <c r="F27" s="1117">
        <v>0.8</v>
      </c>
      <c r="G27" s="1117">
        <v>0.5</v>
      </c>
      <c r="H27" s="1117">
        <v>0.16</v>
      </c>
      <c r="I27" s="1117">
        <v>1</v>
      </c>
      <c r="J27" s="874">
        <f t="shared" si="1"/>
        <v>0</v>
      </c>
      <c r="K27" s="110"/>
      <c r="L27" s="19"/>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1608"/>
    </row>
    <row r="28" spans="2:57" ht="13.5" thickBot="1">
      <c r="B28" s="2385"/>
      <c r="C28" s="875" t="s">
        <v>206</v>
      </c>
      <c r="D28" s="880"/>
      <c r="E28" s="876">
        <f>'Waste-Solid Waste Disposal'!F56</f>
        <v>0</v>
      </c>
      <c r="F28" s="1118">
        <v>0.9</v>
      </c>
      <c r="G28" s="1118">
        <v>0.03</v>
      </c>
      <c r="H28" s="1118">
        <v>0.03</v>
      </c>
      <c r="I28" s="1118">
        <v>1</v>
      </c>
      <c r="J28" s="877">
        <f t="shared" si="1"/>
        <v>0</v>
      </c>
      <c r="K28" s="110"/>
      <c r="L28" s="19"/>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1608"/>
    </row>
    <row r="29" spans="2:57" s="88" customFormat="1" ht="13.5" thickBot="1">
      <c r="B29" s="2386"/>
      <c r="C29" s="2380" t="s">
        <v>1736</v>
      </c>
      <c r="D29" s="2381"/>
      <c r="E29" s="2381"/>
      <c r="F29" s="2381"/>
      <c r="G29" s="2381"/>
      <c r="H29" s="2381"/>
      <c r="I29" s="2381"/>
      <c r="J29" s="421">
        <f>D22*(SUM(J23:J28)*(44/12))</f>
        <v>0</v>
      </c>
      <c r="K29" s="19"/>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row>
    <row r="30" spans="2:57" s="88" customFormat="1" ht="63.75" customHeight="1">
      <c r="B30" s="2371" t="s">
        <v>1737</v>
      </c>
      <c r="C30" s="2130"/>
      <c r="D30" s="2130"/>
      <c r="E30" s="2130"/>
      <c r="F30" s="2372"/>
      <c r="G30" s="419" t="s">
        <v>1738</v>
      </c>
      <c r="H30" s="40"/>
      <c r="I30" s="20"/>
      <c r="J30" s="19"/>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row>
    <row r="31" spans="2:57" s="88" customFormat="1" ht="17.25" customHeight="1" thickBot="1">
      <c r="B31" s="2373" t="s">
        <v>1739</v>
      </c>
      <c r="C31" s="2159"/>
      <c r="D31" s="2159"/>
      <c r="E31" s="2159"/>
      <c r="F31" s="2160"/>
      <c r="G31" s="424" t="s">
        <v>1740</v>
      </c>
      <c r="H31" s="40"/>
      <c r="I31" s="20"/>
      <c r="J31" s="19"/>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row>
    <row r="32" spans="2:57" s="88" customFormat="1">
      <c r="B32" s="40"/>
      <c r="C32" s="40"/>
      <c r="D32" s="19"/>
      <c r="E32" s="1624"/>
      <c r="F32" s="40"/>
      <c r="G32" s="40"/>
      <c r="H32" s="40"/>
      <c r="I32" s="20"/>
      <c r="J32" s="110"/>
      <c r="K32" s="19"/>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row>
    <row r="33" spans="2:11" s="88" customFormat="1" ht="301.5" customHeight="1">
      <c r="B33" s="40"/>
      <c r="C33" s="40"/>
      <c r="D33" s="19"/>
      <c r="E33" s="1624"/>
      <c r="F33" s="40"/>
      <c r="G33" s="40"/>
      <c r="H33" s="40"/>
      <c r="I33" s="20"/>
      <c r="J33" s="110"/>
      <c r="K33" s="19"/>
    </row>
    <row r="34" spans="2:11" s="88" customFormat="1" ht="13.5" thickBot="1">
      <c r="B34" s="40"/>
      <c r="C34" s="40"/>
      <c r="D34" s="19"/>
      <c r="E34" s="1624"/>
      <c r="F34" s="40"/>
      <c r="G34" s="40"/>
      <c r="H34" s="40"/>
      <c r="I34" s="20"/>
      <c r="J34" s="110"/>
      <c r="K34" s="19"/>
    </row>
    <row r="35" spans="2:11" s="88" customFormat="1" ht="15" customHeight="1" thickBot="1">
      <c r="B35" s="1905" t="s">
        <v>1741</v>
      </c>
      <c r="C35" s="1908"/>
      <c r="D35" s="1908"/>
      <c r="E35" s="1908"/>
      <c r="F35" s="1908"/>
      <c r="G35" s="1908"/>
      <c r="H35" s="1909"/>
      <c r="I35" s="20"/>
      <c r="J35" s="110"/>
      <c r="K35" s="19"/>
    </row>
    <row r="36" spans="2:11" s="88" customFormat="1" ht="71.25" customHeight="1">
      <c r="B36" s="1419" t="s">
        <v>418</v>
      </c>
      <c r="C36" s="123" t="s">
        <v>1720</v>
      </c>
      <c r="D36" s="107" t="s">
        <v>1718</v>
      </c>
      <c r="E36" s="107" t="s">
        <v>1721</v>
      </c>
      <c r="F36" s="107" t="s">
        <v>1742</v>
      </c>
      <c r="G36" s="107" t="s">
        <v>1743</v>
      </c>
      <c r="H36" s="2032" t="s">
        <v>1257</v>
      </c>
      <c r="I36" s="20"/>
      <c r="J36" s="110"/>
      <c r="K36" s="19"/>
    </row>
    <row r="37" spans="2:11" s="88" customFormat="1" ht="25.5">
      <c r="B37" s="1880" t="s">
        <v>1744</v>
      </c>
      <c r="C37" s="1619" t="s">
        <v>1727</v>
      </c>
      <c r="D37" s="1620" t="s">
        <v>1728</v>
      </c>
      <c r="E37" s="1620" t="s">
        <v>1729</v>
      </c>
      <c r="F37" s="1620" t="s">
        <v>1745</v>
      </c>
      <c r="G37" s="1620" t="s">
        <v>1746</v>
      </c>
      <c r="H37" s="2377"/>
      <c r="I37" s="20"/>
      <c r="J37" s="110"/>
      <c r="K37" s="19"/>
    </row>
    <row r="38" spans="2:11" s="88" customFormat="1" ht="12.75" customHeight="1">
      <c r="B38" s="2369" t="s">
        <v>425</v>
      </c>
      <c r="C38" s="1625" t="s">
        <v>1734</v>
      </c>
      <c r="D38" s="1622">
        <f>'Waste-Solid Waste Disposal'!C19*'Waste-Solid Waste Disposal'!E32+'Waste-Solid Waste Disposal'!C20*'Waste-Solid Waste Disposal'!E32</f>
        <v>0</v>
      </c>
      <c r="E38" s="1623"/>
      <c r="F38" s="1623"/>
      <c r="G38" s="1623"/>
      <c r="H38" s="1623"/>
      <c r="I38" s="20"/>
      <c r="J38" s="110"/>
      <c r="K38" s="19"/>
    </row>
    <row r="39" spans="2:11" s="88" customFormat="1">
      <c r="B39" s="2370"/>
      <c r="C39" s="495" t="s">
        <v>1735</v>
      </c>
      <c r="D39" s="1626"/>
      <c r="E39" s="870">
        <f>'Waste-Solid Waste Disposal'!F51</f>
        <v>0.15859999999999999</v>
      </c>
      <c r="F39" s="1627">
        <f t="shared" ref="F39:F44" si="2">$D$53*E39</f>
        <v>0</v>
      </c>
      <c r="G39" s="1628">
        <v>0.2</v>
      </c>
      <c r="H39" s="1629">
        <f>(F39*G39)*'Emission Factors'!$D$138</f>
        <v>0</v>
      </c>
      <c r="I39" s="20"/>
      <c r="J39" s="110"/>
      <c r="K39" s="19"/>
    </row>
    <row r="40" spans="2:11" s="88" customFormat="1">
      <c r="B40" s="2370"/>
      <c r="C40" s="495" t="s">
        <v>202</v>
      </c>
      <c r="D40" s="1626"/>
      <c r="E40" s="870">
        <f>'Waste-Solid Waste Disposal'!F52</f>
        <v>0.51780000000000004</v>
      </c>
      <c r="F40" s="1627">
        <f t="shared" si="2"/>
        <v>0</v>
      </c>
      <c r="G40" s="1628">
        <v>0.2</v>
      </c>
      <c r="H40" s="1629">
        <f>(F40*G40)*'Emission Factors'!$D$138</f>
        <v>0</v>
      </c>
      <c r="I40" s="20"/>
      <c r="J40" s="110"/>
      <c r="K40" s="19"/>
    </row>
    <row r="41" spans="2:11" s="88" customFormat="1">
      <c r="B41" s="2370"/>
      <c r="C41" s="495" t="s">
        <v>203</v>
      </c>
      <c r="D41" s="1626"/>
      <c r="E41" s="870">
        <f>'Waste-Solid Waste Disposal'!F53</f>
        <v>0.15409999999999999</v>
      </c>
      <c r="F41" s="1627">
        <f t="shared" si="2"/>
        <v>0</v>
      </c>
      <c r="G41" s="1628">
        <v>0.2</v>
      </c>
      <c r="H41" s="1629">
        <f>(F41*G41)*'Emission Factors'!$D$138</f>
        <v>0</v>
      </c>
      <c r="I41" s="20"/>
      <c r="J41" s="110"/>
      <c r="K41" s="19"/>
    </row>
    <row r="42" spans="2:11" s="88" customFormat="1">
      <c r="B42" s="2370"/>
      <c r="C42" s="495" t="s">
        <v>204</v>
      </c>
      <c r="D42" s="1626"/>
      <c r="E42" s="870">
        <f>'Waste-Solid Waste Disposal'!F54</f>
        <v>0.16950000000000001</v>
      </c>
      <c r="F42" s="1627">
        <f t="shared" si="2"/>
        <v>0</v>
      </c>
      <c r="G42" s="1628">
        <v>0.2</v>
      </c>
      <c r="H42" s="1629">
        <f>(F42*G42)*'Emission Factors'!$D$138</f>
        <v>0</v>
      </c>
      <c r="I42" s="20"/>
      <c r="J42" s="110"/>
      <c r="K42" s="19"/>
    </row>
    <row r="43" spans="2:11" s="88" customFormat="1">
      <c r="B43" s="2370"/>
      <c r="C43" s="495" t="s">
        <v>205</v>
      </c>
      <c r="D43" s="1626"/>
      <c r="E43" s="870">
        <f>'Waste-Solid Waste Disposal'!F55</f>
        <v>0</v>
      </c>
      <c r="F43" s="1627">
        <f t="shared" si="2"/>
        <v>0</v>
      </c>
      <c r="G43" s="1628">
        <v>0.2</v>
      </c>
      <c r="H43" s="1629">
        <f>(F43*G43)*'Emission Factors'!$D$138</f>
        <v>0</v>
      </c>
      <c r="I43" s="20"/>
      <c r="J43" s="110"/>
      <c r="K43" s="19"/>
    </row>
    <row r="44" spans="2:11" s="88" customFormat="1">
      <c r="B44" s="2370"/>
      <c r="C44" s="495" t="s">
        <v>206</v>
      </c>
      <c r="D44" s="1626"/>
      <c r="E44" s="870">
        <f>'Waste-Solid Waste Disposal'!F56</f>
        <v>0</v>
      </c>
      <c r="F44" s="1627">
        <f t="shared" si="2"/>
        <v>0</v>
      </c>
      <c r="G44" s="1628">
        <v>0.2</v>
      </c>
      <c r="H44" s="1629">
        <f>(F44*G44)*'Emission Factors'!$D$138</f>
        <v>0</v>
      </c>
      <c r="I44" s="20"/>
      <c r="J44" s="110"/>
      <c r="K44" s="19"/>
    </row>
    <row r="45" spans="2:11" s="88" customFormat="1" ht="13.5" thickBot="1">
      <c r="B45" s="2370"/>
      <c r="C45" s="2378" t="s">
        <v>1747</v>
      </c>
      <c r="D45" s="2379"/>
      <c r="E45" s="2379"/>
      <c r="F45" s="2379"/>
      <c r="G45" s="2379"/>
      <c r="H45" s="1630">
        <f>SUM(H39:H44)</f>
        <v>0</v>
      </c>
      <c r="I45" s="20"/>
      <c r="J45" s="110"/>
      <c r="K45" s="19"/>
    </row>
    <row r="46" spans="2:11" s="88" customFormat="1" ht="45.75" customHeight="1" thickBot="1">
      <c r="B46" s="2194" t="s">
        <v>1748</v>
      </c>
      <c r="C46" s="2367"/>
      <c r="D46" s="2367"/>
      <c r="E46" s="2367"/>
      <c r="F46" s="2368"/>
      <c r="G46" s="425" t="s">
        <v>1749</v>
      </c>
      <c r="H46" s="894" t="s">
        <v>1750</v>
      </c>
      <c r="I46" s="20"/>
      <c r="J46" s="110"/>
      <c r="K46" s="19"/>
    </row>
    <row r="47" spans="2:11" s="88" customFormat="1">
      <c r="B47" s="40"/>
      <c r="C47" s="40"/>
      <c r="D47" s="19"/>
      <c r="E47" s="40"/>
      <c r="F47" s="40"/>
      <c r="G47" s="40"/>
      <c r="H47" s="40"/>
      <c r="I47" s="20"/>
      <c r="J47" s="110"/>
      <c r="K47" s="19"/>
    </row>
    <row r="48" spans="2:11" s="88" customFormat="1" ht="229.5" customHeight="1">
      <c r="B48" s="40"/>
      <c r="C48" s="40"/>
      <c r="D48" s="19"/>
      <c r="E48" s="40"/>
      <c r="F48" s="40"/>
      <c r="G48" s="40"/>
      <c r="H48" s="40"/>
      <c r="I48" s="20"/>
      <c r="J48" s="110"/>
      <c r="K48" s="19"/>
    </row>
    <row r="49" spans="2:14" s="88" customFormat="1" ht="12.75" customHeight="1" thickBot="1">
      <c r="B49" s="40"/>
      <c r="C49" s="40"/>
      <c r="D49" s="19"/>
      <c r="E49" s="40"/>
      <c r="F49" s="40"/>
      <c r="G49" s="40"/>
      <c r="H49" s="40"/>
      <c r="I49" s="20"/>
      <c r="J49" s="110"/>
      <c r="K49" s="19"/>
      <c r="L49" s="40"/>
      <c r="M49" s="40"/>
      <c r="N49" s="40"/>
    </row>
    <row r="50" spans="2:14" s="88" customFormat="1" ht="15" customHeight="1" thickBot="1">
      <c r="B50" s="1905" t="s">
        <v>1751</v>
      </c>
      <c r="C50" s="1908"/>
      <c r="D50" s="1908"/>
      <c r="E50" s="1908"/>
      <c r="F50" s="1908"/>
      <c r="G50" s="1908"/>
      <c r="H50" s="1909"/>
      <c r="I50" s="40"/>
      <c r="J50" s="20"/>
      <c r="K50" s="110"/>
      <c r="L50" s="19"/>
      <c r="M50" s="40"/>
      <c r="N50" s="40"/>
    </row>
    <row r="51" spans="2:14" s="88" customFormat="1" ht="81.75" customHeight="1">
      <c r="B51" s="1419" t="s">
        <v>418</v>
      </c>
      <c r="C51" s="123" t="s">
        <v>1720</v>
      </c>
      <c r="D51" s="107" t="s">
        <v>1718</v>
      </c>
      <c r="E51" s="107" t="s">
        <v>1721</v>
      </c>
      <c r="F51" s="107" t="s">
        <v>1742</v>
      </c>
      <c r="G51" s="107" t="s">
        <v>1752</v>
      </c>
      <c r="H51" s="2032" t="s">
        <v>1753</v>
      </c>
      <c r="I51" s="40"/>
      <c r="J51" s="20"/>
      <c r="K51" s="110"/>
      <c r="L51" s="19"/>
      <c r="M51" s="40"/>
      <c r="N51" s="40"/>
    </row>
    <row r="52" spans="2:14" s="88" customFormat="1" ht="25.5">
      <c r="B52" s="1880" t="s">
        <v>1754</v>
      </c>
      <c r="C52" s="1619" t="s">
        <v>1727</v>
      </c>
      <c r="D52" s="1620" t="s">
        <v>1728</v>
      </c>
      <c r="E52" s="1620" t="s">
        <v>1729</v>
      </c>
      <c r="F52" s="1620" t="s">
        <v>1745</v>
      </c>
      <c r="G52" s="1620" t="s">
        <v>1746</v>
      </c>
      <c r="H52" s="2377"/>
      <c r="I52" s="40"/>
      <c r="J52" s="40"/>
      <c r="K52" s="40"/>
      <c r="L52" s="20"/>
      <c r="M52" s="110"/>
      <c r="N52" s="19"/>
    </row>
    <row r="53" spans="2:14" s="88" customFormat="1">
      <c r="B53" s="2374" t="s">
        <v>425</v>
      </c>
      <c r="C53" s="1621" t="s">
        <v>1734</v>
      </c>
      <c r="D53" s="1622">
        <f>'Waste-Solid Waste Disposal'!C19*'Waste-Solid Waste Disposal'!E32+'Waste-Solid Waste Disposal'!C20*'Waste-Solid Waste Disposal'!E32</f>
        <v>0</v>
      </c>
      <c r="E53" s="1623"/>
      <c r="F53" s="1623"/>
      <c r="G53" s="1623"/>
      <c r="H53" s="1631"/>
      <c r="I53" s="40"/>
      <c r="J53" s="40"/>
      <c r="K53" s="40"/>
      <c r="L53" s="20"/>
      <c r="M53" s="110"/>
      <c r="N53" s="19"/>
    </row>
    <row r="54" spans="2:14" s="88" customFormat="1">
      <c r="B54" s="2375"/>
      <c r="C54" s="1632" t="s">
        <v>1735</v>
      </c>
      <c r="D54" s="1626"/>
      <c r="E54" s="870">
        <f>'Waste-Solid Waste Disposal'!F51</f>
        <v>0.15859999999999999</v>
      </c>
      <c r="F54" s="1627">
        <f t="shared" ref="F54:F59" si="3">$D$53*E54</f>
        <v>0</v>
      </c>
      <c r="G54" s="1627">
        <v>50</v>
      </c>
      <c r="H54" s="1629">
        <f>(F54*G54)*'Emission Factors'!$D$138</f>
        <v>0</v>
      </c>
      <c r="I54" s="1611"/>
      <c r="J54" s="40"/>
      <c r="K54" s="40"/>
      <c r="L54" s="20"/>
      <c r="M54" s="110"/>
      <c r="N54" s="19"/>
    </row>
    <row r="55" spans="2:14" s="88" customFormat="1">
      <c r="B55" s="2375"/>
      <c r="C55" s="1632" t="s">
        <v>202</v>
      </c>
      <c r="D55" s="1626"/>
      <c r="E55" s="870">
        <f>'Waste-Solid Waste Disposal'!F52</f>
        <v>0.51780000000000004</v>
      </c>
      <c r="F55" s="1627">
        <f t="shared" si="3"/>
        <v>0</v>
      </c>
      <c r="G55" s="1627">
        <v>50</v>
      </c>
      <c r="H55" s="1629">
        <f>(F55*G55)*'Emission Factors'!$D$138</f>
        <v>0</v>
      </c>
      <c r="I55" s="1611"/>
      <c r="J55" s="40"/>
      <c r="K55" s="40"/>
      <c r="L55" s="20"/>
      <c r="M55" s="110"/>
      <c r="N55" s="19"/>
    </row>
    <row r="56" spans="2:14" s="88" customFormat="1">
      <c r="B56" s="2375"/>
      <c r="C56" s="1632" t="s">
        <v>203</v>
      </c>
      <c r="D56" s="1626"/>
      <c r="E56" s="870">
        <f>'Waste-Solid Waste Disposal'!F53</f>
        <v>0.15409999999999999</v>
      </c>
      <c r="F56" s="1627">
        <f t="shared" si="3"/>
        <v>0</v>
      </c>
      <c r="G56" s="1627">
        <v>50</v>
      </c>
      <c r="H56" s="1629">
        <f>(F56*G56)*'Emission Factors'!$D$138</f>
        <v>0</v>
      </c>
      <c r="I56" s="1611"/>
      <c r="J56" s="40"/>
      <c r="K56" s="40"/>
      <c r="L56" s="20"/>
      <c r="M56" s="110"/>
      <c r="N56" s="19"/>
    </row>
    <row r="57" spans="2:14" s="88" customFormat="1">
      <c r="B57" s="2375"/>
      <c r="C57" s="1632" t="s">
        <v>204</v>
      </c>
      <c r="D57" s="1626"/>
      <c r="E57" s="870">
        <f>'Waste-Solid Waste Disposal'!F54</f>
        <v>0.16950000000000001</v>
      </c>
      <c r="F57" s="1627">
        <f t="shared" si="3"/>
        <v>0</v>
      </c>
      <c r="G57" s="1627">
        <v>50</v>
      </c>
      <c r="H57" s="1629">
        <f>(F57*G57)*'Emission Factors'!$D$138</f>
        <v>0</v>
      </c>
      <c r="I57" s="1611"/>
      <c r="J57" s="40"/>
      <c r="K57" s="40"/>
      <c r="L57" s="20"/>
      <c r="M57" s="110"/>
      <c r="N57" s="19"/>
    </row>
    <row r="58" spans="2:14" s="88" customFormat="1">
      <c r="B58" s="2375"/>
      <c r="C58" s="1632" t="s">
        <v>205</v>
      </c>
      <c r="D58" s="1626"/>
      <c r="E58" s="870">
        <f>'Waste-Solid Waste Disposal'!F55</f>
        <v>0</v>
      </c>
      <c r="F58" s="1627">
        <f t="shared" si="3"/>
        <v>0</v>
      </c>
      <c r="G58" s="1627">
        <v>50</v>
      </c>
      <c r="H58" s="1629">
        <f>(F58*G58)*'Emission Factors'!$D$138</f>
        <v>0</v>
      </c>
      <c r="I58" s="1611"/>
      <c r="J58" s="40"/>
      <c r="K58" s="40"/>
      <c r="L58" s="20"/>
      <c r="M58" s="110"/>
      <c r="N58" s="19"/>
    </row>
    <row r="59" spans="2:14" s="88" customFormat="1">
      <c r="B59" s="2375"/>
      <c r="C59" s="1632" t="s">
        <v>206</v>
      </c>
      <c r="D59" s="1626"/>
      <c r="E59" s="870">
        <f>'Waste-Solid Waste Disposal'!F56</f>
        <v>0</v>
      </c>
      <c r="F59" s="1627">
        <f t="shared" si="3"/>
        <v>0</v>
      </c>
      <c r="G59" s="1627">
        <v>50</v>
      </c>
      <c r="H59" s="1629">
        <f>(F59*G59)*'Emission Factors'!$D$138</f>
        <v>0</v>
      </c>
      <c r="I59" s="1611"/>
      <c r="J59" s="40"/>
      <c r="K59" s="40"/>
      <c r="L59" s="20"/>
      <c r="M59" s="110"/>
      <c r="N59" s="19"/>
    </row>
    <row r="60" spans="2:14" s="88" customFormat="1" ht="13.5" thickBot="1">
      <c r="B60" s="2376"/>
      <c r="C60" s="2382" t="s">
        <v>1755</v>
      </c>
      <c r="D60" s="2383"/>
      <c r="E60" s="2383"/>
      <c r="F60" s="2383"/>
      <c r="G60" s="2383"/>
      <c r="H60" s="1710">
        <f>SUM(H54:H59)</f>
        <v>0</v>
      </c>
      <c r="I60" s="1611"/>
      <c r="J60" s="40"/>
      <c r="K60" s="40"/>
      <c r="L60" s="20"/>
      <c r="M60" s="110"/>
      <c r="N60" s="19"/>
    </row>
    <row r="61" spans="2:14" s="88" customFormat="1" ht="28.5" customHeight="1" thickBot="1">
      <c r="B61" s="2194" t="s">
        <v>1756</v>
      </c>
      <c r="C61" s="2367"/>
      <c r="D61" s="2367"/>
      <c r="E61" s="2367"/>
      <c r="F61" s="2368"/>
      <c r="G61" s="424" t="s">
        <v>1757</v>
      </c>
      <c r="H61" s="40"/>
      <c r="I61" s="40"/>
      <c r="J61" s="40"/>
      <c r="K61" s="40"/>
      <c r="L61" s="20"/>
      <c r="M61" s="110"/>
      <c r="N61" s="19"/>
    </row>
    <row r="62" spans="2:14" s="88" customFormat="1">
      <c r="B62" s="40"/>
      <c r="C62" s="40"/>
      <c r="D62" s="40"/>
      <c r="E62" s="40"/>
      <c r="F62" s="40"/>
      <c r="G62" s="40"/>
      <c r="H62" s="40"/>
      <c r="I62" s="40"/>
      <c r="J62" s="40"/>
      <c r="K62" s="40"/>
      <c r="L62" s="20"/>
      <c r="M62" s="110"/>
      <c r="N62" s="19"/>
    </row>
    <row r="63" spans="2:14" s="88" customFormat="1" ht="247.5" customHeight="1">
      <c r="B63" s="40"/>
      <c r="C63" s="40"/>
      <c r="D63" s="40"/>
      <c r="E63" s="40"/>
      <c r="F63" s="19"/>
      <c r="G63" s="40"/>
      <c r="H63" s="40"/>
      <c r="I63" s="40"/>
      <c r="J63" s="40"/>
      <c r="K63" s="20"/>
      <c r="L63" s="110"/>
      <c r="M63" s="19"/>
      <c r="N63" s="40"/>
    </row>
    <row r="64" spans="2:14" s="88" customFormat="1" ht="12.75" customHeight="1">
      <c r="B64" s="40"/>
      <c r="C64" s="40"/>
      <c r="D64" s="40"/>
      <c r="E64" s="40"/>
      <c r="F64" s="40"/>
      <c r="G64" s="40"/>
      <c r="H64" s="40"/>
      <c r="I64" s="40"/>
      <c r="J64" s="20"/>
      <c r="K64" s="110"/>
      <c r="L64" s="19"/>
      <c r="M64" s="40"/>
      <c r="N64" s="40"/>
    </row>
    <row r="65" spans="1:41" s="88" customFormat="1">
      <c r="A65" s="40"/>
      <c r="B65" s="40"/>
      <c r="C65" s="40"/>
      <c r="D65" s="40"/>
      <c r="E65" s="40"/>
      <c r="F65" s="40"/>
      <c r="G65" s="40"/>
      <c r="H65" s="40"/>
      <c r="I65" s="20"/>
      <c r="J65" s="110"/>
      <c r="K65" s="19"/>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row>
    <row r="66" spans="1:41" s="88" customFormat="1" ht="12.75" customHeight="1">
      <c r="A66" s="40"/>
      <c r="B66" s="40"/>
      <c r="C66" s="40"/>
      <c r="D66" s="40"/>
      <c r="E66" s="40"/>
      <c r="F66" s="40"/>
      <c r="G66" s="40"/>
      <c r="H66" s="40"/>
      <c r="I66" s="20"/>
      <c r="J66" s="110"/>
      <c r="K66" s="19"/>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row>
    <row r="67" spans="1:41" s="88" customFormat="1" ht="12.75" customHeight="1">
      <c r="A67" s="40"/>
      <c r="B67" s="40"/>
      <c r="C67" s="40"/>
      <c r="D67" s="40"/>
      <c r="E67" s="40"/>
      <c r="F67" s="40"/>
      <c r="G67" s="40"/>
      <c r="H67" s="40"/>
      <c r="I67" s="20"/>
      <c r="J67" s="110"/>
      <c r="K67" s="19"/>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row>
    <row r="68" spans="1:41" s="33" customFormat="1" ht="12.75" customHeight="1">
      <c r="A68" s="40"/>
      <c r="B68" s="40"/>
      <c r="C68" s="40"/>
      <c r="D68" s="40"/>
      <c r="E68" s="40"/>
      <c r="F68" s="40"/>
      <c r="G68" s="40"/>
      <c r="H68" s="40"/>
      <c r="I68" s="20"/>
      <c r="J68" s="1614"/>
      <c r="K68" s="19"/>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row>
    <row r="69" spans="1:41" s="33" customFormat="1" ht="12.75" customHeight="1">
      <c r="A69" s="40"/>
      <c r="B69" s="40"/>
      <c r="C69" s="40"/>
      <c r="D69" s="40"/>
      <c r="E69" s="40"/>
      <c r="F69" s="40"/>
      <c r="G69" s="40"/>
      <c r="H69" s="40"/>
      <c r="I69" s="20"/>
      <c r="J69" s="1614"/>
      <c r="K69" s="19"/>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row>
    <row r="70" spans="1:41" s="33" customFormat="1" ht="12.75" customHeight="1">
      <c r="A70" s="40"/>
      <c r="B70" s="40"/>
      <c r="C70" s="40"/>
      <c r="D70" s="40"/>
      <c r="E70" s="40"/>
      <c r="F70" s="40"/>
      <c r="G70" s="40"/>
      <c r="H70" s="40"/>
      <c r="I70" s="20"/>
      <c r="J70" s="110"/>
      <c r="K70" s="19"/>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row>
    <row r="71" spans="1:41" s="33" customForma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544"/>
      <c r="AB71" s="544"/>
      <c r="AC71" s="544"/>
      <c r="AD71" s="544"/>
      <c r="AE71" s="544"/>
      <c r="AF71" s="544"/>
      <c r="AG71" s="544"/>
      <c r="AH71" s="544"/>
      <c r="AI71" s="544"/>
      <c r="AJ71" s="544"/>
      <c r="AK71" s="544"/>
      <c r="AL71" s="544"/>
      <c r="AM71" s="544"/>
      <c r="AN71" s="544"/>
      <c r="AO71" s="544"/>
    </row>
    <row r="72" spans="1:41" s="33" customForma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544"/>
      <c r="AB72" s="544"/>
      <c r="AC72" s="544"/>
      <c r="AD72" s="544"/>
      <c r="AE72" s="544"/>
      <c r="AF72" s="544"/>
      <c r="AG72" s="544"/>
      <c r="AH72" s="544"/>
      <c r="AI72" s="544"/>
      <c r="AJ72" s="544"/>
      <c r="AK72" s="544"/>
      <c r="AL72" s="544"/>
      <c r="AM72" s="544"/>
      <c r="AN72" s="544"/>
      <c r="AO72" s="544"/>
    </row>
    <row r="73" spans="1:41" s="33" customForma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544"/>
      <c r="AB73" s="544"/>
      <c r="AC73" s="544"/>
      <c r="AD73" s="544"/>
      <c r="AE73" s="544"/>
      <c r="AF73" s="544"/>
      <c r="AG73" s="544"/>
      <c r="AH73" s="544"/>
      <c r="AI73" s="544"/>
      <c r="AJ73" s="544"/>
      <c r="AK73" s="544"/>
      <c r="AL73" s="544"/>
      <c r="AM73" s="544"/>
      <c r="AN73" s="544"/>
      <c r="AO73" s="544"/>
    </row>
    <row r="74" spans="1:41" s="33" customForma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544"/>
      <c r="AB74" s="544"/>
      <c r="AC74" s="544"/>
      <c r="AD74" s="544"/>
      <c r="AE74" s="544"/>
      <c r="AF74" s="544"/>
      <c r="AG74" s="544"/>
      <c r="AH74" s="544"/>
      <c r="AI74" s="544"/>
      <c r="AJ74" s="544"/>
      <c r="AK74" s="544"/>
      <c r="AL74" s="544"/>
      <c r="AM74" s="544"/>
      <c r="AN74" s="544"/>
      <c r="AO74" s="544"/>
    </row>
    <row r="75" spans="1:41" s="33" customForma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544"/>
      <c r="AB75" s="544"/>
      <c r="AC75" s="544"/>
      <c r="AD75" s="544"/>
      <c r="AE75" s="544"/>
      <c r="AF75" s="544"/>
      <c r="AG75" s="544"/>
      <c r="AH75" s="544"/>
      <c r="AI75" s="544"/>
      <c r="AJ75" s="544"/>
      <c r="AK75" s="544"/>
      <c r="AL75" s="544"/>
      <c r="AM75" s="544"/>
      <c r="AN75" s="544"/>
      <c r="AO75" s="544"/>
    </row>
    <row r="76" spans="1:41" s="33" customForma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544"/>
      <c r="AB76" s="544"/>
      <c r="AC76" s="544"/>
      <c r="AD76" s="544"/>
      <c r="AE76" s="544"/>
      <c r="AF76" s="544"/>
      <c r="AG76" s="544"/>
      <c r="AH76" s="544"/>
      <c r="AI76" s="544"/>
      <c r="AJ76" s="544"/>
      <c r="AK76" s="544"/>
      <c r="AL76" s="544"/>
      <c r="AM76" s="544"/>
      <c r="AN76" s="544"/>
      <c r="AO76" s="544"/>
    </row>
    <row r="77" spans="1:41" s="33" customForma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544"/>
      <c r="AB77" s="544"/>
      <c r="AC77" s="544"/>
      <c r="AD77" s="544"/>
      <c r="AE77" s="544"/>
      <c r="AF77" s="544"/>
      <c r="AG77" s="544"/>
      <c r="AH77" s="544"/>
      <c r="AI77" s="544"/>
      <c r="AJ77" s="544"/>
      <c r="AK77" s="544"/>
      <c r="AL77" s="544"/>
      <c r="AM77" s="544"/>
      <c r="AN77" s="544"/>
      <c r="AO77" s="544"/>
    </row>
    <row r="78" spans="1:41" s="33" customForma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544"/>
      <c r="AB78" s="544"/>
      <c r="AC78" s="544"/>
      <c r="AD78" s="544"/>
      <c r="AE78" s="544"/>
      <c r="AF78" s="544"/>
      <c r="AG78" s="544"/>
      <c r="AH78" s="544"/>
      <c r="AI78" s="544"/>
      <c r="AJ78" s="544"/>
      <c r="AK78" s="544"/>
      <c r="AL78" s="544"/>
      <c r="AM78" s="544"/>
      <c r="AN78" s="544"/>
      <c r="AO78" s="544"/>
    </row>
    <row r="79" spans="1:41" s="33" customForma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544"/>
      <c r="AB79" s="544"/>
      <c r="AC79" s="544"/>
      <c r="AD79" s="544"/>
      <c r="AE79" s="544"/>
      <c r="AF79" s="544"/>
      <c r="AG79" s="544"/>
      <c r="AH79" s="544"/>
      <c r="AI79" s="544"/>
      <c r="AJ79" s="544"/>
      <c r="AK79" s="544"/>
      <c r="AL79" s="544"/>
      <c r="AM79" s="544"/>
      <c r="AN79" s="544"/>
      <c r="AO79" s="544"/>
    </row>
    <row r="80" spans="1:41" s="33" customForma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544"/>
      <c r="AB80" s="544"/>
      <c r="AC80" s="544"/>
      <c r="AD80" s="544"/>
      <c r="AE80" s="544"/>
      <c r="AF80" s="544"/>
      <c r="AG80" s="544"/>
      <c r="AH80" s="544"/>
      <c r="AI80" s="544"/>
      <c r="AJ80" s="544"/>
      <c r="AK80" s="544"/>
      <c r="AL80" s="544"/>
      <c r="AM80" s="544"/>
      <c r="AN80" s="544"/>
      <c r="AO80" s="544"/>
    </row>
    <row r="81" spans="1:41" s="33" customForma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544"/>
      <c r="AB81" s="544"/>
      <c r="AC81" s="544"/>
      <c r="AD81" s="544"/>
      <c r="AE81" s="544"/>
      <c r="AF81" s="544"/>
      <c r="AG81" s="544"/>
      <c r="AH81" s="544"/>
      <c r="AI81" s="544"/>
      <c r="AJ81" s="544"/>
      <c r="AK81" s="544"/>
      <c r="AL81" s="544"/>
      <c r="AM81" s="544"/>
      <c r="AN81" s="544"/>
      <c r="AO81" s="544"/>
    </row>
    <row r="82" spans="1:41" s="33" customForma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544"/>
      <c r="AA82" s="544"/>
      <c r="AB82" s="544"/>
      <c r="AC82" s="544"/>
      <c r="AD82" s="544"/>
      <c r="AE82" s="544"/>
      <c r="AF82" s="544"/>
      <c r="AG82" s="544"/>
      <c r="AH82" s="544"/>
      <c r="AI82" s="544"/>
      <c r="AJ82" s="544"/>
      <c r="AK82" s="544"/>
      <c r="AL82" s="544"/>
      <c r="AM82" s="544"/>
      <c r="AN82" s="544"/>
      <c r="AO82" s="40"/>
    </row>
    <row r="83" spans="1:41" s="33" customForma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544"/>
      <c r="AA83" s="544"/>
      <c r="AB83" s="544"/>
      <c r="AC83" s="544"/>
      <c r="AD83" s="544"/>
      <c r="AE83" s="544"/>
      <c r="AF83" s="544"/>
      <c r="AG83" s="544"/>
      <c r="AH83" s="544"/>
      <c r="AI83" s="544"/>
      <c r="AJ83" s="544"/>
      <c r="AK83" s="544"/>
      <c r="AL83" s="544"/>
      <c r="AM83" s="544"/>
      <c r="AN83" s="544"/>
      <c r="AO83" s="40"/>
    </row>
    <row r="84" spans="1:41" s="33" customFormat="1" ht="14.25">
      <c r="A84" s="40"/>
      <c r="B84" s="40"/>
      <c r="C84" s="40"/>
      <c r="D84" s="40"/>
      <c r="E84" s="40"/>
      <c r="F84" s="40"/>
      <c r="G84" s="40"/>
      <c r="H84" s="40"/>
      <c r="I84" s="40"/>
      <c r="J84" s="40"/>
      <c r="K84" s="40"/>
      <c r="L84" s="40"/>
      <c r="M84" s="40"/>
      <c r="N84" s="17"/>
      <c r="O84" s="40"/>
      <c r="P84" s="40"/>
      <c r="Q84" s="40"/>
      <c r="R84" s="40"/>
      <c r="S84" s="40"/>
      <c r="T84" s="17"/>
      <c r="U84" s="40"/>
      <c r="V84" s="40"/>
      <c r="W84" s="40"/>
      <c r="X84" s="40"/>
      <c r="Y84" s="40"/>
      <c r="Z84" s="544"/>
      <c r="AA84" s="544"/>
      <c r="AB84" s="544"/>
      <c r="AC84" s="544"/>
      <c r="AD84" s="544"/>
      <c r="AE84" s="544"/>
      <c r="AF84" s="544"/>
      <c r="AG84" s="544"/>
      <c r="AH84" s="544"/>
      <c r="AI84" s="544"/>
      <c r="AJ84" s="544"/>
      <c r="AK84" s="544"/>
      <c r="AL84" s="544"/>
      <c r="AM84" s="544"/>
      <c r="AN84" s="544"/>
      <c r="AO84" s="40"/>
    </row>
    <row r="85" spans="1:41" s="33" customFormat="1" ht="14.25">
      <c r="A85" s="40"/>
      <c r="B85" s="17"/>
      <c r="C85" s="17"/>
      <c r="D85" s="17"/>
      <c r="E85" s="17"/>
      <c r="F85" s="17"/>
      <c r="G85" s="17"/>
      <c r="H85" s="40"/>
      <c r="I85" s="40"/>
      <c r="J85" s="40"/>
      <c r="K85" s="40"/>
      <c r="L85" s="40"/>
      <c r="M85" s="40"/>
      <c r="N85" s="40"/>
      <c r="O85" s="40"/>
      <c r="P85" s="40"/>
      <c r="Q85" s="40"/>
      <c r="R85" s="40"/>
      <c r="S85" s="40"/>
      <c r="T85" s="40"/>
      <c r="U85" s="40"/>
      <c r="V85" s="40"/>
      <c r="W85" s="40"/>
      <c r="X85" s="40"/>
      <c r="Y85" s="40"/>
      <c r="Z85" s="544"/>
      <c r="AA85" s="544"/>
      <c r="AB85" s="544"/>
      <c r="AC85" s="544"/>
      <c r="AD85" s="544"/>
      <c r="AE85" s="544"/>
      <c r="AF85" s="544"/>
      <c r="AG85" s="544"/>
      <c r="AH85" s="544"/>
      <c r="AI85" s="544"/>
      <c r="AJ85" s="544"/>
      <c r="AK85" s="544"/>
      <c r="AL85" s="544"/>
      <c r="AM85" s="544"/>
      <c r="AN85" s="544"/>
      <c r="AO85" s="40"/>
    </row>
    <row r="86" spans="1:41" s="33" customForma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544"/>
      <c r="AA86" s="544"/>
      <c r="AB86" s="544"/>
      <c r="AC86" s="544"/>
      <c r="AD86" s="544"/>
      <c r="AE86" s="544"/>
      <c r="AF86" s="544"/>
      <c r="AG86" s="544"/>
      <c r="AH86" s="544"/>
      <c r="AI86" s="544"/>
      <c r="AJ86" s="544"/>
      <c r="AK86" s="544"/>
      <c r="AL86" s="544"/>
      <c r="AM86" s="544"/>
      <c r="AN86" s="544"/>
      <c r="AO86" s="40"/>
    </row>
    <row r="87" spans="1:41" s="33" customForma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544"/>
      <c r="AA87" s="544"/>
      <c r="AB87" s="544"/>
      <c r="AC87" s="544"/>
      <c r="AD87" s="544"/>
      <c r="AE87" s="544"/>
      <c r="AF87" s="544"/>
      <c r="AG87" s="544"/>
      <c r="AH87" s="544"/>
      <c r="AI87" s="544"/>
      <c r="AJ87" s="544"/>
      <c r="AK87" s="544"/>
      <c r="AL87" s="544"/>
      <c r="AM87" s="544"/>
      <c r="AN87" s="544"/>
      <c r="AO87" s="40"/>
    </row>
    <row r="88" spans="1:41" s="33" customForma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544"/>
      <c r="AA88" s="544"/>
      <c r="AB88" s="544"/>
      <c r="AC88" s="544"/>
      <c r="AD88" s="544"/>
      <c r="AE88" s="544"/>
      <c r="AF88" s="544"/>
      <c r="AG88" s="544"/>
      <c r="AH88" s="544"/>
      <c r="AI88" s="544"/>
      <c r="AJ88" s="544"/>
      <c r="AK88" s="544"/>
      <c r="AL88" s="544"/>
      <c r="AM88" s="544"/>
      <c r="AN88" s="544"/>
      <c r="AO88" s="40"/>
    </row>
    <row r="89" spans="1:41" s="33" customForma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544"/>
      <c r="AA89" s="544"/>
      <c r="AB89" s="544"/>
      <c r="AC89" s="544"/>
      <c r="AD89" s="544"/>
      <c r="AE89" s="544"/>
      <c r="AF89" s="544"/>
      <c r="AG89" s="544"/>
      <c r="AH89" s="544"/>
      <c r="AI89" s="544"/>
      <c r="AJ89" s="544"/>
      <c r="AK89" s="544"/>
      <c r="AL89" s="544"/>
      <c r="AM89" s="544"/>
      <c r="AN89" s="544"/>
      <c r="AO89" s="40"/>
    </row>
    <row r="90" spans="1:41" s="33" customForma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544"/>
      <c r="AA90" s="544"/>
      <c r="AB90" s="544"/>
      <c r="AC90" s="544"/>
      <c r="AD90" s="544"/>
      <c r="AE90" s="544"/>
      <c r="AF90" s="544"/>
      <c r="AG90" s="544"/>
      <c r="AH90" s="544"/>
      <c r="AI90" s="544"/>
      <c r="AJ90" s="544"/>
      <c r="AK90" s="544"/>
      <c r="AL90" s="544"/>
      <c r="AM90" s="544"/>
      <c r="AN90" s="544"/>
      <c r="AO90" s="40"/>
    </row>
    <row r="91" spans="1:41" s="33" customForma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544"/>
      <c r="AA91" s="544"/>
      <c r="AB91" s="544"/>
      <c r="AC91" s="544"/>
      <c r="AD91" s="544"/>
      <c r="AE91" s="544"/>
      <c r="AF91" s="544"/>
      <c r="AG91" s="544"/>
      <c r="AH91" s="544"/>
      <c r="AI91" s="544"/>
      <c r="AJ91" s="544"/>
      <c r="AK91" s="544"/>
      <c r="AL91" s="544"/>
      <c r="AM91" s="544"/>
      <c r="AN91" s="544"/>
      <c r="AO91" s="40"/>
    </row>
    <row r="92" spans="1:41" s="33" customForma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544"/>
      <c r="AA92" s="544"/>
      <c r="AB92" s="544"/>
      <c r="AC92" s="544"/>
      <c r="AD92" s="544"/>
      <c r="AE92" s="544"/>
      <c r="AF92" s="544"/>
      <c r="AG92" s="544"/>
      <c r="AH92" s="544"/>
      <c r="AI92" s="544"/>
      <c r="AJ92" s="544"/>
      <c r="AK92" s="544"/>
      <c r="AL92" s="544"/>
      <c r="AM92" s="544"/>
      <c r="AN92" s="544"/>
      <c r="AO92" s="40"/>
    </row>
    <row r="93" spans="1:41" s="33" customForma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544"/>
      <c r="AA93" s="544"/>
      <c r="AB93" s="544"/>
      <c r="AC93" s="544"/>
      <c r="AD93" s="544"/>
      <c r="AE93" s="544"/>
      <c r="AF93" s="544"/>
      <c r="AG93" s="544"/>
      <c r="AH93" s="544"/>
      <c r="AI93" s="544"/>
      <c r="AJ93" s="544"/>
      <c r="AK93" s="544"/>
      <c r="AL93" s="544"/>
      <c r="AM93" s="544"/>
      <c r="AN93" s="544"/>
      <c r="AO93" s="40"/>
    </row>
    <row r="94" spans="1:41" s="33" customForma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544"/>
      <c r="AA94" s="544"/>
      <c r="AB94" s="544"/>
      <c r="AC94" s="544"/>
      <c r="AD94" s="544"/>
      <c r="AE94" s="544"/>
      <c r="AF94" s="544"/>
      <c r="AG94" s="544"/>
      <c r="AH94" s="544"/>
      <c r="AI94" s="544"/>
      <c r="AJ94" s="544"/>
      <c r="AK94" s="544"/>
      <c r="AL94" s="544"/>
      <c r="AM94" s="544"/>
      <c r="AN94" s="544"/>
      <c r="AO94" s="40"/>
    </row>
    <row r="95" spans="1:41" s="33" customForma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544"/>
      <c r="AA95" s="544"/>
      <c r="AB95" s="544"/>
      <c r="AC95" s="544"/>
      <c r="AD95" s="544"/>
      <c r="AE95" s="544"/>
      <c r="AF95" s="544"/>
      <c r="AG95" s="544"/>
      <c r="AH95" s="544"/>
      <c r="AI95" s="544"/>
      <c r="AJ95" s="544"/>
      <c r="AK95" s="544"/>
      <c r="AL95" s="544"/>
      <c r="AM95" s="544"/>
      <c r="AN95" s="544"/>
      <c r="AO95" s="40"/>
    </row>
    <row r="96" spans="1:41" s="33" customForma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544"/>
      <c r="AA96" s="544"/>
      <c r="AB96" s="544"/>
      <c r="AC96" s="544"/>
      <c r="AD96" s="544"/>
      <c r="AE96" s="544"/>
      <c r="AF96" s="544"/>
      <c r="AG96" s="544"/>
      <c r="AH96" s="544"/>
      <c r="AI96" s="544"/>
      <c r="AJ96" s="544"/>
      <c r="AK96" s="544"/>
      <c r="AL96" s="544"/>
      <c r="AM96" s="544"/>
      <c r="AN96" s="544"/>
      <c r="AO96" s="40"/>
    </row>
    <row r="97" spans="1:40" s="33" customForma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544"/>
      <c r="AA97" s="544"/>
      <c r="AB97" s="544"/>
      <c r="AC97" s="544"/>
      <c r="AD97" s="544"/>
      <c r="AE97" s="544"/>
      <c r="AF97" s="544"/>
      <c r="AG97" s="544"/>
      <c r="AH97" s="544"/>
      <c r="AI97" s="544"/>
      <c r="AJ97" s="544"/>
      <c r="AK97" s="544"/>
      <c r="AL97" s="544"/>
      <c r="AM97" s="544"/>
      <c r="AN97" s="544"/>
    </row>
    <row r="98" spans="1:40" s="33" customForma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544"/>
      <c r="AA98" s="544"/>
      <c r="AB98" s="544"/>
      <c r="AC98" s="544"/>
      <c r="AD98" s="544"/>
      <c r="AE98" s="544"/>
      <c r="AF98" s="544"/>
      <c r="AG98" s="544"/>
      <c r="AH98" s="544"/>
      <c r="AI98" s="544"/>
      <c r="AJ98" s="544"/>
      <c r="AK98" s="544"/>
      <c r="AL98" s="544"/>
      <c r="AM98" s="544"/>
      <c r="AN98" s="544"/>
    </row>
    <row r="99" spans="1:40" s="33" customForma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544"/>
      <c r="AA99" s="544"/>
      <c r="AB99" s="544"/>
      <c r="AC99" s="544"/>
      <c r="AD99" s="544"/>
      <c r="AE99" s="544"/>
      <c r="AF99" s="544"/>
      <c r="AG99" s="544"/>
      <c r="AH99" s="544"/>
      <c r="AI99" s="544"/>
      <c r="AJ99" s="544"/>
      <c r="AK99" s="544"/>
      <c r="AL99" s="544"/>
      <c r="AM99" s="544"/>
      <c r="AN99" s="544"/>
    </row>
    <row r="100" spans="1:40" s="33" customForma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544"/>
      <c r="AA100" s="544"/>
      <c r="AB100" s="544"/>
      <c r="AC100" s="544"/>
      <c r="AD100" s="544"/>
      <c r="AE100" s="544"/>
      <c r="AF100" s="544"/>
      <c r="AG100" s="544"/>
      <c r="AH100" s="544"/>
      <c r="AI100" s="544"/>
      <c r="AJ100" s="544"/>
      <c r="AK100" s="544"/>
      <c r="AL100" s="544"/>
      <c r="AM100" s="544"/>
      <c r="AN100" s="544"/>
    </row>
    <row r="101" spans="1:40" s="33" customForma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544"/>
      <c r="AA101" s="544"/>
      <c r="AB101" s="544"/>
      <c r="AC101" s="544"/>
      <c r="AD101" s="544"/>
      <c r="AE101" s="544"/>
      <c r="AF101" s="544"/>
      <c r="AG101" s="544"/>
      <c r="AH101" s="544"/>
      <c r="AI101" s="544"/>
      <c r="AJ101" s="544"/>
      <c r="AK101" s="544"/>
      <c r="AL101" s="544"/>
      <c r="AM101" s="544"/>
      <c r="AN101" s="544"/>
    </row>
    <row r="102" spans="1:40" s="33" customForma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544"/>
      <c r="AA102" s="544"/>
      <c r="AB102" s="544"/>
      <c r="AC102" s="544"/>
      <c r="AD102" s="544"/>
      <c r="AE102" s="544"/>
      <c r="AF102" s="544"/>
      <c r="AG102" s="544"/>
      <c r="AH102" s="544"/>
      <c r="AI102" s="544"/>
      <c r="AJ102" s="544"/>
      <c r="AK102" s="544"/>
      <c r="AL102" s="544"/>
      <c r="AM102" s="544"/>
      <c r="AN102" s="544"/>
    </row>
    <row r="103" spans="1:40" s="33" customForma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544"/>
      <c r="AA103" s="544"/>
      <c r="AB103" s="544"/>
      <c r="AC103" s="544"/>
      <c r="AD103" s="544"/>
      <c r="AE103" s="544"/>
      <c r="AF103" s="544"/>
      <c r="AG103" s="544"/>
      <c r="AH103" s="544"/>
      <c r="AI103" s="544"/>
      <c r="AJ103" s="544"/>
      <c r="AK103" s="544"/>
      <c r="AL103" s="544"/>
      <c r="AM103" s="544"/>
      <c r="AN103" s="544"/>
    </row>
    <row r="104" spans="1:40" s="33" customForma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544"/>
      <c r="AA104" s="544"/>
      <c r="AB104" s="544"/>
      <c r="AC104" s="544"/>
      <c r="AD104" s="544"/>
      <c r="AE104" s="544"/>
      <c r="AF104" s="544"/>
      <c r="AG104" s="544"/>
      <c r="AH104" s="544"/>
      <c r="AI104" s="544"/>
      <c r="AJ104" s="544"/>
      <c r="AK104" s="544"/>
      <c r="AL104" s="544"/>
      <c r="AM104" s="544"/>
      <c r="AN104" s="544"/>
    </row>
    <row r="105" spans="1:40" s="33" customForma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544"/>
      <c r="AA105" s="544"/>
      <c r="AB105" s="544"/>
      <c r="AC105" s="544"/>
      <c r="AD105" s="544"/>
      <c r="AE105" s="544"/>
      <c r="AF105" s="544"/>
      <c r="AG105" s="544"/>
      <c r="AH105" s="544"/>
      <c r="AI105" s="544"/>
      <c r="AJ105" s="544"/>
      <c r="AK105" s="544"/>
      <c r="AL105" s="544"/>
      <c r="AM105" s="544"/>
      <c r="AN105" s="544"/>
    </row>
    <row r="106" spans="1:40" s="33" customForma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544"/>
      <c r="AA106" s="544"/>
      <c r="AB106" s="544"/>
      <c r="AC106" s="544"/>
      <c r="AD106" s="544"/>
      <c r="AE106" s="544"/>
      <c r="AF106" s="544"/>
      <c r="AG106" s="544"/>
      <c r="AH106" s="544"/>
      <c r="AI106" s="544"/>
      <c r="AJ106" s="544"/>
      <c r="AK106" s="544"/>
      <c r="AL106" s="544"/>
      <c r="AM106" s="544"/>
      <c r="AN106" s="544"/>
    </row>
    <row r="107" spans="1:40" s="33" customForma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544"/>
      <c r="AA107" s="544"/>
      <c r="AB107" s="544"/>
      <c r="AC107" s="544"/>
      <c r="AD107" s="544"/>
      <c r="AE107" s="544"/>
      <c r="AF107" s="544"/>
      <c r="AG107" s="544"/>
      <c r="AH107" s="544"/>
      <c r="AI107" s="544"/>
      <c r="AJ107" s="544"/>
      <c r="AK107" s="544"/>
      <c r="AL107" s="544"/>
      <c r="AM107" s="544"/>
      <c r="AN107" s="544"/>
    </row>
    <row r="108" spans="1:40" s="33" customForma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544"/>
      <c r="AA108" s="544"/>
      <c r="AB108" s="544"/>
      <c r="AC108" s="544"/>
      <c r="AD108" s="544"/>
      <c r="AE108" s="544"/>
      <c r="AF108" s="544"/>
      <c r="AG108" s="544"/>
      <c r="AH108" s="544"/>
      <c r="AI108" s="544"/>
      <c r="AJ108" s="544"/>
      <c r="AK108" s="544"/>
      <c r="AL108" s="544"/>
      <c r="AM108" s="544"/>
      <c r="AN108" s="544"/>
    </row>
    <row r="109" spans="1:40" s="33" customForma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544"/>
      <c r="AA109" s="544"/>
      <c r="AB109" s="544"/>
      <c r="AC109" s="544"/>
      <c r="AD109" s="544"/>
      <c r="AE109" s="544"/>
      <c r="AF109" s="544"/>
      <c r="AG109" s="544"/>
      <c r="AH109" s="544"/>
      <c r="AI109" s="544"/>
      <c r="AJ109" s="544"/>
      <c r="AK109" s="544"/>
      <c r="AL109" s="544"/>
      <c r="AM109" s="544"/>
      <c r="AN109" s="544"/>
    </row>
    <row r="110" spans="1:40" s="33" customForma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544"/>
      <c r="AA110" s="544"/>
      <c r="AB110" s="544"/>
      <c r="AC110" s="544"/>
      <c r="AD110" s="544"/>
      <c r="AE110" s="544"/>
      <c r="AF110" s="544"/>
      <c r="AG110" s="544"/>
      <c r="AH110" s="544"/>
      <c r="AI110" s="544"/>
      <c r="AJ110" s="544"/>
      <c r="AK110" s="544"/>
      <c r="AL110" s="544"/>
      <c r="AM110" s="544"/>
      <c r="AN110" s="544"/>
    </row>
    <row r="111" spans="1:40" s="33" customForma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544"/>
      <c r="AA111" s="544"/>
      <c r="AB111" s="544"/>
      <c r="AC111" s="544"/>
      <c r="AD111" s="544"/>
      <c r="AE111" s="544"/>
      <c r="AF111" s="544"/>
      <c r="AG111" s="544"/>
      <c r="AH111" s="544"/>
      <c r="AI111" s="544"/>
      <c r="AJ111" s="544"/>
      <c r="AK111" s="544"/>
      <c r="AL111" s="544"/>
      <c r="AM111" s="544"/>
      <c r="AN111" s="544"/>
    </row>
    <row r="112" spans="1:40" s="33" customForma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544"/>
      <c r="AA112" s="544"/>
      <c r="AB112" s="544"/>
      <c r="AC112" s="544"/>
      <c r="AD112" s="544"/>
      <c r="AE112" s="544"/>
      <c r="AF112" s="544"/>
      <c r="AG112" s="544"/>
      <c r="AH112" s="544"/>
      <c r="AI112" s="544"/>
      <c r="AJ112" s="544"/>
      <c r="AK112" s="544"/>
      <c r="AL112" s="544"/>
      <c r="AM112" s="544"/>
      <c r="AN112" s="544"/>
    </row>
    <row r="113" spans="1:40" s="33" customForma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544"/>
      <c r="AA113" s="544"/>
      <c r="AB113" s="544"/>
      <c r="AC113" s="544"/>
      <c r="AD113" s="544"/>
      <c r="AE113" s="544"/>
      <c r="AF113" s="544"/>
      <c r="AG113" s="544"/>
      <c r="AH113" s="544"/>
      <c r="AI113" s="544"/>
      <c r="AJ113" s="544"/>
      <c r="AK113" s="544"/>
      <c r="AL113" s="544"/>
      <c r="AM113" s="544"/>
      <c r="AN113" s="544"/>
    </row>
    <row r="114" spans="1:40" s="33" customForma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544"/>
      <c r="AA114" s="544"/>
      <c r="AB114" s="544"/>
      <c r="AC114" s="544"/>
      <c r="AD114" s="544"/>
      <c r="AE114" s="544"/>
      <c r="AF114" s="544"/>
      <c r="AG114" s="544"/>
      <c r="AH114" s="544"/>
      <c r="AI114" s="544"/>
      <c r="AJ114" s="544"/>
      <c r="AK114" s="544"/>
      <c r="AL114" s="544"/>
      <c r="AM114" s="544"/>
      <c r="AN114" s="544"/>
    </row>
    <row r="115" spans="1:40" s="33" customForma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544"/>
      <c r="AA115" s="544"/>
      <c r="AB115" s="544"/>
      <c r="AC115" s="544"/>
      <c r="AD115" s="544"/>
      <c r="AE115" s="544"/>
      <c r="AF115" s="544"/>
      <c r="AG115" s="544"/>
      <c r="AH115" s="544"/>
      <c r="AI115" s="544"/>
      <c r="AJ115" s="544"/>
      <c r="AK115" s="544"/>
      <c r="AL115" s="544"/>
      <c r="AM115" s="544"/>
      <c r="AN115" s="544"/>
    </row>
    <row r="116" spans="1:40" s="33" customForma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544"/>
      <c r="AA116" s="544"/>
      <c r="AB116" s="544"/>
      <c r="AC116" s="544"/>
      <c r="AD116" s="544"/>
      <c r="AE116" s="544"/>
      <c r="AF116" s="544"/>
      <c r="AG116" s="544"/>
      <c r="AH116" s="544"/>
      <c r="AI116" s="544"/>
      <c r="AJ116" s="544"/>
      <c r="AK116" s="544"/>
      <c r="AL116" s="544"/>
      <c r="AM116" s="544"/>
      <c r="AN116" s="544"/>
    </row>
    <row r="117" spans="1:40" s="33" customForma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544"/>
      <c r="AA117" s="544"/>
      <c r="AB117" s="544"/>
      <c r="AC117" s="544"/>
      <c r="AD117" s="544"/>
      <c r="AE117" s="544"/>
      <c r="AF117" s="544"/>
      <c r="AG117" s="544"/>
      <c r="AH117" s="544"/>
      <c r="AI117" s="544"/>
      <c r="AJ117" s="544"/>
      <c r="AK117" s="544"/>
      <c r="AL117" s="544"/>
      <c r="AM117" s="544"/>
      <c r="AN117" s="544"/>
    </row>
    <row r="118" spans="1:40" s="33" customForma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544"/>
      <c r="AA118" s="544"/>
      <c r="AB118" s="544"/>
      <c r="AC118" s="544"/>
      <c r="AD118" s="544"/>
      <c r="AE118" s="544"/>
      <c r="AF118" s="544"/>
      <c r="AG118" s="544"/>
      <c r="AH118" s="544"/>
      <c r="AI118" s="544"/>
      <c r="AJ118" s="544"/>
      <c r="AK118" s="544"/>
      <c r="AL118" s="544"/>
      <c r="AM118" s="544"/>
      <c r="AN118" s="544"/>
    </row>
    <row r="119" spans="1:40" s="33" customForma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544"/>
      <c r="AA119" s="544"/>
      <c r="AB119" s="544"/>
      <c r="AC119" s="544"/>
      <c r="AD119" s="544"/>
      <c r="AE119" s="544"/>
      <c r="AF119" s="544"/>
      <c r="AG119" s="544"/>
      <c r="AH119" s="544"/>
      <c r="AI119" s="544"/>
      <c r="AJ119" s="544"/>
      <c r="AK119" s="544"/>
      <c r="AL119" s="544"/>
      <c r="AM119" s="544"/>
      <c r="AN119" s="544"/>
    </row>
    <row r="120" spans="1:40" s="33" customForma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544"/>
      <c r="AA120" s="544"/>
      <c r="AB120" s="544"/>
      <c r="AC120" s="544"/>
      <c r="AD120" s="544"/>
      <c r="AE120" s="544"/>
      <c r="AF120" s="544"/>
      <c r="AG120" s="544"/>
      <c r="AH120" s="544"/>
      <c r="AI120" s="544"/>
      <c r="AJ120" s="544"/>
      <c r="AK120" s="544"/>
      <c r="AL120" s="544"/>
      <c r="AM120" s="544"/>
      <c r="AN120" s="544"/>
    </row>
    <row r="121" spans="1:40" s="33" customForma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544"/>
      <c r="AA121" s="544"/>
      <c r="AB121" s="544"/>
      <c r="AC121" s="544"/>
      <c r="AD121" s="544"/>
      <c r="AE121" s="544"/>
      <c r="AF121" s="544"/>
      <c r="AG121" s="544"/>
      <c r="AH121" s="544"/>
      <c r="AI121" s="544"/>
      <c r="AJ121" s="544"/>
      <c r="AK121" s="544"/>
      <c r="AL121" s="544"/>
      <c r="AM121" s="544"/>
      <c r="AN121" s="544"/>
    </row>
    <row r="122" spans="1:40" s="33" customForma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544"/>
      <c r="AA122" s="544"/>
      <c r="AB122" s="544"/>
      <c r="AC122" s="544"/>
      <c r="AD122" s="544"/>
      <c r="AE122" s="544"/>
      <c r="AF122" s="544"/>
      <c r="AG122" s="544"/>
      <c r="AH122" s="544"/>
      <c r="AI122" s="544"/>
      <c r="AJ122" s="544"/>
      <c r="AK122" s="544"/>
      <c r="AL122" s="544"/>
      <c r="AM122" s="544"/>
      <c r="AN122" s="544"/>
    </row>
    <row r="123" spans="1:40" s="33" customForma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544"/>
      <c r="AA123" s="544"/>
      <c r="AB123" s="544"/>
      <c r="AC123" s="544"/>
      <c r="AD123" s="544"/>
      <c r="AE123" s="544"/>
      <c r="AF123" s="544"/>
      <c r="AG123" s="544"/>
      <c r="AH123" s="544"/>
      <c r="AI123" s="544"/>
      <c r="AJ123" s="544"/>
      <c r="AK123" s="544"/>
      <c r="AL123" s="544"/>
      <c r="AM123" s="544"/>
      <c r="AN123" s="544"/>
    </row>
    <row r="124" spans="1:40" s="33" customForma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544"/>
      <c r="AA124" s="544"/>
      <c r="AB124" s="544"/>
      <c r="AC124" s="544"/>
      <c r="AD124" s="544"/>
      <c r="AE124" s="544"/>
      <c r="AF124" s="544"/>
      <c r="AG124" s="544"/>
      <c r="AH124" s="544"/>
      <c r="AI124" s="544"/>
      <c r="AJ124" s="544"/>
      <c r="AK124" s="544"/>
      <c r="AL124" s="544"/>
      <c r="AM124" s="544"/>
      <c r="AN124" s="544"/>
    </row>
    <row r="125" spans="1:40" s="33" customForma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544"/>
      <c r="AA125" s="544"/>
      <c r="AB125" s="544"/>
      <c r="AC125" s="544"/>
      <c r="AD125" s="544"/>
      <c r="AE125" s="544"/>
      <c r="AF125" s="544"/>
      <c r="AG125" s="544"/>
      <c r="AH125" s="544"/>
      <c r="AI125" s="544"/>
      <c r="AJ125" s="544"/>
      <c r="AK125" s="544"/>
      <c r="AL125" s="544"/>
      <c r="AM125" s="544"/>
      <c r="AN125" s="544"/>
    </row>
    <row r="126" spans="1:40" s="33" customForma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544"/>
      <c r="AA126" s="544"/>
      <c r="AB126" s="544"/>
      <c r="AC126" s="544"/>
      <c r="AD126" s="544"/>
      <c r="AE126" s="544"/>
      <c r="AF126" s="544"/>
      <c r="AG126" s="544"/>
      <c r="AH126" s="544"/>
      <c r="AI126" s="544"/>
      <c r="AJ126" s="544"/>
      <c r="AK126" s="544"/>
      <c r="AL126" s="544"/>
      <c r="AM126" s="544"/>
      <c r="AN126" s="544"/>
    </row>
    <row r="127" spans="1:40" s="33" customForma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544"/>
      <c r="AA127" s="544"/>
      <c r="AB127" s="544"/>
      <c r="AC127" s="544"/>
      <c r="AD127" s="544"/>
      <c r="AE127" s="544"/>
      <c r="AF127" s="544"/>
      <c r="AG127" s="544"/>
      <c r="AH127" s="544"/>
      <c r="AI127" s="544"/>
      <c r="AJ127" s="544"/>
      <c r="AK127" s="544"/>
      <c r="AL127" s="544"/>
      <c r="AM127" s="544"/>
      <c r="AN127" s="544"/>
    </row>
    <row r="128" spans="1:40" s="33" customForma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544"/>
      <c r="AA128" s="544"/>
      <c r="AB128" s="544"/>
      <c r="AC128" s="544"/>
      <c r="AD128" s="544"/>
      <c r="AE128" s="544"/>
      <c r="AF128" s="544"/>
      <c r="AG128" s="544"/>
      <c r="AH128" s="544"/>
      <c r="AI128" s="544"/>
      <c r="AJ128" s="544"/>
      <c r="AK128" s="544"/>
      <c r="AL128" s="544"/>
      <c r="AM128" s="544"/>
      <c r="AN128" s="544"/>
    </row>
    <row r="129" spans="1:40" s="33" customForma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544"/>
      <c r="AA129" s="544"/>
      <c r="AB129" s="544"/>
      <c r="AC129" s="544"/>
      <c r="AD129" s="544"/>
      <c r="AE129" s="544"/>
      <c r="AF129" s="544"/>
      <c r="AG129" s="544"/>
      <c r="AH129" s="544"/>
      <c r="AI129" s="544"/>
      <c r="AJ129" s="544"/>
      <c r="AK129" s="544"/>
      <c r="AL129" s="544"/>
      <c r="AM129" s="544"/>
      <c r="AN129" s="544"/>
    </row>
    <row r="130" spans="1:40" s="33" customForma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544"/>
      <c r="AA130" s="544"/>
      <c r="AB130" s="544"/>
      <c r="AC130" s="544"/>
      <c r="AD130" s="544"/>
      <c r="AE130" s="544"/>
      <c r="AF130" s="544"/>
      <c r="AG130" s="544"/>
      <c r="AH130" s="544"/>
      <c r="AI130" s="544"/>
      <c r="AJ130" s="544"/>
      <c r="AK130" s="544"/>
      <c r="AL130" s="544"/>
      <c r="AM130" s="544"/>
      <c r="AN130" s="544"/>
    </row>
    <row r="131" spans="1:40" s="33" customForma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544"/>
      <c r="AA131" s="544"/>
      <c r="AB131" s="544"/>
      <c r="AC131" s="544"/>
      <c r="AD131" s="544"/>
      <c r="AE131" s="544"/>
      <c r="AF131" s="544"/>
      <c r="AG131" s="544"/>
      <c r="AH131" s="544"/>
      <c r="AI131" s="544"/>
      <c r="AJ131" s="544"/>
      <c r="AK131" s="544"/>
      <c r="AL131" s="544"/>
      <c r="AM131" s="544"/>
      <c r="AN131" s="544"/>
    </row>
    <row r="132" spans="1:40" s="33" customForma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544"/>
      <c r="AA132" s="544"/>
      <c r="AB132" s="544"/>
      <c r="AC132" s="544"/>
      <c r="AD132" s="544"/>
      <c r="AE132" s="544"/>
      <c r="AF132" s="544"/>
      <c r="AG132" s="544"/>
      <c r="AH132" s="544"/>
      <c r="AI132" s="544"/>
      <c r="AJ132" s="544"/>
      <c r="AK132" s="544"/>
      <c r="AL132" s="544"/>
      <c r="AM132" s="544"/>
      <c r="AN132" s="544"/>
    </row>
    <row r="133" spans="1:40" s="33" customForma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544"/>
      <c r="AA133" s="544"/>
      <c r="AB133" s="544"/>
      <c r="AC133" s="544"/>
      <c r="AD133" s="544"/>
      <c r="AE133" s="544"/>
      <c r="AF133" s="544"/>
      <c r="AG133" s="544"/>
      <c r="AH133" s="544"/>
      <c r="AI133" s="544"/>
      <c r="AJ133" s="544"/>
      <c r="AK133" s="544"/>
      <c r="AL133" s="544"/>
      <c r="AM133" s="544"/>
      <c r="AN133" s="544"/>
    </row>
    <row r="134" spans="1:40" s="33" customForma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544"/>
      <c r="AA134" s="544"/>
      <c r="AB134" s="544"/>
      <c r="AC134" s="544"/>
      <c r="AD134" s="544"/>
      <c r="AE134" s="544"/>
      <c r="AF134" s="544"/>
      <c r="AG134" s="544"/>
      <c r="AH134" s="544"/>
      <c r="AI134" s="544"/>
      <c r="AJ134" s="544"/>
      <c r="AK134" s="544"/>
      <c r="AL134" s="544"/>
      <c r="AM134" s="544"/>
      <c r="AN134" s="544"/>
    </row>
    <row r="135" spans="1:40" s="33" customForma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544"/>
      <c r="AA135" s="544"/>
      <c r="AB135" s="544"/>
      <c r="AC135" s="544"/>
      <c r="AD135" s="544"/>
      <c r="AE135" s="544"/>
      <c r="AF135" s="544"/>
      <c r="AG135" s="544"/>
      <c r="AH135" s="544"/>
      <c r="AI135" s="544"/>
      <c r="AJ135" s="544"/>
      <c r="AK135" s="544"/>
      <c r="AL135" s="544"/>
      <c r="AM135" s="544"/>
      <c r="AN135" s="544"/>
    </row>
    <row r="136" spans="1:40" s="33" customForma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544"/>
      <c r="AA136" s="544"/>
      <c r="AB136" s="544"/>
      <c r="AC136" s="544"/>
      <c r="AD136" s="544"/>
      <c r="AE136" s="544"/>
      <c r="AF136" s="544"/>
      <c r="AG136" s="544"/>
      <c r="AH136" s="544"/>
      <c r="AI136" s="544"/>
      <c r="AJ136" s="544"/>
      <c r="AK136" s="544"/>
      <c r="AL136" s="544"/>
      <c r="AM136" s="544"/>
      <c r="AN136" s="544"/>
    </row>
    <row r="137" spans="1:40" s="33" customForma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544"/>
      <c r="AA137" s="544"/>
      <c r="AB137" s="544"/>
      <c r="AC137" s="544"/>
      <c r="AD137" s="544"/>
      <c r="AE137" s="544"/>
      <c r="AF137" s="544"/>
      <c r="AG137" s="544"/>
      <c r="AH137" s="544"/>
      <c r="AI137" s="544"/>
      <c r="AJ137" s="544"/>
      <c r="AK137" s="544"/>
      <c r="AL137" s="544"/>
      <c r="AM137" s="544"/>
      <c r="AN137" s="544"/>
    </row>
    <row r="138" spans="1:40" s="33" customFormat="1">
      <c r="A138" s="40"/>
      <c r="B138" s="40"/>
      <c r="C138" s="40"/>
      <c r="D138" s="40"/>
      <c r="E138" s="40"/>
      <c r="F138" s="40"/>
      <c r="G138" s="40"/>
      <c r="H138" s="40"/>
      <c r="I138" s="40"/>
      <c r="J138" s="40"/>
      <c r="K138" s="40"/>
      <c r="L138" s="40"/>
      <c r="M138" s="40"/>
      <c r="N138" s="40"/>
      <c r="O138" s="40"/>
      <c r="P138" s="40"/>
      <c r="Q138" s="40"/>
      <c r="R138" s="40"/>
      <c r="S138" s="40"/>
      <c r="T138" s="544"/>
      <c r="U138" s="544"/>
      <c r="V138" s="544"/>
      <c r="W138" s="544"/>
      <c r="X138" s="544"/>
      <c r="Y138" s="544"/>
      <c r="Z138" s="544"/>
      <c r="AA138" s="544"/>
      <c r="AB138" s="544"/>
      <c r="AC138" s="544"/>
      <c r="AD138" s="544"/>
      <c r="AE138" s="544"/>
      <c r="AF138" s="544"/>
      <c r="AG138" s="544"/>
      <c r="AH138" s="544"/>
      <c r="AI138" s="544"/>
      <c r="AJ138" s="544"/>
      <c r="AK138" s="544"/>
      <c r="AL138" s="544"/>
      <c r="AM138" s="544"/>
      <c r="AN138" s="544"/>
    </row>
    <row r="139" spans="1:40" s="33" customFormat="1">
      <c r="A139" s="40"/>
      <c r="B139" s="40"/>
      <c r="C139" s="40"/>
      <c r="D139" s="40"/>
      <c r="E139" s="40"/>
      <c r="F139" s="40"/>
      <c r="G139" s="40"/>
      <c r="H139" s="40"/>
      <c r="I139" s="40"/>
      <c r="J139" s="40"/>
      <c r="K139" s="40"/>
      <c r="L139" s="40"/>
      <c r="M139" s="40"/>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c r="AN139" s="544"/>
    </row>
    <row r="140" spans="1:40" s="33" customFormat="1">
      <c r="A140" s="40"/>
      <c r="B140" s="40"/>
      <c r="C140" s="40"/>
      <c r="D140" s="40"/>
      <c r="E140" s="40"/>
      <c r="F140" s="40"/>
      <c r="G140" s="40"/>
      <c r="H140" s="40"/>
      <c r="I140" s="40"/>
      <c r="J140" s="40"/>
      <c r="K140" s="40"/>
      <c r="L140" s="40"/>
      <c r="M140" s="40"/>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row>
    <row r="141" spans="1:40" s="33" customFormat="1">
      <c r="A141" s="40"/>
      <c r="B141" s="40"/>
      <c r="C141" s="40"/>
      <c r="D141" s="40"/>
      <c r="E141" s="40"/>
      <c r="F141" s="40"/>
      <c r="G141" s="40"/>
      <c r="H141" s="40"/>
      <c r="I141" s="40"/>
      <c r="J141" s="40"/>
      <c r="K141" s="40"/>
      <c r="L141" s="40"/>
      <c r="M141" s="40"/>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c r="AN141" s="544"/>
    </row>
    <row r="142" spans="1:40" s="33" customFormat="1">
      <c r="A142" s="40"/>
      <c r="B142" s="40"/>
      <c r="C142" s="40"/>
      <c r="D142" s="40"/>
      <c r="E142" s="40"/>
      <c r="F142" s="40"/>
      <c r="G142" s="40"/>
      <c r="H142" s="40"/>
      <c r="I142" s="40"/>
      <c r="J142" s="40"/>
      <c r="K142" s="40"/>
      <c r="L142" s="40"/>
      <c r="M142" s="40"/>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row>
    <row r="143" spans="1:40" s="33" customFormat="1">
      <c r="A143" s="40"/>
      <c r="B143" s="40"/>
      <c r="C143" s="40"/>
      <c r="D143" s="40"/>
      <c r="E143" s="40"/>
      <c r="F143" s="40"/>
      <c r="G143" s="40"/>
      <c r="H143" s="40"/>
      <c r="I143" s="40"/>
      <c r="J143" s="40"/>
      <c r="K143" s="40"/>
      <c r="L143" s="40"/>
      <c r="M143" s="40"/>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row>
    <row r="144" spans="1:40" s="33" customFormat="1">
      <c r="A144" s="40"/>
      <c r="B144" s="40"/>
      <c r="C144" s="40"/>
      <c r="D144" s="40"/>
      <c r="E144" s="40"/>
      <c r="F144" s="40"/>
      <c r="G144" s="40"/>
      <c r="H144" s="40"/>
      <c r="I144" s="40"/>
      <c r="J144" s="40"/>
      <c r="K144" s="40"/>
      <c r="L144" s="40"/>
      <c r="M144" s="40"/>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c r="AN144" s="544"/>
    </row>
    <row r="145" spans="1:40" s="33" customFormat="1">
      <c r="A145" s="40"/>
      <c r="B145" s="40"/>
      <c r="C145" s="40"/>
      <c r="D145" s="40"/>
      <c r="E145" s="40"/>
      <c r="F145" s="40"/>
      <c r="G145" s="40"/>
      <c r="H145" s="40"/>
      <c r="I145" s="40"/>
      <c r="J145" s="40"/>
      <c r="K145" s="40"/>
      <c r="L145" s="40"/>
      <c r="M145" s="40"/>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c r="AN145" s="544"/>
    </row>
    <row r="146" spans="1:40" s="33" customFormat="1">
      <c r="A146" s="40"/>
      <c r="B146" s="40"/>
      <c r="C146" s="40"/>
      <c r="D146" s="40"/>
      <c r="E146" s="40"/>
      <c r="F146" s="40"/>
      <c r="G146" s="40"/>
      <c r="H146" s="40"/>
      <c r="I146" s="40"/>
      <c r="J146" s="40"/>
      <c r="K146" s="40"/>
      <c r="L146" s="40"/>
      <c r="M146" s="40"/>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c r="AK146" s="544"/>
      <c r="AL146" s="544"/>
      <c r="AM146" s="544"/>
      <c r="AN146" s="544"/>
    </row>
    <row r="147" spans="1:40" s="33" customFormat="1">
      <c r="A147" s="40"/>
      <c r="B147" s="40"/>
      <c r="C147" s="40"/>
      <c r="D147" s="40"/>
      <c r="E147" s="40"/>
      <c r="F147" s="40"/>
      <c r="G147" s="40"/>
      <c r="H147" s="40"/>
      <c r="I147" s="40"/>
      <c r="J147" s="40"/>
      <c r="K147" s="40"/>
      <c r="L147" s="40"/>
      <c r="M147" s="40"/>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c r="AN147" s="544"/>
    </row>
    <row r="148" spans="1:40" s="33" customFormat="1">
      <c r="A148" s="40"/>
      <c r="B148" s="40"/>
      <c r="C148" s="40"/>
      <c r="D148" s="40"/>
      <c r="E148" s="40"/>
      <c r="F148" s="40"/>
      <c r="G148" s="40"/>
      <c r="H148" s="40"/>
      <c r="I148" s="40"/>
      <c r="J148" s="40"/>
      <c r="K148" s="40"/>
      <c r="L148" s="40"/>
      <c r="M148" s="40"/>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c r="AN148" s="544"/>
    </row>
    <row r="149" spans="1:40" s="33" customFormat="1">
      <c r="A149" s="40"/>
      <c r="B149" s="40"/>
      <c r="C149" s="40"/>
      <c r="D149" s="40"/>
      <c r="E149" s="40"/>
      <c r="F149" s="40"/>
      <c r="G149" s="40"/>
      <c r="H149" s="40"/>
      <c r="I149" s="40"/>
      <c r="J149" s="40"/>
      <c r="K149" s="40"/>
      <c r="L149" s="40"/>
      <c r="M149" s="40"/>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c r="AN149" s="544"/>
    </row>
    <row r="150" spans="1:40" s="33" customForma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row>
    <row r="151" spans="1:40" s="33" customForma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row>
    <row r="152" spans="1:40" s="33" customForma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row>
    <row r="153" spans="1:40" s="33" customForma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row>
    <row r="154" spans="1:40" s="33" customForma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row>
    <row r="155" spans="1:40" s="33" customForma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row>
    <row r="156" spans="1:40" s="33" customForma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row>
    <row r="157" spans="1:40" s="33" customForma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row>
    <row r="158" spans="1:40" s="33" customForma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row>
    <row r="159" spans="1:40" s="33" customForma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row>
    <row r="160" spans="1:40" s="33" customForma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row>
    <row r="161" spans="1:1" s="33" customFormat="1">
      <c r="A161" s="40"/>
    </row>
    <row r="162" spans="1:1" s="33" customFormat="1">
      <c r="A162" s="40"/>
    </row>
    <row r="163" spans="1:1" s="33" customFormat="1">
      <c r="A163" s="40"/>
    </row>
    <row r="164" spans="1:1" s="33" customFormat="1">
      <c r="A164" s="40"/>
    </row>
    <row r="165" spans="1:1" s="33" customFormat="1">
      <c r="A165" s="40"/>
    </row>
    <row r="166" spans="1:1" s="33" customFormat="1">
      <c r="A166" s="40"/>
    </row>
    <row r="167" spans="1:1" s="33" customFormat="1">
      <c r="A167" s="40"/>
    </row>
    <row r="168" spans="1:1" s="33" customFormat="1">
      <c r="A168" s="40"/>
    </row>
    <row r="169" spans="1:1" s="33" customFormat="1">
      <c r="A169" s="40"/>
    </row>
    <row r="170" spans="1:1" s="33" customFormat="1">
      <c r="A170" s="40"/>
    </row>
    <row r="171" spans="1:1" s="33" customFormat="1">
      <c r="A171" s="40"/>
    </row>
    <row r="172" spans="1:1" s="33" customFormat="1">
      <c r="A172" s="40"/>
    </row>
    <row r="173" spans="1:1" s="33" customFormat="1">
      <c r="A173" s="40"/>
    </row>
    <row r="174" spans="1:1" s="33" customFormat="1">
      <c r="A174" s="40"/>
    </row>
    <row r="175" spans="1:1" s="33" customFormat="1">
      <c r="A175" s="40"/>
    </row>
    <row r="176" spans="1:1" s="33" customFormat="1">
      <c r="A176" s="40"/>
    </row>
    <row r="177" spans="1:1" s="33" customFormat="1">
      <c r="A177" s="40"/>
    </row>
    <row r="178" spans="1:1" s="33" customFormat="1">
      <c r="A178" s="40"/>
    </row>
    <row r="179" spans="1:1" s="33" customFormat="1">
      <c r="A179" s="40"/>
    </row>
    <row r="180" spans="1:1" s="33" customFormat="1">
      <c r="A180" s="40"/>
    </row>
    <row r="181" spans="1:1" s="33" customFormat="1">
      <c r="A181" s="40"/>
    </row>
    <row r="182" spans="1:1" s="33" customFormat="1">
      <c r="A182" s="40"/>
    </row>
    <row r="183" spans="1:1" s="33" customFormat="1">
      <c r="A183" s="40"/>
    </row>
    <row r="184" spans="1:1" s="33" customFormat="1">
      <c r="A184" s="40"/>
    </row>
    <row r="185" spans="1:1" s="33" customFormat="1">
      <c r="A185" s="40"/>
    </row>
    <row r="186" spans="1:1" s="33" customFormat="1">
      <c r="A186" s="40"/>
    </row>
    <row r="187" spans="1:1" s="33" customFormat="1">
      <c r="A187" s="40"/>
    </row>
    <row r="188" spans="1:1" s="33" customFormat="1">
      <c r="A188" s="40"/>
    </row>
    <row r="189" spans="1:1" s="33" customFormat="1">
      <c r="A189" s="40"/>
    </row>
    <row r="190" spans="1:1" s="33" customFormat="1">
      <c r="A190" s="40"/>
    </row>
    <row r="191" spans="1:1" s="33" customFormat="1">
      <c r="A191" s="40"/>
    </row>
    <row r="192" spans="1:1" s="33" customFormat="1">
      <c r="A192" s="40"/>
    </row>
    <row r="193" spans="1:1" s="33" customFormat="1">
      <c r="A193" s="40"/>
    </row>
    <row r="194" spans="1:1" s="33" customFormat="1">
      <c r="A194" s="40"/>
    </row>
    <row r="195" spans="1:1" s="33" customFormat="1">
      <c r="A195" s="40"/>
    </row>
    <row r="196" spans="1:1" s="33" customFormat="1">
      <c r="A196" s="40"/>
    </row>
    <row r="197" spans="1:1" s="33" customFormat="1">
      <c r="A197" s="40"/>
    </row>
    <row r="198" spans="1:1" s="33" customFormat="1">
      <c r="A198" s="40"/>
    </row>
    <row r="199" spans="1:1" s="33" customFormat="1">
      <c r="A199" s="40"/>
    </row>
    <row r="200" spans="1:1" s="33" customFormat="1">
      <c r="A200" s="40"/>
    </row>
    <row r="201" spans="1:1" s="33" customFormat="1">
      <c r="A201" s="40"/>
    </row>
    <row r="202" spans="1:1" s="33" customFormat="1">
      <c r="A202" s="40"/>
    </row>
    <row r="203" spans="1:1" s="33" customFormat="1">
      <c r="A203" s="40"/>
    </row>
    <row r="204" spans="1:1" s="33" customFormat="1">
      <c r="A204" s="40"/>
    </row>
    <row r="205" spans="1:1" s="33" customFormat="1">
      <c r="A205" s="40"/>
    </row>
    <row r="206" spans="1:1" s="33" customFormat="1">
      <c r="A206" s="40"/>
    </row>
    <row r="207" spans="1:1" s="33" customFormat="1">
      <c r="A207" s="40"/>
    </row>
    <row r="208" spans="1:1" s="33" customFormat="1">
      <c r="A208" s="40"/>
    </row>
    <row r="209" spans="1:1" s="33" customFormat="1">
      <c r="A209" s="40"/>
    </row>
    <row r="210" spans="1:1" s="33" customFormat="1">
      <c r="A210" s="40"/>
    </row>
    <row r="211" spans="1:1" s="33" customFormat="1">
      <c r="A211" s="40"/>
    </row>
    <row r="212" spans="1:1" s="33" customFormat="1">
      <c r="A212" s="40"/>
    </row>
    <row r="213" spans="1:1" s="33" customFormat="1">
      <c r="A213" s="40"/>
    </row>
    <row r="214" spans="1:1" s="33" customFormat="1">
      <c r="A214" s="40"/>
    </row>
    <row r="215" spans="1:1" s="33" customFormat="1">
      <c r="A215" s="40"/>
    </row>
    <row r="216" spans="1:1" s="33" customFormat="1">
      <c r="A216" s="40"/>
    </row>
    <row r="217" spans="1:1" s="33" customFormat="1">
      <c r="A217" s="40"/>
    </row>
    <row r="218" spans="1:1" s="33" customFormat="1">
      <c r="A218" s="40"/>
    </row>
    <row r="219" spans="1:1" s="33" customFormat="1">
      <c r="A219" s="40"/>
    </row>
    <row r="220" spans="1:1" s="33" customFormat="1">
      <c r="A220" s="40"/>
    </row>
    <row r="221" spans="1:1" s="33" customFormat="1">
      <c r="A221" s="40"/>
    </row>
    <row r="222" spans="1:1" s="33" customFormat="1">
      <c r="A222" s="40"/>
    </row>
    <row r="223" spans="1:1" s="33" customFormat="1">
      <c r="A223" s="40"/>
    </row>
    <row r="224" spans="1:1" s="33" customFormat="1">
      <c r="A224" s="40"/>
    </row>
    <row r="225" spans="1:1" s="33" customFormat="1">
      <c r="A225" s="40"/>
    </row>
    <row r="226" spans="1:1" s="33" customFormat="1">
      <c r="A226" s="40"/>
    </row>
    <row r="227" spans="1:1" s="33" customFormat="1">
      <c r="A227" s="40"/>
    </row>
    <row r="228" spans="1:1" s="33" customFormat="1">
      <c r="A228" s="40"/>
    </row>
    <row r="229" spans="1:1" s="33" customFormat="1">
      <c r="A229" s="40"/>
    </row>
    <row r="230" spans="1:1" s="33" customFormat="1">
      <c r="A230" s="40"/>
    </row>
    <row r="231" spans="1:1" s="33" customFormat="1">
      <c r="A231" s="40"/>
    </row>
    <row r="232" spans="1:1" s="33" customFormat="1">
      <c r="A232" s="40"/>
    </row>
    <row r="233" spans="1:1" s="33" customFormat="1">
      <c r="A233" s="40"/>
    </row>
    <row r="234" spans="1:1" s="33" customFormat="1">
      <c r="A234" s="40"/>
    </row>
    <row r="235" spans="1:1" s="33" customFormat="1">
      <c r="A235" s="40"/>
    </row>
    <row r="236" spans="1:1" s="33" customFormat="1">
      <c r="A236" s="40"/>
    </row>
    <row r="237" spans="1:1" s="33" customFormat="1">
      <c r="A237" s="40"/>
    </row>
    <row r="238" spans="1:1" s="33" customFormat="1">
      <c r="A238" s="40"/>
    </row>
    <row r="239" spans="1:1" s="33" customFormat="1">
      <c r="A239" s="40"/>
    </row>
    <row r="240" spans="1:1" s="33" customFormat="1">
      <c r="A240" s="40"/>
    </row>
    <row r="241" spans="1:1" s="33" customFormat="1">
      <c r="A241" s="40"/>
    </row>
    <row r="242" spans="1:1" s="33" customFormat="1">
      <c r="A242" s="40"/>
    </row>
    <row r="243" spans="1:1" s="33" customFormat="1">
      <c r="A243" s="40"/>
    </row>
    <row r="244" spans="1:1" s="33" customFormat="1">
      <c r="A244" s="40"/>
    </row>
    <row r="245" spans="1:1" s="33" customFormat="1">
      <c r="A245" s="40"/>
    </row>
    <row r="246" spans="1:1" s="33" customFormat="1">
      <c r="A246" s="40"/>
    </row>
    <row r="247" spans="1:1" s="33" customFormat="1">
      <c r="A247" s="40"/>
    </row>
    <row r="248" spans="1:1" s="33" customFormat="1">
      <c r="A248" s="40"/>
    </row>
    <row r="249" spans="1:1" s="33" customFormat="1">
      <c r="A249" s="40"/>
    </row>
    <row r="250" spans="1:1" s="33" customFormat="1">
      <c r="A250" s="40"/>
    </row>
    <row r="251" spans="1:1" s="33" customFormat="1">
      <c r="A251" s="40"/>
    </row>
    <row r="252" spans="1:1" s="33" customFormat="1">
      <c r="A252" s="40"/>
    </row>
    <row r="253" spans="1:1" s="33" customFormat="1">
      <c r="A253" s="40"/>
    </row>
    <row r="254" spans="1:1" s="33" customFormat="1">
      <c r="A254" s="40"/>
    </row>
    <row r="255" spans="1:1" s="33" customFormat="1">
      <c r="A255" s="40"/>
    </row>
    <row r="256" spans="1:1" s="33" customFormat="1">
      <c r="A256" s="40"/>
    </row>
    <row r="257" spans="1:1" s="33" customFormat="1">
      <c r="A257" s="40"/>
    </row>
    <row r="258" spans="1:1" s="33" customFormat="1">
      <c r="A258" s="40"/>
    </row>
    <row r="259" spans="1:1" s="33" customFormat="1">
      <c r="A259" s="40"/>
    </row>
    <row r="260" spans="1:1" s="33" customFormat="1">
      <c r="A260" s="40"/>
    </row>
    <row r="261" spans="1:1" s="33" customFormat="1">
      <c r="A261" s="40"/>
    </row>
    <row r="262" spans="1:1" s="33" customFormat="1">
      <c r="A262" s="40"/>
    </row>
    <row r="263" spans="1:1" s="33" customFormat="1">
      <c r="A263" s="40"/>
    </row>
    <row r="264" spans="1:1" s="33" customFormat="1">
      <c r="A264" s="40"/>
    </row>
    <row r="265" spans="1:1" s="33" customFormat="1">
      <c r="A265" s="40"/>
    </row>
    <row r="266" spans="1:1" s="33" customFormat="1">
      <c r="A266" s="40"/>
    </row>
    <row r="267" spans="1:1" s="33" customFormat="1">
      <c r="A267" s="40"/>
    </row>
    <row r="268" spans="1:1" s="33" customFormat="1">
      <c r="A268" s="40"/>
    </row>
    <row r="269" spans="1:1" s="33" customFormat="1">
      <c r="A269" s="40"/>
    </row>
    <row r="270" spans="1:1" s="33" customFormat="1">
      <c r="A270" s="40"/>
    </row>
    <row r="271" spans="1:1" s="33" customFormat="1">
      <c r="A271" s="40"/>
    </row>
    <row r="272" spans="1:1" s="33" customFormat="1">
      <c r="A272" s="40"/>
    </row>
    <row r="273" spans="1:1" s="33" customFormat="1">
      <c r="A273" s="40"/>
    </row>
    <row r="274" spans="1:1" s="33" customFormat="1">
      <c r="A274" s="40"/>
    </row>
    <row r="275" spans="1:1" s="33" customFormat="1">
      <c r="A275" s="40"/>
    </row>
    <row r="276" spans="1:1" s="33" customFormat="1">
      <c r="A276" s="40"/>
    </row>
    <row r="277" spans="1:1" s="33" customFormat="1">
      <c r="A277" s="40"/>
    </row>
    <row r="278" spans="1:1" s="33" customFormat="1">
      <c r="A278" s="40"/>
    </row>
    <row r="279" spans="1:1" s="33" customFormat="1">
      <c r="A279" s="40"/>
    </row>
    <row r="280" spans="1:1" s="33" customFormat="1">
      <c r="A280" s="40"/>
    </row>
    <row r="281" spans="1:1" s="33" customFormat="1">
      <c r="A281" s="40"/>
    </row>
    <row r="282" spans="1:1" s="33" customFormat="1">
      <c r="A282" s="40"/>
    </row>
    <row r="283" spans="1:1" s="33" customFormat="1">
      <c r="A283" s="40"/>
    </row>
    <row r="284" spans="1:1" s="33" customFormat="1">
      <c r="A284" s="40"/>
    </row>
    <row r="285" spans="1:1" s="33" customFormat="1">
      <c r="A285" s="40"/>
    </row>
    <row r="286" spans="1:1" s="33" customFormat="1">
      <c r="A286" s="40"/>
    </row>
    <row r="287" spans="1:1" s="33" customFormat="1">
      <c r="A287" s="40"/>
    </row>
    <row r="288" spans="1:1" s="33" customFormat="1">
      <c r="A288" s="40"/>
    </row>
    <row r="289" spans="1:1" s="33" customFormat="1">
      <c r="A289" s="40"/>
    </row>
    <row r="290" spans="1:1" s="33" customFormat="1">
      <c r="A290" s="40"/>
    </row>
    <row r="291" spans="1:1" s="33" customFormat="1">
      <c r="A291" s="40"/>
    </row>
    <row r="292" spans="1:1" s="33" customFormat="1">
      <c r="A292" s="40"/>
    </row>
    <row r="293" spans="1:1" s="33" customFormat="1">
      <c r="A293" s="40"/>
    </row>
    <row r="294" spans="1:1" s="33" customFormat="1">
      <c r="A294" s="40"/>
    </row>
    <row r="295" spans="1:1" s="33" customFormat="1">
      <c r="A295" s="40"/>
    </row>
    <row r="296" spans="1:1" s="33" customFormat="1">
      <c r="A296" s="40"/>
    </row>
    <row r="297" spans="1:1" s="33" customFormat="1">
      <c r="A297" s="40"/>
    </row>
    <row r="298" spans="1:1" s="33" customFormat="1">
      <c r="A298" s="40"/>
    </row>
    <row r="299" spans="1:1" s="33" customFormat="1">
      <c r="A299" s="40"/>
    </row>
    <row r="300" spans="1:1" s="33" customFormat="1">
      <c r="A300" s="40"/>
    </row>
    <row r="301" spans="1:1" s="33" customFormat="1">
      <c r="A301" s="40"/>
    </row>
    <row r="302" spans="1:1" s="33" customFormat="1">
      <c r="A302" s="40"/>
    </row>
    <row r="303" spans="1:1" s="33" customFormat="1">
      <c r="A303" s="40"/>
    </row>
    <row r="304" spans="1:1" s="33" customFormat="1">
      <c r="A304" s="40"/>
    </row>
    <row r="305" spans="1:1" s="33" customFormat="1">
      <c r="A305" s="40"/>
    </row>
    <row r="306" spans="1:1" s="33" customFormat="1">
      <c r="A306" s="40"/>
    </row>
    <row r="307" spans="1:1" s="33" customFormat="1">
      <c r="A307" s="40"/>
    </row>
    <row r="308" spans="1:1" s="33" customFormat="1">
      <c r="A308" s="40"/>
    </row>
    <row r="309" spans="1:1" s="33" customFormat="1">
      <c r="A309" s="40"/>
    </row>
    <row r="310" spans="1:1" s="33" customFormat="1">
      <c r="A310" s="40"/>
    </row>
    <row r="311" spans="1:1" s="33" customFormat="1">
      <c r="A311" s="40"/>
    </row>
    <row r="312" spans="1:1" s="33" customFormat="1">
      <c r="A312" s="40"/>
    </row>
    <row r="313" spans="1:1" s="33" customFormat="1">
      <c r="A313" s="40"/>
    </row>
    <row r="314" spans="1:1" s="33" customFormat="1">
      <c r="A314" s="40"/>
    </row>
    <row r="315" spans="1:1" s="33" customFormat="1">
      <c r="A315" s="40"/>
    </row>
    <row r="316" spans="1:1" s="33" customFormat="1">
      <c r="A316" s="40"/>
    </row>
    <row r="317" spans="1:1" s="33" customFormat="1">
      <c r="A317" s="40"/>
    </row>
    <row r="318" spans="1:1" s="33" customFormat="1">
      <c r="A318" s="40"/>
    </row>
    <row r="319" spans="1:1" s="33" customFormat="1">
      <c r="A319" s="40"/>
    </row>
    <row r="320" spans="1:1" s="33" customFormat="1">
      <c r="A320" s="40"/>
    </row>
    <row r="321" spans="1:1" s="33" customFormat="1">
      <c r="A321" s="40"/>
    </row>
    <row r="322" spans="1:1" s="33" customFormat="1">
      <c r="A322" s="40"/>
    </row>
    <row r="323" spans="1:1" s="33" customFormat="1">
      <c r="A323" s="40"/>
    </row>
    <row r="324" spans="1:1" s="33" customFormat="1">
      <c r="A324" s="40"/>
    </row>
    <row r="325" spans="1:1" s="33" customFormat="1">
      <c r="A325" s="40"/>
    </row>
    <row r="326" spans="1:1" s="33" customFormat="1">
      <c r="A326" s="40"/>
    </row>
    <row r="327" spans="1:1" s="33" customFormat="1">
      <c r="A327" s="40"/>
    </row>
    <row r="328" spans="1:1" s="33" customFormat="1">
      <c r="A328" s="40"/>
    </row>
    <row r="329" spans="1:1" s="33" customFormat="1">
      <c r="A329" s="40"/>
    </row>
    <row r="330" spans="1:1" s="33" customFormat="1">
      <c r="A330" s="40"/>
    </row>
    <row r="331" spans="1:1" s="33" customFormat="1">
      <c r="A331" s="40"/>
    </row>
    <row r="332" spans="1:1" s="33" customFormat="1">
      <c r="A332" s="40"/>
    </row>
    <row r="333" spans="1:1" s="33" customFormat="1">
      <c r="A333" s="40"/>
    </row>
    <row r="334" spans="1:1" s="33" customFormat="1">
      <c r="A334" s="40"/>
    </row>
    <row r="335" spans="1:1" s="33" customFormat="1">
      <c r="A335" s="40"/>
    </row>
    <row r="336" spans="1:1" s="33" customFormat="1">
      <c r="A336" s="40"/>
    </row>
    <row r="337" spans="1:1" s="33" customFormat="1">
      <c r="A337" s="40"/>
    </row>
    <row r="338" spans="1:1" s="33" customFormat="1">
      <c r="A338" s="40"/>
    </row>
    <row r="339" spans="1:1" s="33" customFormat="1">
      <c r="A339" s="40"/>
    </row>
    <row r="340" spans="1:1" s="33" customFormat="1">
      <c r="A340" s="40"/>
    </row>
    <row r="341" spans="1:1" s="33" customFormat="1">
      <c r="A341" s="40"/>
    </row>
    <row r="342" spans="1:1" s="33" customFormat="1">
      <c r="A342" s="40"/>
    </row>
    <row r="343" spans="1:1" s="33" customFormat="1">
      <c r="A343" s="40"/>
    </row>
    <row r="344" spans="1:1" s="33" customFormat="1">
      <c r="A344" s="40"/>
    </row>
    <row r="345" spans="1:1" s="33" customFormat="1">
      <c r="A345" s="40"/>
    </row>
    <row r="346" spans="1:1" s="33" customFormat="1">
      <c r="A346" s="40"/>
    </row>
    <row r="347" spans="1:1" s="33" customFormat="1">
      <c r="A347" s="40"/>
    </row>
    <row r="348" spans="1:1" s="33" customFormat="1">
      <c r="A348" s="40"/>
    </row>
    <row r="349" spans="1:1" s="33" customFormat="1">
      <c r="A349" s="40"/>
    </row>
    <row r="350" spans="1:1" s="33" customFormat="1">
      <c r="A350" s="40"/>
    </row>
    <row r="351" spans="1:1" s="33" customFormat="1">
      <c r="A351" s="40"/>
    </row>
    <row r="352" spans="1:1" s="33" customFormat="1">
      <c r="A352" s="40"/>
    </row>
    <row r="353" spans="1:1" s="33" customFormat="1">
      <c r="A353" s="40"/>
    </row>
    <row r="354" spans="1:1" s="33" customFormat="1">
      <c r="A354" s="40"/>
    </row>
    <row r="355" spans="1:1" s="33" customFormat="1">
      <c r="A355" s="40"/>
    </row>
    <row r="356" spans="1:1" s="33" customFormat="1">
      <c r="A356" s="40"/>
    </row>
    <row r="357" spans="1:1" s="33" customFormat="1">
      <c r="A357" s="40"/>
    </row>
    <row r="358" spans="1:1" s="33" customFormat="1">
      <c r="A358" s="40"/>
    </row>
    <row r="359" spans="1:1" s="33" customFormat="1">
      <c r="A359" s="40"/>
    </row>
    <row r="360" spans="1:1" s="33" customFormat="1">
      <c r="A360" s="40"/>
    </row>
    <row r="361" spans="1:1" s="33" customFormat="1">
      <c r="A361" s="40"/>
    </row>
    <row r="362" spans="1:1" s="33" customFormat="1">
      <c r="A362" s="40"/>
    </row>
    <row r="363" spans="1:1" s="33" customFormat="1">
      <c r="A363" s="40"/>
    </row>
    <row r="364" spans="1:1" s="33" customFormat="1">
      <c r="A364" s="40"/>
    </row>
    <row r="365" spans="1:1" s="33" customFormat="1">
      <c r="A365" s="40"/>
    </row>
    <row r="366" spans="1:1" s="33" customFormat="1">
      <c r="A366" s="40"/>
    </row>
    <row r="367" spans="1:1" s="33" customFormat="1">
      <c r="A367" s="40"/>
    </row>
    <row r="368" spans="1:1" s="33" customFormat="1">
      <c r="A368" s="40"/>
    </row>
    <row r="369" spans="1:1" s="33" customFormat="1">
      <c r="A369" s="40"/>
    </row>
    <row r="370" spans="1:1" s="33" customFormat="1">
      <c r="A370" s="40"/>
    </row>
    <row r="371" spans="1:1" s="33" customFormat="1">
      <c r="A371" s="40"/>
    </row>
    <row r="372" spans="1:1" s="33" customFormat="1">
      <c r="A372" s="40"/>
    </row>
    <row r="373" spans="1:1" s="33" customFormat="1">
      <c r="A373" s="40"/>
    </row>
    <row r="374" spans="1:1" s="33" customFormat="1">
      <c r="A374" s="40"/>
    </row>
    <row r="375" spans="1:1" s="33" customFormat="1">
      <c r="A375" s="40"/>
    </row>
    <row r="376" spans="1:1" s="33" customFormat="1">
      <c r="A376" s="40"/>
    </row>
    <row r="377" spans="1:1" s="33" customFormat="1">
      <c r="A377" s="40"/>
    </row>
    <row r="378" spans="1:1" s="33" customFormat="1">
      <c r="A378" s="40"/>
    </row>
    <row r="379" spans="1:1" s="33" customFormat="1">
      <c r="A379" s="40"/>
    </row>
    <row r="380" spans="1:1" s="33" customFormat="1">
      <c r="A380" s="40"/>
    </row>
    <row r="381" spans="1:1" s="33" customFormat="1">
      <c r="A381" s="40"/>
    </row>
    <row r="382" spans="1:1" s="33" customFormat="1">
      <c r="A382" s="40"/>
    </row>
    <row r="383" spans="1:1" s="33" customFormat="1">
      <c r="A383" s="40"/>
    </row>
    <row r="384" spans="1:1" s="33" customFormat="1">
      <c r="A384" s="40"/>
    </row>
    <row r="385" spans="1:1" s="33" customFormat="1">
      <c r="A385" s="40"/>
    </row>
    <row r="386" spans="1:1" s="33" customFormat="1">
      <c r="A386" s="40"/>
    </row>
    <row r="387" spans="1:1" s="33" customFormat="1">
      <c r="A387" s="40"/>
    </row>
    <row r="388" spans="1:1" s="33" customFormat="1">
      <c r="A388" s="40"/>
    </row>
    <row r="389" spans="1:1" s="33" customFormat="1">
      <c r="A389" s="40"/>
    </row>
    <row r="390" spans="1:1" s="33" customFormat="1">
      <c r="A390" s="40"/>
    </row>
    <row r="391" spans="1:1" s="33" customFormat="1">
      <c r="A391" s="40"/>
    </row>
    <row r="392" spans="1:1" s="33" customFormat="1">
      <c r="A392" s="40"/>
    </row>
    <row r="393" spans="1:1" s="33" customFormat="1">
      <c r="A393" s="40"/>
    </row>
    <row r="394" spans="1:1" s="33" customFormat="1">
      <c r="A394" s="40"/>
    </row>
    <row r="395" spans="1:1" s="33" customFormat="1">
      <c r="A395" s="40"/>
    </row>
    <row r="396" spans="1:1" s="33" customFormat="1">
      <c r="A396" s="40"/>
    </row>
    <row r="397" spans="1:1" s="33" customFormat="1">
      <c r="A397" s="40"/>
    </row>
    <row r="398" spans="1:1" s="33" customFormat="1">
      <c r="A398" s="40"/>
    </row>
    <row r="399" spans="1:1" s="33" customFormat="1">
      <c r="A399" s="40"/>
    </row>
    <row r="400" spans="1:1" s="33" customFormat="1">
      <c r="A400" s="40"/>
    </row>
    <row r="401" spans="1:1" s="33" customFormat="1">
      <c r="A401" s="40"/>
    </row>
    <row r="402" spans="1:1" s="33" customFormat="1">
      <c r="A402" s="40"/>
    </row>
    <row r="403" spans="1:1" s="33" customFormat="1">
      <c r="A403" s="40"/>
    </row>
    <row r="404" spans="1:1" s="33" customFormat="1">
      <c r="A404" s="40"/>
    </row>
    <row r="405" spans="1:1" s="33" customFormat="1">
      <c r="A405" s="40"/>
    </row>
    <row r="406" spans="1:1" s="33" customFormat="1">
      <c r="A406" s="40"/>
    </row>
    <row r="407" spans="1:1" s="33" customFormat="1">
      <c r="A407" s="40"/>
    </row>
    <row r="408" spans="1:1" s="33" customFormat="1">
      <c r="A408" s="40"/>
    </row>
    <row r="409" spans="1:1" s="33" customFormat="1">
      <c r="A409" s="40"/>
    </row>
    <row r="410" spans="1:1" s="33" customFormat="1">
      <c r="A410" s="40"/>
    </row>
    <row r="411" spans="1:1" s="33" customFormat="1">
      <c r="A411" s="40"/>
    </row>
    <row r="412" spans="1:1" s="33" customFormat="1">
      <c r="A412" s="40"/>
    </row>
    <row r="413" spans="1:1" s="33" customFormat="1">
      <c r="A413" s="40"/>
    </row>
    <row r="414" spans="1:1" s="33" customFormat="1">
      <c r="A414" s="40"/>
    </row>
    <row r="415" spans="1:1" s="33" customFormat="1">
      <c r="A415" s="40"/>
    </row>
    <row r="416" spans="1:1" s="33" customFormat="1">
      <c r="A416" s="40"/>
    </row>
    <row r="417" spans="1:1" s="33" customFormat="1">
      <c r="A417" s="40"/>
    </row>
    <row r="418" spans="1:1" s="33" customFormat="1">
      <c r="A418" s="40"/>
    </row>
    <row r="419" spans="1:1" s="33" customFormat="1">
      <c r="A419" s="40"/>
    </row>
    <row r="420" spans="1:1" s="33" customFormat="1">
      <c r="A420" s="40"/>
    </row>
    <row r="421" spans="1:1" s="33" customFormat="1">
      <c r="A421" s="40"/>
    </row>
    <row r="422" spans="1:1" s="33" customFormat="1">
      <c r="A422" s="40"/>
    </row>
    <row r="423" spans="1:1" s="33" customFormat="1">
      <c r="A423" s="40"/>
    </row>
    <row r="424" spans="1:1" s="33" customFormat="1">
      <c r="A424" s="40"/>
    </row>
    <row r="425" spans="1:1" s="33" customFormat="1">
      <c r="A425" s="40"/>
    </row>
    <row r="426" spans="1:1" s="33" customFormat="1">
      <c r="A426" s="40"/>
    </row>
    <row r="427" spans="1:1" s="33" customFormat="1">
      <c r="A427" s="40"/>
    </row>
    <row r="428" spans="1:1" s="33" customFormat="1">
      <c r="A428" s="40"/>
    </row>
    <row r="429" spans="1:1" s="33" customFormat="1">
      <c r="A429" s="40"/>
    </row>
    <row r="430" spans="1:1" s="33" customFormat="1">
      <c r="A430" s="40"/>
    </row>
    <row r="431" spans="1:1" s="33" customFormat="1">
      <c r="A431" s="40"/>
    </row>
    <row r="432" spans="1:1" s="33" customFormat="1">
      <c r="A432" s="40"/>
    </row>
    <row r="433" spans="1:1" s="33" customFormat="1">
      <c r="A433" s="40"/>
    </row>
  </sheetData>
  <mergeCells count="23">
    <mergeCell ref="C3:E3"/>
    <mergeCell ref="C4:E4"/>
    <mergeCell ref="B2:E2"/>
    <mergeCell ref="B22:B29"/>
    <mergeCell ref="B6:G6"/>
    <mergeCell ref="B9:D9"/>
    <mergeCell ref="B13:E13"/>
    <mergeCell ref="B7:G7"/>
    <mergeCell ref="J20:J21"/>
    <mergeCell ref="B61:F61"/>
    <mergeCell ref="B38:B45"/>
    <mergeCell ref="B46:F46"/>
    <mergeCell ref="B19:J19"/>
    <mergeCell ref="B30:F30"/>
    <mergeCell ref="B31:F31"/>
    <mergeCell ref="B35:H35"/>
    <mergeCell ref="B53:B60"/>
    <mergeCell ref="H36:H37"/>
    <mergeCell ref="C45:G45"/>
    <mergeCell ref="C29:I29"/>
    <mergeCell ref="H51:H52"/>
    <mergeCell ref="C60:G60"/>
    <mergeCell ref="B50:H50"/>
  </mergeCells>
  <hyperlinks>
    <hyperlink ref="G30" r:id="rId1" xr:uid="{00000000-0004-0000-1200-000000000000}"/>
    <hyperlink ref="H46" r:id="rId2" xr:uid="{00000000-0004-0000-1200-000001000000}"/>
  </hyperlinks>
  <pageMargins left="0.75" right="0.75" top="1" bottom="1" header="0.5" footer="0.5"/>
  <pageSetup orientation="portrait"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249977111117893"/>
  </sheetPr>
  <dimension ref="A1:N76"/>
  <sheetViews>
    <sheetView showGridLines="0" topLeftCell="A10" zoomScaleNormal="100" workbookViewId="0">
      <selection activeCell="C20" sqref="C20"/>
    </sheetView>
  </sheetViews>
  <sheetFormatPr defaultRowHeight="12.75"/>
  <cols>
    <col min="1" max="1" width="2.7109375" style="24" customWidth="1"/>
    <col min="2" max="2" width="88.7109375" style="2" customWidth="1"/>
    <col min="3" max="3" width="20.42578125" style="7" customWidth="1"/>
    <col min="4" max="4" width="17.28515625" style="6" customWidth="1"/>
    <col min="5" max="5" width="22.85546875" style="6" customWidth="1"/>
    <col min="6" max="6" width="29.140625" style="6" customWidth="1"/>
    <col min="7" max="7" width="24.5703125" style="6" customWidth="1"/>
    <col min="8" max="8" width="26.28515625" style="6" customWidth="1"/>
    <col min="9" max="9" width="19.5703125" style="6" customWidth="1"/>
    <col min="10" max="10" width="21.7109375" style="6" customWidth="1"/>
    <col min="11" max="11" width="22.85546875" style="6" customWidth="1"/>
    <col min="12" max="12" width="15.7109375" style="6" customWidth="1"/>
    <col min="13" max="13" width="25.7109375" style="6" customWidth="1"/>
    <col min="14" max="14" width="15.7109375" style="24" customWidth="1"/>
    <col min="15" max="23" width="18.28515625" style="6" customWidth="1"/>
    <col min="24" max="16384" width="9.140625" style="6"/>
  </cols>
  <sheetData>
    <row r="1" spans="2:14" s="24" customFormat="1" ht="13.5" thickBot="1">
      <c r="B1" s="89"/>
      <c r="C1" s="89"/>
    </row>
    <row r="2" spans="2:14" s="24" customFormat="1" ht="23.25" customHeight="1" thickBot="1">
      <c r="B2" s="2244" t="s">
        <v>1758</v>
      </c>
      <c r="C2" s="2339"/>
      <c r="D2" s="2339"/>
      <c r="E2" s="1909"/>
    </row>
    <row r="3" spans="2:14" s="24" customFormat="1">
      <c r="B3" s="165" t="s">
        <v>430</v>
      </c>
      <c r="C3" s="2182" t="s">
        <v>443</v>
      </c>
      <c r="D3" s="2231"/>
      <c r="E3" s="2232"/>
    </row>
    <row r="4" spans="2:14" s="24" customFormat="1" ht="13.5" thickBot="1">
      <c r="B4" s="166" t="s">
        <v>1281</v>
      </c>
      <c r="C4" s="2233" t="s">
        <v>461</v>
      </c>
      <c r="D4" s="2048"/>
      <c r="E4" s="2049"/>
    </row>
    <row r="5" spans="2:14" s="24" customFormat="1" ht="13.5" thickBot="1">
      <c r="B5" s="1875"/>
      <c r="C5" s="1875"/>
      <c r="D5" s="1875"/>
      <c r="E5" s="1875"/>
    </row>
    <row r="6" spans="2:14" s="24" customFormat="1" ht="15.75" thickBot="1">
      <c r="B6" s="1936" t="s">
        <v>434</v>
      </c>
      <c r="C6" s="1937"/>
      <c r="D6" s="1937"/>
      <c r="E6" s="1938"/>
    </row>
    <row r="7" spans="2:14" s="24" customFormat="1" ht="199.5" customHeight="1" thickBot="1">
      <c r="B7" s="2070" t="s">
        <v>1759</v>
      </c>
      <c r="C7" s="2071"/>
      <c r="D7" s="2071"/>
      <c r="E7" s="2072"/>
    </row>
    <row r="8" spans="2:14" s="24" customFormat="1" ht="13.5" customHeight="1" thickBot="1">
      <c r="B8" s="1633"/>
      <c r="C8" s="25"/>
      <c r="D8" s="55"/>
      <c r="E8" s="55"/>
      <c r="F8" s="54"/>
      <c r="G8" s="54"/>
      <c r="H8" s="54"/>
      <c r="I8" s="54"/>
      <c r="J8" s="54"/>
      <c r="K8" s="54"/>
      <c r="L8" s="54"/>
      <c r="M8" s="53"/>
    </row>
    <row r="9" spans="2:14" s="24" customFormat="1" ht="18.75" customHeight="1" thickBot="1">
      <c r="B9" s="1961" t="s">
        <v>1760</v>
      </c>
      <c r="C9" s="2205"/>
      <c r="D9" s="2206"/>
      <c r="E9" s="54"/>
      <c r="F9" s="55"/>
      <c r="G9" s="54"/>
      <c r="H9" s="54"/>
      <c r="I9" s="54"/>
      <c r="J9" s="54"/>
      <c r="K9" s="54"/>
      <c r="L9" s="54"/>
      <c r="M9" s="54"/>
      <c r="N9" s="53"/>
    </row>
    <row r="10" spans="2:14" s="24" customFormat="1" ht="28.5" customHeight="1">
      <c r="B10" s="1419" t="s">
        <v>919</v>
      </c>
      <c r="C10" s="1863" t="s">
        <v>1414</v>
      </c>
      <c r="D10" s="1881" t="s">
        <v>1416</v>
      </c>
      <c r="E10" s="55"/>
      <c r="F10" s="54"/>
      <c r="G10" s="54"/>
      <c r="H10" s="54"/>
      <c r="I10" s="54"/>
      <c r="J10" s="54"/>
      <c r="K10" s="54"/>
      <c r="L10" s="54"/>
      <c r="M10" s="53"/>
    </row>
    <row r="11" spans="2:14" s="24" customFormat="1">
      <c r="B11" s="1234" t="s">
        <v>1761</v>
      </c>
      <c r="C11" s="916">
        <v>0</v>
      </c>
      <c r="D11" s="1634">
        <f>D32</f>
        <v>0</v>
      </c>
      <c r="E11" s="1236"/>
      <c r="F11" s="54"/>
      <c r="G11" s="54"/>
      <c r="H11" s="54"/>
      <c r="I11" s="54"/>
      <c r="J11" s="54"/>
      <c r="K11" s="54"/>
      <c r="L11" s="54"/>
      <c r="M11" s="53"/>
    </row>
    <row r="12" spans="2:14" s="24" customFormat="1">
      <c r="B12" s="1234" t="s">
        <v>1762</v>
      </c>
      <c r="C12" s="916">
        <f>C70</f>
        <v>55.089449999999999</v>
      </c>
      <c r="D12" s="1634">
        <f>C71</f>
        <v>1.2398207887999999</v>
      </c>
      <c r="E12" s="1236"/>
      <c r="F12" s="54"/>
      <c r="G12" s="54"/>
      <c r="H12" s="54"/>
      <c r="I12" s="54"/>
      <c r="J12" s="54"/>
      <c r="K12" s="54"/>
      <c r="L12" s="54"/>
      <c r="M12" s="53"/>
    </row>
    <row r="13" spans="2:14" s="24" customFormat="1" ht="15" customHeight="1" thickBot="1">
      <c r="B13" s="326" t="s">
        <v>1763</v>
      </c>
      <c r="C13" s="1707">
        <f>SUM(C11:C12)</f>
        <v>55.089449999999999</v>
      </c>
      <c r="D13" s="1784">
        <f>SUM(D11:D12)</f>
        <v>1.2398207887999999</v>
      </c>
      <c r="E13" s="55"/>
      <c r="F13" s="54"/>
      <c r="G13" s="54"/>
      <c r="H13" s="54"/>
      <c r="I13" s="54"/>
      <c r="J13" s="54"/>
      <c r="K13" s="54"/>
      <c r="L13" s="54"/>
      <c r="M13" s="53"/>
    </row>
    <row r="14" spans="2:14" s="24" customFormat="1" ht="13.5" customHeight="1" thickBot="1">
      <c r="B14" s="1633"/>
      <c r="C14" s="25"/>
      <c r="D14" s="55"/>
      <c r="E14" s="55"/>
      <c r="F14" s="54"/>
      <c r="G14" s="54"/>
      <c r="H14" s="54"/>
      <c r="I14" s="54"/>
      <c r="J14" s="54"/>
      <c r="K14" s="54"/>
      <c r="L14" s="54"/>
      <c r="M14" s="53"/>
    </row>
    <row r="15" spans="2:14" s="24" customFormat="1" ht="16.5" customHeight="1">
      <c r="B15" s="2391" t="s">
        <v>1764</v>
      </c>
      <c r="C15" s="2392"/>
      <c r="D15" s="55"/>
      <c r="E15" s="55"/>
      <c r="F15" s="54"/>
      <c r="G15" s="54"/>
      <c r="H15" s="54"/>
      <c r="I15" s="54"/>
      <c r="J15" s="54"/>
      <c r="K15" s="54"/>
      <c r="L15" s="54"/>
      <c r="M15" s="53"/>
    </row>
    <row r="16" spans="2:14" s="24" customFormat="1" ht="13.5" customHeight="1">
      <c r="B16" s="1880" t="s">
        <v>919</v>
      </c>
      <c r="C16" s="1882" t="s">
        <v>425</v>
      </c>
      <c r="D16" s="55"/>
      <c r="E16" s="55"/>
      <c r="F16" s="54"/>
      <c r="G16" s="54"/>
      <c r="H16" s="54"/>
      <c r="I16" s="54"/>
      <c r="J16" s="54"/>
      <c r="K16" s="54"/>
      <c r="L16" s="54"/>
      <c r="M16" s="53"/>
    </row>
    <row r="17" spans="2:13" s="24" customFormat="1" ht="13.5" customHeight="1">
      <c r="B17" s="1234" t="s">
        <v>1765</v>
      </c>
      <c r="C17" s="1635">
        <f>Inputs!C311</f>
        <v>17200</v>
      </c>
      <c r="D17" s="55"/>
      <c r="E17" s="55"/>
      <c r="F17" s="54"/>
      <c r="G17" s="54"/>
      <c r="H17" s="54"/>
      <c r="I17" s="54"/>
      <c r="J17" s="54"/>
      <c r="K17" s="54"/>
      <c r="L17" s="54"/>
      <c r="M17" s="53"/>
    </row>
    <row r="18" spans="2:13" s="24" customFormat="1" ht="13.5" customHeight="1">
      <c r="B18" s="1234" t="s">
        <v>1766</v>
      </c>
      <c r="C18" s="1636">
        <f>IF(Inputs!C306="None of these WWTPs",0,Inputs!C308)</f>
        <v>0</v>
      </c>
      <c r="D18" s="55"/>
      <c r="E18" s="55"/>
      <c r="F18" s="54"/>
      <c r="G18" s="54"/>
      <c r="H18" s="54"/>
      <c r="I18" s="54"/>
      <c r="J18" s="54"/>
      <c r="K18" s="54"/>
      <c r="L18" s="54"/>
      <c r="M18" s="53"/>
    </row>
    <row r="19" spans="2:13" s="24" customFormat="1" ht="13.5" customHeight="1">
      <c r="B19" s="1235" t="s">
        <v>1767</v>
      </c>
      <c r="C19" s="1637">
        <f>C17*C18</f>
        <v>0</v>
      </c>
      <c r="D19" s="55"/>
      <c r="E19" s="55"/>
      <c r="F19" s="54"/>
      <c r="G19" s="54"/>
      <c r="H19" s="54"/>
      <c r="I19" s="54"/>
      <c r="J19" s="54"/>
      <c r="K19" s="54"/>
      <c r="L19" s="54"/>
      <c r="M19" s="53"/>
    </row>
    <row r="20" spans="2:13" s="24" customFormat="1" ht="13.5" customHeight="1" thickBot="1">
      <c r="B20" s="889" t="s">
        <v>1768</v>
      </c>
      <c r="C20" s="1711">
        <f>C17*(1-C18)</f>
        <v>17200</v>
      </c>
      <c r="D20" s="55"/>
      <c r="E20" s="55"/>
      <c r="F20" s="54"/>
      <c r="G20" s="54"/>
      <c r="H20" s="54"/>
      <c r="I20" s="54"/>
      <c r="J20" s="54"/>
      <c r="K20" s="54"/>
      <c r="L20" s="54"/>
      <c r="M20" s="53"/>
    </row>
    <row r="21" spans="2:13" s="24" customFormat="1" ht="13.5" customHeight="1" thickBot="1">
      <c r="B21" s="1633"/>
      <c r="C21" s="25"/>
      <c r="D21" s="55"/>
      <c r="E21" s="55"/>
      <c r="F21" s="54"/>
      <c r="G21" s="54"/>
      <c r="H21" s="54"/>
      <c r="I21" s="54"/>
      <c r="J21" s="54"/>
      <c r="K21" s="54"/>
      <c r="L21" s="54"/>
      <c r="M21" s="53"/>
    </row>
    <row r="22" spans="2:13" s="24" customFormat="1" ht="18.75" customHeight="1" thickBot="1">
      <c r="B22" s="2389" t="s">
        <v>13</v>
      </c>
      <c r="C22" s="2168"/>
      <c r="D22" s="2390"/>
      <c r="E22" s="54"/>
      <c r="F22" s="54"/>
      <c r="G22" s="53"/>
    </row>
    <row r="23" spans="2:13" s="24" customFormat="1" ht="55.5" customHeight="1">
      <c r="B23" s="1874" t="s">
        <v>418</v>
      </c>
      <c r="C23" s="111" t="s">
        <v>1769</v>
      </c>
      <c r="D23" s="112" t="s">
        <v>425</v>
      </c>
      <c r="E23" s="54"/>
      <c r="F23" s="54"/>
      <c r="G23" s="53"/>
    </row>
    <row r="24" spans="2:13" s="24" customFormat="1">
      <c r="B24" s="1638" t="s">
        <v>1770</v>
      </c>
      <c r="C24" s="1639" t="s">
        <v>1771</v>
      </c>
      <c r="D24" s="1640">
        <f>C19</f>
        <v>0</v>
      </c>
      <c r="E24" s="54"/>
      <c r="F24" s="54"/>
      <c r="G24" s="53"/>
    </row>
    <row r="25" spans="2:13" s="24" customFormat="1">
      <c r="B25" s="1638" t="s">
        <v>1772</v>
      </c>
      <c r="C25" s="1639" t="s">
        <v>1773</v>
      </c>
      <c r="D25" s="1641">
        <f>'Adjust Inventory Year'!D122</f>
        <v>34.1</v>
      </c>
      <c r="E25" s="54"/>
      <c r="F25" s="54"/>
      <c r="G25" s="53"/>
    </row>
    <row r="26" spans="2:13" s="24" customFormat="1">
      <c r="B26" s="1642" t="s">
        <v>1774</v>
      </c>
      <c r="C26" s="1639" t="s">
        <v>1775</v>
      </c>
      <c r="D26" s="1602">
        <v>1.4</v>
      </c>
      <c r="E26" s="54"/>
      <c r="F26" s="54"/>
      <c r="G26" s="53"/>
    </row>
    <row r="27" spans="2:13" s="24" customFormat="1">
      <c r="B27" s="1642" t="s">
        <v>1776</v>
      </c>
      <c r="C27" s="1639" t="s">
        <v>1777</v>
      </c>
      <c r="D27" s="1602">
        <v>0.16</v>
      </c>
      <c r="E27" s="54"/>
      <c r="F27" s="54"/>
      <c r="G27" s="53"/>
    </row>
    <row r="28" spans="2:13" s="24" customFormat="1">
      <c r="B28" s="1642" t="s">
        <v>1778</v>
      </c>
      <c r="C28" s="1639" t="s">
        <v>1779</v>
      </c>
      <c r="D28" s="1602">
        <v>1.25</v>
      </c>
      <c r="E28" s="54"/>
      <c r="F28" s="54"/>
      <c r="G28" s="53"/>
    </row>
    <row r="29" spans="2:13" s="24" customFormat="1">
      <c r="B29" s="1642" t="s">
        <v>1780</v>
      </c>
      <c r="C29" s="1639" t="s">
        <v>1781</v>
      </c>
      <c r="D29" s="1640">
        <v>0</v>
      </c>
      <c r="E29" s="54"/>
      <c r="F29" s="54"/>
      <c r="G29" s="53"/>
    </row>
    <row r="30" spans="2:13" s="24" customFormat="1">
      <c r="B30" s="1642" t="s">
        <v>1782</v>
      </c>
      <c r="C30" s="1639" t="s">
        <v>1783</v>
      </c>
      <c r="D30" s="1643">
        <v>5.0000000000000001E-3</v>
      </c>
      <c r="E30" s="54"/>
      <c r="F30" s="54"/>
      <c r="G30" s="53"/>
    </row>
    <row r="31" spans="2:13" s="24" customFormat="1">
      <c r="B31" s="1642" t="s">
        <v>1784</v>
      </c>
      <c r="C31" s="1644" t="s">
        <v>1785</v>
      </c>
      <c r="D31" s="1602">
        <f>44/28</f>
        <v>1.5714285714285714</v>
      </c>
      <c r="E31" s="54"/>
      <c r="F31" s="54"/>
      <c r="G31" s="53"/>
    </row>
    <row r="32" spans="2:13" s="24" customFormat="1" ht="13.5" thickBot="1">
      <c r="B32" s="2387" t="s">
        <v>1786</v>
      </c>
      <c r="C32" s="2388"/>
      <c r="D32" s="437">
        <f>((D24*D25*D26*D27*D28)-D29)*D30*D31*0.001</f>
        <v>0</v>
      </c>
      <c r="E32" s="54"/>
      <c r="F32" s="54"/>
      <c r="G32" s="53"/>
    </row>
    <row r="33" spans="2:13" s="24" customFormat="1" ht="56.25" customHeight="1" thickBot="1">
      <c r="B33" s="2194" t="s">
        <v>1787</v>
      </c>
      <c r="C33" s="2368"/>
      <c r="D33" s="888" t="s">
        <v>1788</v>
      </c>
      <c r="E33" s="55"/>
      <c r="F33" s="54"/>
      <c r="G33" s="54"/>
      <c r="H33" s="54"/>
      <c r="I33" s="54"/>
      <c r="J33" s="54"/>
      <c r="K33" s="54"/>
      <c r="L33" s="54"/>
      <c r="M33" s="53"/>
    </row>
    <row r="34" spans="2:13" s="24" customFormat="1" ht="69.75" customHeight="1" thickBot="1">
      <c r="B34" s="2373" t="s">
        <v>1789</v>
      </c>
      <c r="C34" s="2160"/>
      <c r="D34" s="1785" t="s">
        <v>1790</v>
      </c>
      <c r="E34" s="55"/>
      <c r="F34" s="54"/>
      <c r="G34" s="54"/>
      <c r="H34" s="54"/>
      <c r="I34" s="54"/>
      <c r="J34" s="54"/>
      <c r="K34" s="54"/>
      <c r="L34" s="54"/>
      <c r="M34" s="53"/>
    </row>
    <row r="35" spans="2:13" s="24" customFormat="1" ht="13.5" customHeight="1">
      <c r="B35" s="1633"/>
      <c r="C35" s="25"/>
      <c r="D35" s="55"/>
      <c r="E35" s="55"/>
      <c r="F35" s="54"/>
      <c r="G35" s="54"/>
      <c r="H35" s="54"/>
      <c r="I35" s="54"/>
      <c r="J35" s="54"/>
      <c r="K35" s="54"/>
      <c r="L35" s="54"/>
      <c r="M35" s="53"/>
    </row>
    <row r="36" spans="2:13" s="24" customFormat="1" ht="13.5" customHeight="1">
      <c r="B36" s="1633"/>
      <c r="C36" s="25"/>
      <c r="D36" s="55"/>
      <c r="E36" s="55"/>
      <c r="F36" s="54"/>
      <c r="G36" s="54"/>
      <c r="H36" s="54"/>
      <c r="I36" s="54"/>
      <c r="J36" s="54"/>
      <c r="K36" s="54"/>
      <c r="L36" s="54"/>
      <c r="M36" s="53"/>
    </row>
    <row r="37" spans="2:13" s="24" customFormat="1" ht="13.5" customHeight="1">
      <c r="B37" s="1633"/>
      <c r="C37" s="25"/>
      <c r="D37" s="55"/>
      <c r="E37" s="55"/>
      <c r="F37" s="54"/>
      <c r="G37" s="54"/>
      <c r="H37" s="54"/>
      <c r="I37" s="54"/>
      <c r="J37" s="54"/>
      <c r="K37" s="54"/>
      <c r="L37" s="54"/>
      <c r="M37" s="53"/>
    </row>
    <row r="38" spans="2:13" s="24" customFormat="1" ht="13.5" customHeight="1">
      <c r="B38" s="1633"/>
      <c r="C38" s="25"/>
      <c r="D38" s="55"/>
      <c r="E38" s="55"/>
      <c r="F38" s="54"/>
      <c r="G38" s="54"/>
      <c r="H38" s="54"/>
      <c r="I38" s="54"/>
      <c r="J38" s="54"/>
      <c r="K38" s="54"/>
      <c r="L38" s="54"/>
      <c r="M38" s="53"/>
    </row>
    <row r="39" spans="2:13" s="24" customFormat="1" ht="13.5" customHeight="1">
      <c r="B39" s="1633"/>
      <c r="C39" s="25"/>
      <c r="D39" s="55"/>
      <c r="E39" s="55"/>
      <c r="F39" s="54"/>
      <c r="G39" s="54"/>
      <c r="H39" s="54"/>
      <c r="I39" s="54"/>
      <c r="J39" s="54"/>
      <c r="K39" s="54"/>
      <c r="L39" s="54"/>
      <c r="M39" s="53"/>
    </row>
    <row r="40" spans="2:13" s="24" customFormat="1" ht="13.5" customHeight="1">
      <c r="B40" s="1633"/>
      <c r="C40" s="25"/>
      <c r="D40" s="55"/>
      <c r="E40" s="55"/>
      <c r="F40" s="54"/>
      <c r="G40" s="54"/>
      <c r="H40" s="54"/>
      <c r="I40" s="54"/>
      <c r="J40" s="54"/>
      <c r="K40" s="54"/>
      <c r="L40" s="54"/>
      <c r="M40" s="53"/>
    </row>
    <row r="41" spans="2:13" s="24" customFormat="1" ht="13.5" customHeight="1">
      <c r="B41" s="1633"/>
      <c r="C41" s="25"/>
      <c r="D41" s="55"/>
      <c r="E41" s="55"/>
      <c r="F41" s="54"/>
      <c r="G41" s="54"/>
      <c r="H41" s="54"/>
      <c r="I41" s="54"/>
      <c r="J41" s="54"/>
      <c r="K41" s="54"/>
      <c r="L41" s="54"/>
      <c r="M41" s="53"/>
    </row>
    <row r="42" spans="2:13" s="24" customFormat="1" ht="13.5" customHeight="1">
      <c r="B42" s="1633"/>
      <c r="C42" s="25"/>
      <c r="D42" s="55"/>
      <c r="E42" s="55"/>
      <c r="F42" s="54"/>
      <c r="G42" s="54"/>
      <c r="H42" s="54"/>
      <c r="I42" s="54"/>
      <c r="J42" s="54"/>
      <c r="K42" s="54"/>
      <c r="L42" s="54"/>
      <c r="M42" s="53"/>
    </row>
    <row r="43" spans="2:13" s="24" customFormat="1" ht="13.5" customHeight="1">
      <c r="B43" s="1633"/>
      <c r="C43" s="25"/>
      <c r="D43" s="55"/>
      <c r="E43" s="55"/>
      <c r="F43" s="54"/>
      <c r="G43" s="54"/>
      <c r="H43" s="54"/>
      <c r="I43" s="54"/>
      <c r="J43" s="54"/>
      <c r="K43" s="54"/>
      <c r="L43" s="54"/>
      <c r="M43" s="53"/>
    </row>
    <row r="44" spans="2:13" s="24" customFormat="1" ht="13.5" customHeight="1">
      <c r="B44" s="1633"/>
      <c r="C44" s="25"/>
      <c r="D44" s="55"/>
      <c r="E44" s="55"/>
      <c r="F44" s="54"/>
      <c r="G44" s="54"/>
      <c r="H44" s="54"/>
      <c r="I44" s="54"/>
      <c r="J44" s="54"/>
      <c r="K44" s="54"/>
      <c r="L44" s="54"/>
      <c r="M44" s="53"/>
    </row>
    <row r="45" spans="2:13" s="24" customFormat="1" ht="13.5" customHeight="1">
      <c r="B45" s="1633"/>
      <c r="C45" s="25"/>
      <c r="D45" s="55"/>
      <c r="E45" s="55"/>
      <c r="F45" s="54"/>
      <c r="G45" s="54"/>
      <c r="H45" s="54"/>
      <c r="I45" s="54"/>
      <c r="J45" s="54"/>
      <c r="K45" s="54"/>
      <c r="L45" s="54"/>
      <c r="M45" s="53"/>
    </row>
    <row r="46" spans="2:13" s="24" customFormat="1" ht="13.5" customHeight="1">
      <c r="B46" s="1633"/>
      <c r="C46" s="25"/>
      <c r="D46" s="55"/>
      <c r="E46" s="55"/>
      <c r="F46" s="54"/>
      <c r="G46" s="54"/>
      <c r="H46" s="54"/>
      <c r="I46" s="54"/>
      <c r="J46" s="54"/>
      <c r="K46" s="54"/>
      <c r="L46" s="54"/>
      <c r="M46" s="53"/>
    </row>
    <row r="47" spans="2:13" s="24" customFormat="1" ht="13.5" customHeight="1">
      <c r="B47" s="1633"/>
      <c r="C47" s="25"/>
      <c r="D47" s="55"/>
      <c r="E47" s="55"/>
      <c r="F47" s="54"/>
      <c r="G47" s="54"/>
      <c r="H47" s="54"/>
      <c r="I47" s="54"/>
      <c r="J47" s="54"/>
      <c r="K47" s="54"/>
      <c r="L47" s="54"/>
      <c r="M47" s="53"/>
    </row>
    <row r="48" spans="2:13" s="24" customFormat="1" ht="13.5" customHeight="1">
      <c r="B48" s="1633"/>
      <c r="C48" s="25"/>
      <c r="D48" s="55"/>
      <c r="E48" s="55"/>
      <c r="F48" s="54"/>
      <c r="G48" s="54"/>
      <c r="H48" s="54"/>
      <c r="I48" s="54"/>
      <c r="J48" s="54"/>
      <c r="K48" s="54"/>
      <c r="L48" s="54"/>
      <c r="M48" s="53"/>
    </row>
    <row r="49" spans="2:13" s="24" customFormat="1" ht="13.5" customHeight="1">
      <c r="B49" s="1633"/>
      <c r="C49" s="25"/>
      <c r="D49" s="55"/>
      <c r="E49" s="55"/>
      <c r="F49" s="54"/>
      <c r="G49" s="54"/>
      <c r="H49" s="54"/>
      <c r="I49" s="54"/>
      <c r="J49" s="54"/>
      <c r="K49" s="54"/>
      <c r="L49" s="54"/>
      <c r="M49" s="53"/>
    </row>
    <row r="50" spans="2:13" s="24" customFormat="1" ht="13.5" customHeight="1">
      <c r="B50" s="1633"/>
      <c r="C50" s="25"/>
      <c r="D50" s="55"/>
      <c r="E50" s="55"/>
      <c r="F50" s="54"/>
      <c r="G50" s="54"/>
      <c r="H50" s="54"/>
      <c r="I50" s="54"/>
      <c r="J50" s="54"/>
      <c r="K50" s="54"/>
      <c r="L50" s="54"/>
      <c r="M50" s="53"/>
    </row>
    <row r="51" spans="2:13" s="24" customFormat="1" ht="13.5" customHeight="1">
      <c r="B51" s="1633"/>
      <c r="C51" s="25"/>
      <c r="D51" s="55"/>
      <c r="E51" s="55"/>
      <c r="F51" s="54"/>
      <c r="G51" s="54"/>
      <c r="H51" s="54"/>
      <c r="I51" s="54"/>
      <c r="J51" s="54"/>
      <c r="K51" s="54"/>
      <c r="L51" s="54"/>
      <c r="M51" s="53"/>
    </row>
    <row r="52" spans="2:13" s="24" customFormat="1" ht="13.5" customHeight="1">
      <c r="B52" s="1633"/>
      <c r="C52" s="25"/>
      <c r="D52" s="55"/>
      <c r="E52" s="55"/>
      <c r="F52" s="54"/>
      <c r="G52" s="54"/>
      <c r="H52" s="54"/>
      <c r="I52" s="54"/>
      <c r="J52" s="54"/>
      <c r="K52" s="54"/>
      <c r="L52" s="54"/>
      <c r="M52" s="53"/>
    </row>
    <row r="53" spans="2:13" s="24" customFormat="1" ht="13.5" customHeight="1">
      <c r="B53" s="1633"/>
      <c r="C53" s="25"/>
      <c r="D53" s="55"/>
      <c r="E53" s="55"/>
      <c r="F53" s="54"/>
      <c r="G53" s="54"/>
      <c r="H53" s="54"/>
      <c r="I53" s="54"/>
      <c r="J53" s="54"/>
      <c r="K53" s="54"/>
      <c r="L53" s="54"/>
      <c r="M53" s="53"/>
    </row>
    <row r="54" spans="2:13" s="24" customFormat="1" ht="13.5" customHeight="1">
      <c r="B54" s="1633"/>
      <c r="C54" s="25"/>
      <c r="D54" s="55"/>
      <c r="F54" s="54"/>
      <c r="G54" s="54"/>
      <c r="H54" s="54"/>
      <c r="I54" s="54"/>
      <c r="J54" s="54"/>
      <c r="K54" s="54"/>
      <c r="L54" s="54"/>
      <c r="M54" s="53"/>
    </row>
    <row r="55" spans="2:13" s="24" customFormat="1" ht="13.5" customHeight="1">
      <c r="B55" s="1633"/>
      <c r="C55" s="25"/>
      <c r="D55" s="55"/>
      <c r="E55" s="55"/>
      <c r="F55" s="54"/>
      <c r="G55" s="54"/>
      <c r="H55" s="54"/>
      <c r="I55" s="54"/>
      <c r="J55" s="54"/>
      <c r="K55" s="54"/>
      <c r="L55" s="54"/>
      <c r="M55" s="53"/>
    </row>
    <row r="56" spans="2:13" s="24" customFormat="1" ht="13.5" customHeight="1">
      <c r="B56" s="1633"/>
      <c r="C56" s="25"/>
      <c r="D56" s="55"/>
      <c r="E56" s="55"/>
      <c r="F56" s="54"/>
      <c r="G56" s="54"/>
      <c r="H56" s="54"/>
      <c r="I56" s="54"/>
      <c r="J56" s="54"/>
      <c r="K56" s="54"/>
      <c r="L56" s="54"/>
      <c r="M56" s="53"/>
    </row>
    <row r="57" spans="2:13" ht="13.5" thickBot="1">
      <c r="B57" s="24"/>
      <c r="C57" s="24"/>
      <c r="D57" s="24"/>
      <c r="E57" s="24"/>
      <c r="F57" s="24"/>
      <c r="G57" s="24"/>
      <c r="H57" s="24"/>
      <c r="I57" s="24"/>
      <c r="J57" s="24"/>
      <c r="K57" s="24"/>
      <c r="L57" s="24"/>
      <c r="M57" s="24"/>
    </row>
    <row r="58" spans="2:13" ht="40.5" customHeight="1" thickBot="1">
      <c r="B58" s="2389" t="s">
        <v>1791</v>
      </c>
      <c r="C58" s="2390"/>
      <c r="D58" s="24"/>
      <c r="E58" s="24"/>
      <c r="F58" s="24"/>
      <c r="G58" s="24"/>
      <c r="H58" s="24"/>
      <c r="I58" s="24"/>
      <c r="J58" s="24"/>
      <c r="K58" s="24"/>
      <c r="L58" s="24"/>
      <c r="M58" s="24"/>
    </row>
    <row r="59" spans="2:13" ht="42.75" customHeight="1">
      <c r="B59" s="1874" t="s">
        <v>424</v>
      </c>
      <c r="C59" s="112" t="s">
        <v>425</v>
      </c>
      <c r="D59" s="24"/>
      <c r="E59" s="24"/>
      <c r="F59" s="24"/>
      <c r="G59" s="24"/>
      <c r="H59" s="24"/>
      <c r="I59" s="24"/>
      <c r="J59" s="24"/>
      <c r="K59" s="24"/>
      <c r="L59" s="24"/>
      <c r="M59" s="24"/>
    </row>
    <row r="60" spans="2:13" ht="13.5" customHeight="1">
      <c r="B60" s="922" t="s">
        <v>426</v>
      </c>
      <c r="C60" s="1119">
        <v>0.34263796246875</v>
      </c>
      <c r="D60" s="24"/>
      <c r="E60" s="24"/>
      <c r="F60" s="24"/>
      <c r="G60" s="24"/>
      <c r="H60" s="24"/>
      <c r="I60" s="24"/>
      <c r="J60" s="24"/>
      <c r="K60" s="24"/>
      <c r="L60" s="24"/>
      <c r="M60" s="24"/>
    </row>
    <row r="61" spans="2:13" s="24" customFormat="1" ht="13.5" customHeight="1">
      <c r="B61" s="923" t="s">
        <v>1792</v>
      </c>
      <c r="C61" s="1120">
        <v>25</v>
      </c>
    </row>
    <row r="62" spans="2:13" s="24" customFormat="1" ht="13.5" customHeight="1">
      <c r="B62" s="923" t="s">
        <v>1793</v>
      </c>
      <c r="C62" s="882">
        <f>(C60/C61)*'Emission Factors'!$D$142</f>
        <v>13705.51849875</v>
      </c>
    </row>
    <row r="63" spans="2:13" s="24" customFormat="1" ht="13.5" customHeight="1">
      <c r="B63" s="922" t="s">
        <v>427</v>
      </c>
      <c r="C63" s="1121">
        <v>9.1918348309846951E-2</v>
      </c>
    </row>
    <row r="64" spans="2:13" ht="13.5" customHeight="1">
      <c r="B64" s="923" t="s">
        <v>1794</v>
      </c>
      <c r="C64" s="1120">
        <v>298</v>
      </c>
      <c r="D64" s="24"/>
      <c r="E64" s="24"/>
      <c r="F64" s="24"/>
      <c r="G64" s="24"/>
      <c r="H64" s="24"/>
      <c r="I64" s="24"/>
      <c r="J64" s="24"/>
      <c r="K64" s="24"/>
      <c r="L64" s="24"/>
      <c r="M64" s="24"/>
    </row>
    <row r="65" spans="2:13" ht="13.5" customHeight="1">
      <c r="B65" s="923" t="s">
        <v>1795</v>
      </c>
      <c r="C65" s="883">
        <f>(C63/C64)*'Emission Factors'!$D$142</f>
        <v>308.45083325451998</v>
      </c>
      <c r="D65" s="24"/>
      <c r="E65" s="24"/>
      <c r="F65" s="24"/>
      <c r="G65" s="24"/>
      <c r="H65" s="24"/>
      <c r="I65" s="24"/>
      <c r="J65" s="24"/>
      <c r="K65" s="24"/>
      <c r="L65" s="24"/>
      <c r="M65" s="24"/>
    </row>
    <row r="66" spans="2:13" ht="13.5" customHeight="1">
      <c r="B66" s="923" t="s">
        <v>428</v>
      </c>
      <c r="C66" s="882">
        <v>4279130</v>
      </c>
      <c r="D66" s="24"/>
      <c r="E66" s="24"/>
      <c r="F66" s="24"/>
      <c r="G66" s="24"/>
      <c r="H66" s="24"/>
      <c r="I66" s="24"/>
      <c r="J66" s="24"/>
      <c r="K66" s="24"/>
      <c r="L66" s="24"/>
      <c r="M66" s="24"/>
    </row>
    <row r="67" spans="2:13" ht="13.5" customHeight="1">
      <c r="B67" s="923" t="s">
        <v>1796</v>
      </c>
      <c r="C67" s="884">
        <f>C62/C66</f>
        <v>3.202875E-3</v>
      </c>
      <c r="D67" s="24"/>
      <c r="E67" s="24"/>
      <c r="F67" s="24"/>
      <c r="G67" s="24"/>
      <c r="H67" s="24"/>
      <c r="I67" s="24"/>
      <c r="J67" s="24"/>
      <c r="K67" s="24"/>
      <c r="L67" s="24"/>
      <c r="M67" s="24"/>
    </row>
    <row r="68" spans="2:13" ht="13.5" customHeight="1">
      <c r="B68" s="923" t="s">
        <v>1797</v>
      </c>
      <c r="C68" s="884">
        <f>C65/C66</f>
        <v>7.2082603999999991E-5</v>
      </c>
      <c r="D68" s="24"/>
      <c r="E68" s="24"/>
      <c r="F68" s="24"/>
      <c r="G68" s="24"/>
      <c r="H68" s="24"/>
      <c r="I68" s="24"/>
      <c r="J68" s="24"/>
      <c r="K68" s="24"/>
      <c r="L68" s="24"/>
      <c r="M68" s="24"/>
    </row>
    <row r="69" spans="2:13" ht="13.5" customHeight="1">
      <c r="B69" s="923" t="s">
        <v>1798</v>
      </c>
      <c r="C69" s="885">
        <f>C20</f>
        <v>17200</v>
      </c>
      <c r="D69" s="24"/>
      <c r="E69" s="24"/>
      <c r="F69" s="24"/>
      <c r="G69" s="24"/>
      <c r="H69" s="24"/>
      <c r="I69" s="24"/>
      <c r="J69" s="24"/>
      <c r="K69" s="24"/>
      <c r="L69" s="24"/>
      <c r="M69" s="24"/>
    </row>
    <row r="70" spans="2:13" ht="15" customHeight="1">
      <c r="B70" s="886" t="s">
        <v>1799</v>
      </c>
      <c r="C70" s="891">
        <f>C67*C69</f>
        <v>55.089449999999999</v>
      </c>
      <c r="D70" s="24"/>
      <c r="E70" s="24"/>
      <c r="F70" s="24"/>
      <c r="G70" s="24"/>
      <c r="H70" s="24"/>
      <c r="I70" s="24"/>
      <c r="J70" s="24"/>
      <c r="K70" s="24"/>
      <c r="L70" s="24"/>
      <c r="M70" s="24"/>
    </row>
    <row r="71" spans="2:13" s="24" customFormat="1" ht="15" customHeight="1" thickBot="1">
      <c r="B71" s="887" t="s">
        <v>1786</v>
      </c>
      <c r="C71" s="1786">
        <f>C68*C69</f>
        <v>1.2398207887999999</v>
      </c>
    </row>
    <row r="72" spans="2:13" ht="40.5" customHeight="1">
      <c r="B72" s="2393" t="s">
        <v>1800</v>
      </c>
      <c r="C72" s="2394"/>
      <c r="D72" s="890" t="s">
        <v>1801</v>
      </c>
      <c r="E72" s="389"/>
      <c r="F72" s="24"/>
      <c r="G72" s="24"/>
      <c r="H72" s="24"/>
      <c r="I72" s="24"/>
      <c r="J72" s="24"/>
      <c r="K72" s="24"/>
      <c r="L72" s="24"/>
      <c r="M72" s="24"/>
    </row>
    <row r="73" spans="2:13" ht="57" customHeight="1" thickBot="1">
      <c r="B73" s="2373" t="s">
        <v>1802</v>
      </c>
      <c r="C73" s="2160"/>
      <c r="D73" s="1785" t="s">
        <v>1803</v>
      </c>
      <c r="E73" s="389"/>
      <c r="F73" s="24"/>
      <c r="G73" s="24"/>
      <c r="H73" s="24"/>
      <c r="I73" s="24"/>
      <c r="J73" s="24"/>
      <c r="K73" s="24"/>
      <c r="L73" s="24"/>
      <c r="M73" s="24"/>
    </row>
    <row r="74" spans="2:13">
      <c r="B74" s="24"/>
      <c r="C74" s="24"/>
      <c r="D74" s="24"/>
      <c r="E74" s="24"/>
      <c r="F74" s="24"/>
      <c r="G74" s="24"/>
      <c r="H74" s="24"/>
      <c r="I74" s="24"/>
      <c r="J74" s="24"/>
      <c r="K74" s="24"/>
      <c r="L74" s="24"/>
      <c r="M74" s="24"/>
    </row>
    <row r="75" spans="2:13">
      <c r="B75" s="24"/>
      <c r="C75" s="24"/>
      <c r="D75" s="24"/>
      <c r="E75" s="24"/>
      <c r="F75" s="24"/>
      <c r="G75" s="24"/>
      <c r="H75" s="24"/>
      <c r="I75" s="24"/>
      <c r="J75" s="24"/>
      <c r="K75" s="24"/>
      <c r="L75" s="24"/>
      <c r="M75" s="24"/>
    </row>
    <row r="76" spans="2:13" ht="16.5" customHeight="1">
      <c r="B76" s="24"/>
      <c r="C76" s="24"/>
      <c r="D76" s="24"/>
      <c r="E76" s="24"/>
      <c r="F76" s="24"/>
      <c r="G76" s="24"/>
      <c r="H76" s="24"/>
      <c r="I76" s="24"/>
      <c r="J76" s="24"/>
      <c r="K76" s="24"/>
      <c r="L76" s="24"/>
      <c r="M76" s="24"/>
    </row>
  </sheetData>
  <mergeCells count="14">
    <mergeCell ref="B72:C72"/>
    <mergeCell ref="B73:C73"/>
    <mergeCell ref="B58:C58"/>
    <mergeCell ref="B33:C33"/>
    <mergeCell ref="B34:C34"/>
    <mergeCell ref="C3:E3"/>
    <mergeCell ref="C4:E4"/>
    <mergeCell ref="B2:E2"/>
    <mergeCell ref="B6:E6"/>
    <mergeCell ref="B32:C32"/>
    <mergeCell ref="B22:D22"/>
    <mergeCell ref="B7:E7"/>
    <mergeCell ref="B15:C15"/>
    <mergeCell ref="B9:D9"/>
  </mergeCells>
  <hyperlinks>
    <hyperlink ref="D33" r:id="rId1" display="EPA Inventory of U.S. Greenhosue Gas Emissions and Sinks: 1990-2017" xr:uid="{00000000-0004-0000-1300-000000000000}"/>
    <hyperlink ref="D72" r:id="rId2" xr:uid="{00000000-0004-0000-1300-000001000000}"/>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DECD7-9BD6-4E04-B8BC-2088555930B2}">
  <dimension ref="A1:D37"/>
  <sheetViews>
    <sheetView topLeftCell="A5" workbookViewId="0">
      <selection activeCell="D35" sqref="D35"/>
    </sheetView>
  </sheetViews>
  <sheetFormatPr defaultRowHeight="12.75"/>
  <cols>
    <col min="1" max="1" width="18" customWidth="1"/>
    <col min="2" max="2" width="12.28515625" customWidth="1"/>
    <col min="3" max="3" width="66.140625" customWidth="1"/>
    <col min="4" max="4" width="76.85546875" customWidth="1"/>
  </cols>
  <sheetData>
    <row r="1" spans="1:4">
      <c r="A1" s="1565" t="s">
        <v>221</v>
      </c>
      <c r="B1" s="1565" t="s">
        <v>222</v>
      </c>
      <c r="C1" s="1565" t="s">
        <v>223</v>
      </c>
      <c r="D1" s="1565" t="s">
        <v>224</v>
      </c>
    </row>
    <row r="2" spans="1:4">
      <c r="A2" s="23" t="s">
        <v>225</v>
      </c>
      <c r="B2" s="1564">
        <v>44138</v>
      </c>
      <c r="C2" s="23" t="s">
        <v>226</v>
      </c>
      <c r="D2" s="23" t="s">
        <v>227</v>
      </c>
    </row>
    <row r="3" spans="1:4">
      <c r="A3" s="23" t="s">
        <v>225</v>
      </c>
      <c r="B3" s="1564">
        <v>44140</v>
      </c>
      <c r="C3" s="23" t="s">
        <v>228</v>
      </c>
      <c r="D3" s="23" t="s">
        <v>227</v>
      </c>
    </row>
    <row r="4" spans="1:4">
      <c r="A4" s="23" t="s">
        <v>225</v>
      </c>
      <c r="B4" s="1564">
        <v>44140</v>
      </c>
      <c r="C4" s="23" t="s">
        <v>229</v>
      </c>
      <c r="D4" s="23" t="s">
        <v>227</v>
      </c>
    </row>
    <row r="5" spans="1:4">
      <c r="A5" s="23" t="s">
        <v>225</v>
      </c>
      <c r="B5" s="1564">
        <v>44140</v>
      </c>
      <c r="C5" s="23" t="s">
        <v>230</v>
      </c>
      <c r="D5" s="23" t="s">
        <v>227</v>
      </c>
    </row>
    <row r="6" spans="1:4">
      <c r="A6" s="23" t="s">
        <v>225</v>
      </c>
      <c r="B6" s="1564">
        <v>44140</v>
      </c>
      <c r="C6" s="23" t="s">
        <v>231</v>
      </c>
      <c r="D6" s="23" t="s">
        <v>227</v>
      </c>
    </row>
    <row r="7" spans="1:4">
      <c r="A7" s="23" t="s">
        <v>225</v>
      </c>
      <c r="B7" s="1564">
        <v>44140</v>
      </c>
      <c r="C7" s="23" t="s">
        <v>232</v>
      </c>
      <c r="D7" s="23" t="s">
        <v>227</v>
      </c>
    </row>
    <row r="8" spans="1:4">
      <c r="A8" s="23" t="s">
        <v>225</v>
      </c>
      <c r="B8" s="1564">
        <v>44140</v>
      </c>
      <c r="C8" s="23" t="s">
        <v>233</v>
      </c>
      <c r="D8" s="23" t="s">
        <v>227</v>
      </c>
    </row>
    <row r="9" spans="1:4">
      <c r="A9" s="23" t="s">
        <v>225</v>
      </c>
      <c r="B9" s="1564">
        <v>44140</v>
      </c>
      <c r="C9" s="23" t="s">
        <v>234</v>
      </c>
      <c r="D9" s="23" t="s">
        <v>235</v>
      </c>
    </row>
    <row r="10" spans="1:4">
      <c r="A10" s="23" t="s">
        <v>225</v>
      </c>
      <c r="B10" s="1564">
        <v>44140</v>
      </c>
      <c r="C10" s="23" t="s">
        <v>236</v>
      </c>
      <c r="D10" s="23"/>
    </row>
    <row r="11" spans="1:4">
      <c r="A11" s="23" t="s">
        <v>225</v>
      </c>
      <c r="B11" s="1564">
        <v>44140</v>
      </c>
      <c r="C11" s="23" t="s">
        <v>237</v>
      </c>
      <c r="D11" s="23" t="s">
        <v>227</v>
      </c>
    </row>
    <row r="12" spans="1:4">
      <c r="A12" s="23" t="s">
        <v>225</v>
      </c>
      <c r="B12" s="1564">
        <v>44140</v>
      </c>
      <c r="C12" s="23" t="s">
        <v>238</v>
      </c>
      <c r="D12" s="23" t="s">
        <v>227</v>
      </c>
    </row>
    <row r="13" spans="1:4">
      <c r="A13" s="23" t="s">
        <v>225</v>
      </c>
      <c r="B13" s="1564">
        <v>44140</v>
      </c>
      <c r="C13" s="23" t="s">
        <v>239</v>
      </c>
      <c r="D13" s="23" t="s">
        <v>227</v>
      </c>
    </row>
    <row r="14" spans="1:4">
      <c r="A14" s="23" t="s">
        <v>225</v>
      </c>
      <c r="B14" s="1564">
        <v>44140</v>
      </c>
      <c r="C14" s="23" t="s">
        <v>240</v>
      </c>
      <c r="D14" s="23" t="s">
        <v>241</v>
      </c>
    </row>
    <row r="15" spans="1:4">
      <c r="A15" s="23" t="s">
        <v>225</v>
      </c>
      <c r="B15" s="1564">
        <v>44140</v>
      </c>
      <c r="C15" s="23" t="s">
        <v>242</v>
      </c>
      <c r="D15" s="23" t="s">
        <v>227</v>
      </c>
    </row>
    <row r="16" spans="1:4">
      <c r="A16" s="23" t="s">
        <v>243</v>
      </c>
      <c r="B16" s="1564">
        <v>44146</v>
      </c>
      <c r="C16" s="23" t="s">
        <v>244</v>
      </c>
      <c r="D16" s="23" t="s">
        <v>245</v>
      </c>
    </row>
    <row r="17" spans="1:4">
      <c r="A17" s="23" t="s">
        <v>243</v>
      </c>
      <c r="B17" s="1564">
        <v>44146</v>
      </c>
      <c r="C17" s="23" t="s">
        <v>246</v>
      </c>
      <c r="D17" s="23" t="s">
        <v>245</v>
      </c>
    </row>
    <row r="18" spans="1:4">
      <c r="A18" s="23" t="s">
        <v>243</v>
      </c>
      <c r="B18" s="1564">
        <v>44146</v>
      </c>
      <c r="C18" s="23" t="s">
        <v>247</v>
      </c>
      <c r="D18" s="23" t="s">
        <v>245</v>
      </c>
    </row>
    <row r="19" spans="1:4">
      <c r="A19" s="23" t="s">
        <v>243</v>
      </c>
      <c r="B19" s="1564">
        <v>44146</v>
      </c>
      <c r="C19" s="23" t="s">
        <v>248</v>
      </c>
      <c r="D19" s="23" t="s">
        <v>245</v>
      </c>
    </row>
    <row r="20" spans="1:4">
      <c r="A20" s="23" t="s">
        <v>249</v>
      </c>
      <c r="B20" s="1564">
        <v>44146</v>
      </c>
      <c r="C20" s="23" t="s">
        <v>250</v>
      </c>
      <c r="D20" s="23" t="s">
        <v>251</v>
      </c>
    </row>
    <row r="21" spans="1:4">
      <c r="A21" s="23" t="s">
        <v>249</v>
      </c>
      <c r="B21" s="1564">
        <v>44146</v>
      </c>
      <c r="C21" s="23" t="s">
        <v>252</v>
      </c>
      <c r="D21" s="23" t="s">
        <v>251</v>
      </c>
    </row>
    <row r="22" spans="1:4">
      <c r="A22" s="23" t="s">
        <v>243</v>
      </c>
      <c r="B22" s="1564">
        <v>44146</v>
      </c>
      <c r="C22" s="23" t="s">
        <v>253</v>
      </c>
      <c r="D22" s="23" t="s">
        <v>245</v>
      </c>
    </row>
    <row r="23" spans="1:4">
      <c r="A23" s="23" t="s">
        <v>243</v>
      </c>
      <c r="B23" s="1564">
        <v>44146</v>
      </c>
      <c r="C23" s="23" t="s">
        <v>254</v>
      </c>
      <c r="D23" s="23"/>
    </row>
    <row r="24" spans="1:4">
      <c r="A24" s="23" t="s">
        <v>225</v>
      </c>
      <c r="B24" s="1564">
        <v>44146</v>
      </c>
      <c r="C24" s="23" t="s">
        <v>255</v>
      </c>
      <c r="D24" s="23" t="s">
        <v>256</v>
      </c>
    </row>
    <row r="25" spans="1:4">
      <c r="A25" s="23" t="s">
        <v>243</v>
      </c>
      <c r="B25" s="1564">
        <v>44146</v>
      </c>
      <c r="C25" s="23" t="s">
        <v>257</v>
      </c>
      <c r="D25" s="23" t="s">
        <v>258</v>
      </c>
    </row>
    <row r="26" spans="1:4">
      <c r="A26" s="23" t="s">
        <v>243</v>
      </c>
      <c r="B26" s="1564">
        <v>44146</v>
      </c>
      <c r="C26" s="23" t="s">
        <v>259</v>
      </c>
      <c r="D26" s="23" t="s">
        <v>260</v>
      </c>
    </row>
    <row r="27" spans="1:4">
      <c r="A27" s="23" t="s">
        <v>225</v>
      </c>
      <c r="B27" s="1564">
        <v>44146</v>
      </c>
      <c r="C27" s="23" t="s">
        <v>261</v>
      </c>
      <c r="D27" s="23" t="s">
        <v>256</v>
      </c>
    </row>
    <row r="28" spans="1:4">
      <c r="A28" s="23" t="s">
        <v>249</v>
      </c>
      <c r="B28" s="1564">
        <v>44146</v>
      </c>
      <c r="C28" s="23" t="s">
        <v>262</v>
      </c>
      <c r="D28" s="23"/>
    </row>
    <row r="29" spans="1:4">
      <c r="A29" s="23" t="s">
        <v>249</v>
      </c>
      <c r="B29" s="1564">
        <v>44146</v>
      </c>
      <c r="C29" s="23" t="s">
        <v>263</v>
      </c>
      <c r="D29" s="23"/>
    </row>
    <row r="30" spans="1:4">
      <c r="A30" s="23" t="s">
        <v>249</v>
      </c>
      <c r="B30" s="1564">
        <v>44146</v>
      </c>
      <c r="C30" s="23" t="s">
        <v>264</v>
      </c>
      <c r="D30" s="1261" t="s">
        <v>265</v>
      </c>
    </row>
    <row r="31" spans="1:4">
      <c r="A31" s="23" t="s">
        <v>243</v>
      </c>
      <c r="B31" s="1564">
        <v>44147</v>
      </c>
      <c r="C31" s="23" t="s">
        <v>266</v>
      </c>
      <c r="D31" s="23" t="s">
        <v>267</v>
      </c>
    </row>
    <row r="32" spans="1:4">
      <c r="A32" s="23" t="s">
        <v>243</v>
      </c>
      <c r="B32" s="1564">
        <v>44147</v>
      </c>
      <c r="C32" s="23" t="s">
        <v>268</v>
      </c>
      <c r="D32" s="23" t="s">
        <v>267</v>
      </c>
    </row>
    <row r="33" spans="1:4">
      <c r="A33" s="23" t="s">
        <v>243</v>
      </c>
      <c r="B33" s="1564">
        <v>44147</v>
      </c>
      <c r="C33" s="23" t="s">
        <v>269</v>
      </c>
      <c r="D33" s="23" t="s">
        <v>267</v>
      </c>
    </row>
    <row r="34" spans="1:4">
      <c r="A34" s="23" t="s">
        <v>243</v>
      </c>
      <c r="B34" s="1564">
        <v>44147</v>
      </c>
      <c r="C34" s="23" t="s">
        <v>270</v>
      </c>
      <c r="D34" s="23" t="s">
        <v>267</v>
      </c>
    </row>
    <row r="35" spans="1:4">
      <c r="A35" s="23" t="s">
        <v>249</v>
      </c>
      <c r="B35" s="1564">
        <v>44165</v>
      </c>
      <c r="C35" s="23" t="s">
        <v>271</v>
      </c>
      <c r="D35" s="23" t="s">
        <v>272</v>
      </c>
    </row>
    <row r="36" spans="1:4">
      <c r="A36" s="23" t="s">
        <v>243</v>
      </c>
      <c r="B36" s="1564">
        <v>44165</v>
      </c>
      <c r="C36" s="23" t="s">
        <v>273</v>
      </c>
      <c r="D36" s="23"/>
    </row>
    <row r="37" spans="1:4">
      <c r="A37" s="23" t="s">
        <v>243</v>
      </c>
      <c r="B37" s="1564">
        <v>44165</v>
      </c>
      <c r="C37" s="23" t="s">
        <v>274</v>
      </c>
      <c r="D37" s="23" t="s">
        <v>275</v>
      </c>
    </row>
  </sheetData>
  <hyperlinks>
    <hyperlink ref="D30" r:id="rId1" xr:uid="{33713472-A91E-451C-83E2-F7D256D4F04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A02-A0C4-4E4D-9DB3-8E7F02EF2A8F}">
  <sheetPr>
    <tabColor rgb="FFFF0000"/>
  </sheetPr>
  <dimension ref="A1:G37"/>
  <sheetViews>
    <sheetView workbookViewId="0">
      <selection activeCell="E12" sqref="E12"/>
    </sheetView>
  </sheetViews>
  <sheetFormatPr defaultRowHeight="12.75"/>
  <cols>
    <col min="2" max="2" width="41.5703125" customWidth="1"/>
    <col min="3" max="3" width="24.7109375" customWidth="1"/>
    <col min="4" max="4" width="27.5703125" customWidth="1"/>
    <col min="5" max="5" width="27.7109375" customWidth="1"/>
  </cols>
  <sheetData>
    <row r="1" spans="1:7">
      <c r="A1" s="1787"/>
      <c r="B1" s="1787"/>
      <c r="C1" s="1787"/>
      <c r="D1" s="1787"/>
      <c r="E1" s="1787"/>
      <c r="F1" s="1787"/>
      <c r="G1" s="1787"/>
    </row>
    <row r="2" spans="1:7">
      <c r="A2" s="1787"/>
      <c r="B2" s="1963"/>
      <c r="C2" s="1963"/>
      <c r="D2" s="1787"/>
      <c r="E2" s="1787"/>
      <c r="F2" s="1787"/>
      <c r="G2" s="1787"/>
    </row>
    <row r="3" spans="1:7">
      <c r="A3" s="1787"/>
      <c r="B3" s="1963"/>
      <c r="C3" s="1963"/>
      <c r="D3" s="1787"/>
      <c r="E3" s="1787"/>
      <c r="F3" s="1787"/>
      <c r="G3" s="1787"/>
    </row>
    <row r="4" spans="1:7">
      <c r="A4" s="1787"/>
      <c r="B4" s="1963"/>
      <c r="C4" s="1963"/>
      <c r="D4" s="1787"/>
      <c r="E4" s="1787"/>
      <c r="F4" s="1787"/>
      <c r="G4" s="1787"/>
    </row>
    <row r="5" spans="1:7">
      <c r="A5" s="1787"/>
      <c r="B5" s="1963"/>
      <c r="C5" s="1963"/>
      <c r="D5" s="1787"/>
      <c r="E5" s="1787"/>
      <c r="F5" s="1787"/>
      <c r="G5" s="1787"/>
    </row>
    <row r="6" spans="1:7">
      <c r="A6" s="1787"/>
      <c r="B6" s="1963"/>
      <c r="C6" s="1963"/>
      <c r="D6" s="1787"/>
      <c r="E6" s="1787"/>
      <c r="F6" s="1787"/>
      <c r="G6" s="1787"/>
    </row>
    <row r="7" spans="1:7">
      <c r="A7" s="1787"/>
      <c r="B7" s="1963"/>
      <c r="C7" s="1963"/>
      <c r="D7" s="1787"/>
      <c r="E7" s="1787"/>
      <c r="F7" s="1787"/>
      <c r="G7" s="1787"/>
    </row>
    <row r="8" spans="1:7">
      <c r="A8" s="1787"/>
      <c r="B8" s="1963"/>
      <c r="C8" s="1963"/>
      <c r="D8" s="1787"/>
      <c r="E8" s="1787"/>
      <c r="F8" s="1787"/>
      <c r="G8" s="1787"/>
    </row>
    <row r="9" spans="1:7">
      <c r="A9" s="1787"/>
      <c r="B9" s="1787"/>
      <c r="C9" s="1787"/>
      <c r="D9" s="1787"/>
      <c r="E9" s="1787"/>
      <c r="F9" s="1787"/>
      <c r="G9" s="1787"/>
    </row>
    <row r="10" spans="1:7" ht="23.25">
      <c r="A10" s="1787"/>
      <c r="B10" s="1964" t="s">
        <v>276</v>
      </c>
      <c r="C10" s="1965"/>
      <c r="D10" s="1787"/>
      <c r="E10" s="1787"/>
      <c r="F10" s="1787"/>
      <c r="G10" s="1787"/>
    </row>
    <row r="11" spans="1:7">
      <c r="A11" s="1787"/>
      <c r="B11" s="1787"/>
      <c r="C11" s="1787"/>
      <c r="D11" s="1787"/>
      <c r="E11" s="1787"/>
      <c r="F11" s="1787"/>
      <c r="G11" s="1787"/>
    </row>
    <row r="12" spans="1:7">
      <c r="A12" s="1787"/>
      <c r="B12" s="1787"/>
      <c r="C12" s="1787"/>
      <c r="D12" s="1787"/>
      <c r="E12" s="1787"/>
      <c r="F12" s="1787"/>
      <c r="G12" s="1787"/>
    </row>
    <row r="13" spans="1:7">
      <c r="A13" s="1787"/>
      <c r="B13" s="1787"/>
      <c r="C13" s="1787"/>
      <c r="D13" s="1787"/>
      <c r="E13" s="1787"/>
      <c r="F13" s="1787"/>
      <c r="G13" s="1787"/>
    </row>
    <row r="14" spans="1:7">
      <c r="A14" s="1787"/>
      <c r="B14" s="1787"/>
      <c r="C14" s="1787"/>
      <c r="D14" s="1787"/>
      <c r="E14" s="1787"/>
      <c r="F14" s="1787"/>
      <c r="G14" s="1787"/>
    </row>
    <row r="15" spans="1:7" ht="15">
      <c r="A15" s="1787"/>
      <c r="B15" s="1966" t="s">
        <v>277</v>
      </c>
      <c r="C15" s="1967"/>
      <c r="D15" s="1787"/>
      <c r="E15" s="1787"/>
      <c r="F15" s="1787"/>
      <c r="G15" s="1787"/>
    </row>
    <row r="16" spans="1:7" ht="38.25">
      <c r="A16" s="1787"/>
      <c r="B16" s="1788" t="s">
        <v>278</v>
      </c>
      <c r="C16" s="1789" t="s">
        <v>278</v>
      </c>
      <c r="D16" s="1787"/>
      <c r="E16" s="1787"/>
      <c r="F16" s="1787"/>
      <c r="G16" s="1787"/>
    </row>
    <row r="17" spans="1:7">
      <c r="A17" s="1787"/>
      <c r="B17" s="1790" t="s">
        <v>279</v>
      </c>
      <c r="C17" s="1791">
        <v>5317638</v>
      </c>
      <c r="D17" s="1787"/>
      <c r="E17" s="1787"/>
      <c r="F17" s="1787"/>
      <c r="G17" s="1787"/>
    </row>
    <row r="18" spans="1:7">
      <c r="A18" s="1787"/>
      <c r="B18" s="1792" t="s">
        <v>280</v>
      </c>
      <c r="C18" s="1791">
        <v>53357</v>
      </c>
      <c r="D18" s="1787"/>
      <c r="E18" s="1787"/>
      <c r="F18" s="1787"/>
      <c r="G18" s="1787"/>
    </row>
    <row r="19" spans="1:7">
      <c r="A19" s="1787"/>
      <c r="B19" s="1793" t="s">
        <v>281</v>
      </c>
      <c r="C19" s="1794">
        <v>53357</v>
      </c>
      <c r="D19" s="1787"/>
      <c r="E19" s="1787"/>
      <c r="F19" s="1787"/>
      <c r="G19" s="1787"/>
    </row>
    <row r="20" spans="1:7">
      <c r="A20" s="1787"/>
      <c r="B20" s="1795"/>
      <c r="C20" s="1796"/>
      <c r="D20" s="1787"/>
      <c r="E20" s="1787"/>
      <c r="F20" s="1787"/>
      <c r="G20" s="1787"/>
    </row>
    <row r="21" spans="1:7">
      <c r="A21" s="1787"/>
      <c r="B21" s="1795"/>
      <c r="C21" s="1796"/>
      <c r="D21" s="1787"/>
      <c r="E21" s="1787"/>
      <c r="F21" s="1787"/>
      <c r="G21" s="1787"/>
    </row>
    <row r="22" spans="1:7" ht="23.25">
      <c r="A22" s="1787"/>
      <c r="B22" s="1964" t="s">
        <v>282</v>
      </c>
      <c r="C22" s="1968"/>
      <c r="D22" s="1968"/>
      <c r="E22" s="1965"/>
      <c r="F22" s="1787"/>
      <c r="G22" s="1787"/>
    </row>
    <row r="23" spans="1:7">
      <c r="A23" s="1787"/>
      <c r="B23" s="1795"/>
      <c r="C23" s="1796"/>
      <c r="D23" s="1787"/>
      <c r="E23" s="1787"/>
      <c r="F23" s="1787"/>
      <c r="G23" s="1787"/>
    </row>
    <row r="24" spans="1:7">
      <c r="A24" s="1787"/>
      <c r="B24" s="1787"/>
      <c r="C24" s="1787"/>
      <c r="D24" s="1787"/>
      <c r="E24" s="1787"/>
      <c r="F24" s="1787"/>
      <c r="G24" s="1787"/>
    </row>
    <row r="25" spans="1:7">
      <c r="A25" s="1787"/>
      <c r="B25" s="1981" t="s">
        <v>283</v>
      </c>
      <c r="C25" s="1982"/>
      <c r="D25" s="1983"/>
      <c r="E25" s="1978" t="s">
        <v>284</v>
      </c>
      <c r="F25" s="1787"/>
      <c r="G25" s="1787"/>
    </row>
    <row r="26" spans="1:7">
      <c r="A26" s="23"/>
      <c r="B26" s="1972" t="s">
        <v>285</v>
      </c>
      <c r="C26" s="1973"/>
      <c r="D26" s="1974"/>
      <c r="E26" s="1979"/>
      <c r="F26" s="23"/>
      <c r="G26" s="23"/>
    </row>
    <row r="27" spans="1:7" ht="17.25" customHeight="1">
      <c r="A27" s="1798"/>
      <c r="B27" s="1975"/>
      <c r="C27" s="1976"/>
      <c r="D27" s="1977"/>
      <c r="E27" s="1980"/>
      <c r="F27" s="23"/>
      <c r="G27" s="23"/>
    </row>
    <row r="28" spans="1:7" ht="15">
      <c r="A28" s="1787"/>
      <c r="B28" s="1969" t="s">
        <v>286</v>
      </c>
      <c r="C28" s="1970"/>
      <c r="D28" s="1970"/>
      <c r="E28" s="1971"/>
      <c r="F28" s="1787"/>
      <c r="G28" s="1787"/>
    </row>
    <row r="29" spans="1:7">
      <c r="A29" s="1787"/>
      <c r="B29" s="1799" t="s">
        <v>287</v>
      </c>
      <c r="C29" s="1797" t="s">
        <v>288</v>
      </c>
      <c r="D29" s="1797" t="s">
        <v>289</v>
      </c>
      <c r="E29" s="1800" t="s">
        <v>290</v>
      </c>
      <c r="F29" s="1787"/>
      <c r="G29" s="1787"/>
    </row>
    <row r="30" spans="1:7">
      <c r="A30" s="1787"/>
      <c r="B30" s="1801" t="s">
        <v>291</v>
      </c>
      <c r="C30" s="1805">
        <v>5.72</v>
      </c>
      <c r="D30" s="1805">
        <v>0.27</v>
      </c>
      <c r="E30" s="1806">
        <v>0.05</v>
      </c>
      <c r="F30" s="1787"/>
      <c r="G30" s="1787"/>
    </row>
    <row r="31" spans="1:7">
      <c r="A31" s="1787"/>
      <c r="B31" s="1802"/>
      <c r="C31" s="1807"/>
      <c r="D31" s="1807"/>
      <c r="E31" s="1806"/>
      <c r="F31" s="1787"/>
      <c r="G31" s="1787"/>
    </row>
    <row r="32" spans="1:7">
      <c r="A32" s="1787"/>
      <c r="B32" s="1803"/>
      <c r="C32" s="1807"/>
      <c r="D32" s="1807"/>
      <c r="E32" s="1806"/>
      <c r="F32" s="1787"/>
      <c r="G32" s="1787"/>
    </row>
    <row r="33" spans="1:7">
      <c r="A33" s="1787"/>
      <c r="B33" s="1804"/>
      <c r="C33" s="1808"/>
      <c r="D33" s="1808"/>
      <c r="E33" s="1809"/>
      <c r="F33" s="1787"/>
      <c r="G33" s="1787"/>
    </row>
    <row r="34" spans="1:7">
      <c r="A34" s="1787"/>
      <c r="B34" s="1787"/>
      <c r="C34" s="1787"/>
      <c r="D34" s="1787"/>
      <c r="E34" s="1787"/>
      <c r="F34" s="1787"/>
      <c r="G34" s="1787"/>
    </row>
    <row r="35" spans="1:7">
      <c r="A35" s="1787"/>
      <c r="B35" s="1787"/>
      <c r="C35" s="1787"/>
      <c r="D35" s="1787"/>
      <c r="E35" s="1787"/>
      <c r="F35" s="1787"/>
      <c r="G35" s="1787"/>
    </row>
    <row r="36" spans="1:7">
      <c r="A36" s="1787"/>
      <c r="B36" s="1787"/>
      <c r="C36" s="1787"/>
      <c r="D36" s="1787"/>
      <c r="E36" s="1787"/>
      <c r="F36" s="1787"/>
      <c r="G36" s="1787"/>
    </row>
    <row r="37" spans="1:7">
      <c r="A37" s="1787"/>
      <c r="B37" s="1787"/>
      <c r="C37" s="1787"/>
      <c r="D37" s="1787"/>
      <c r="E37" s="1787"/>
      <c r="F37" s="1787"/>
      <c r="G37" s="1787"/>
    </row>
  </sheetData>
  <mergeCells count="8">
    <mergeCell ref="B2:C8"/>
    <mergeCell ref="B10:C10"/>
    <mergeCell ref="B15:C15"/>
    <mergeCell ref="B22:E22"/>
    <mergeCell ref="B28:E28"/>
    <mergeCell ref="B26:D27"/>
    <mergeCell ref="E25:E27"/>
    <mergeCell ref="B25:D25"/>
  </mergeCells>
  <hyperlinks>
    <hyperlink ref="E25" r:id="rId1" xr:uid="{D64B9384-5875-4235-A40D-CB3512138E82}"/>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G129"/>
  <sheetViews>
    <sheetView topLeftCell="A116" workbookViewId="0">
      <selection activeCell="D127" sqref="D127"/>
    </sheetView>
  </sheetViews>
  <sheetFormatPr defaultRowHeight="12.75"/>
  <cols>
    <col min="1" max="1" width="1.5703125" style="24" customWidth="1"/>
    <col min="2" max="2" width="48.42578125" style="24" customWidth="1"/>
    <col min="3" max="3" width="18.5703125" style="24" customWidth="1"/>
    <col min="4" max="4" width="19.140625" style="24" customWidth="1"/>
    <col min="5" max="5" width="23.42578125" style="24" customWidth="1"/>
    <col min="6" max="6" width="17.42578125" style="24" customWidth="1"/>
    <col min="7" max="7" width="15" style="24" customWidth="1"/>
    <col min="8" max="16384" width="9.140625" style="24"/>
  </cols>
  <sheetData>
    <row r="1" spans="2:7" ht="13.5" thickBot="1"/>
    <row r="2" spans="2:7" ht="24" customHeight="1" thickBot="1">
      <c r="B2" s="1921" t="s">
        <v>292</v>
      </c>
      <c r="C2" s="1922"/>
      <c r="D2" s="1922"/>
      <c r="E2" s="1923"/>
    </row>
    <row r="3" spans="2:7" ht="13.5" thickBot="1"/>
    <row r="4" spans="2:7" ht="107.25" customHeight="1" thickBot="1">
      <c r="B4" s="1928" t="s">
        <v>293</v>
      </c>
      <c r="C4" s="1929"/>
      <c r="D4" s="1929"/>
      <c r="E4" s="1930"/>
    </row>
    <row r="5" spans="2:7" ht="13.5" thickBot="1"/>
    <row r="6" spans="2:7" ht="13.5" thickBot="1">
      <c r="B6" s="572" t="s">
        <v>24</v>
      </c>
      <c r="C6" s="1229">
        <f>Inputs!C14</f>
        <v>2020</v>
      </c>
    </row>
    <row r="7" spans="2:7" ht="13.5" thickBot="1"/>
    <row r="8" spans="2:7" ht="31.5" customHeight="1" thickBot="1">
      <c r="B8" s="1921" t="s">
        <v>294</v>
      </c>
      <c r="C8" s="1924"/>
      <c r="D8" s="1924"/>
      <c r="E8" s="1909"/>
    </row>
    <row r="9" spans="2:7" ht="12" customHeight="1" thickBot="1">
      <c r="B9" s="1316"/>
      <c r="C9" s="1317"/>
      <c r="D9" s="1317"/>
      <c r="E9" s="607"/>
    </row>
    <row r="10" spans="2:7" ht="79.5" customHeight="1" thickBot="1">
      <c r="B10" s="1910" t="s">
        <v>295</v>
      </c>
      <c r="C10" s="1911"/>
      <c r="D10" s="1954"/>
      <c r="E10" s="1358" t="s">
        <v>296</v>
      </c>
      <c r="F10" s="1233" t="s">
        <v>284</v>
      </c>
    </row>
    <row r="11" spans="2:7" ht="26.25" customHeight="1" thickBot="1">
      <c r="B11" s="1987" t="s">
        <v>297</v>
      </c>
      <c r="C11" s="1988"/>
      <c r="D11" s="1988"/>
      <c r="E11" s="1988"/>
      <c r="F11" s="1989"/>
      <c r="G11" s="23"/>
    </row>
    <row r="12" spans="2:7">
      <c r="B12" s="1438" t="s">
        <v>287</v>
      </c>
      <c r="C12" s="1439" t="s">
        <v>298</v>
      </c>
      <c r="D12" s="1440" t="s">
        <v>299</v>
      </c>
      <c r="E12" s="1441" t="s">
        <v>300</v>
      </c>
      <c r="F12" s="1442" t="s">
        <v>301</v>
      </c>
    </row>
    <row r="13" spans="2:7">
      <c r="B13" s="274" t="s">
        <v>302</v>
      </c>
      <c r="C13" s="1449">
        <v>53.06</v>
      </c>
      <c r="D13" s="1454"/>
      <c r="E13" s="1454"/>
      <c r="F13" s="1443"/>
    </row>
    <row r="14" spans="2:7" ht="13.5" thickBot="1">
      <c r="B14" s="680" t="s">
        <v>303</v>
      </c>
      <c r="C14" s="1455"/>
      <c r="D14" s="1450">
        <v>7.3959999999999998E-2</v>
      </c>
      <c r="E14" s="1451">
        <v>3.0000000000000001E-6</v>
      </c>
      <c r="F14" s="1452">
        <v>5.9999999999999997E-7</v>
      </c>
    </row>
    <row r="15" spans="2:7" ht="13.5" thickBot="1">
      <c r="B15" s="1435"/>
      <c r="C15" s="1435"/>
      <c r="D15" s="1437"/>
      <c r="E15" s="1436"/>
      <c r="F15" s="1433"/>
      <c r="G15" s="1434"/>
    </row>
    <row r="16" spans="2:7" ht="174.75" customHeight="1" thickBot="1">
      <c r="B16" s="1910" t="s">
        <v>304</v>
      </c>
      <c r="C16" s="1911"/>
      <c r="D16" s="1954"/>
      <c r="E16" s="1358" t="s">
        <v>305</v>
      </c>
    </row>
    <row r="17" spans="2:5" s="1403" customFormat="1" ht="24.75" customHeight="1" thickBot="1">
      <c r="B17" s="1987" t="s">
        <v>306</v>
      </c>
      <c r="C17" s="1988"/>
      <c r="D17" s="1989"/>
      <c r="E17" s="23"/>
    </row>
    <row r="18" spans="2:5" ht="51" customHeight="1">
      <c r="B18" s="1406" t="s">
        <v>307</v>
      </c>
      <c r="C18" s="1393" t="s">
        <v>308</v>
      </c>
      <c r="D18" s="635" t="s">
        <v>309</v>
      </c>
    </row>
    <row r="19" spans="2:5">
      <c r="B19" s="1356" t="s">
        <v>310</v>
      </c>
      <c r="C19" s="1394">
        <v>670</v>
      </c>
      <c r="D19" s="1395"/>
    </row>
    <row r="20" spans="2:5">
      <c r="B20" s="1357" t="s">
        <v>311</v>
      </c>
      <c r="C20" s="1394">
        <v>5.8000000000000003E-2</v>
      </c>
      <c r="D20" s="1396"/>
    </row>
    <row r="21" spans="2:5">
      <c r="B21" s="1357" t="s">
        <v>312</v>
      </c>
      <c r="C21" s="1394">
        <v>8.0000000000000002E-3</v>
      </c>
      <c r="D21" s="1396"/>
    </row>
    <row r="22" spans="2:5" ht="13.5" thickBot="1">
      <c r="B22" s="1407" t="s">
        <v>313</v>
      </c>
      <c r="C22" s="1408"/>
      <c r="D22" s="1664">
        <v>580</v>
      </c>
    </row>
    <row r="23" spans="2:5" ht="13.5" thickBot="1"/>
    <row r="24" spans="2:5" ht="114" customHeight="1" thickBot="1">
      <c r="B24" s="1910" t="s">
        <v>314</v>
      </c>
      <c r="C24" s="1911"/>
      <c r="D24" s="1954"/>
      <c r="E24" s="1358" t="s">
        <v>305</v>
      </c>
    </row>
    <row r="25" spans="2:5" s="1403" customFormat="1" ht="23.25" customHeight="1" thickBot="1">
      <c r="B25" s="1987" t="s">
        <v>315</v>
      </c>
      <c r="C25" s="1988"/>
      <c r="D25" s="1988"/>
      <c r="E25" s="1989"/>
    </row>
    <row r="26" spans="2:5" ht="39" thickBot="1">
      <c r="B26" s="2003" t="s">
        <v>316</v>
      </c>
      <c r="C26" s="2004"/>
      <c r="D26" s="2005"/>
      <c r="E26" s="451" t="s">
        <v>317</v>
      </c>
    </row>
    <row r="27" spans="2:5">
      <c r="B27" s="2000" t="s">
        <v>318</v>
      </c>
      <c r="C27" s="2001"/>
      <c r="D27" s="2002"/>
      <c r="E27" s="1372">
        <v>0.14299999999999999</v>
      </c>
    </row>
    <row r="28" spans="2:5">
      <c r="B28" s="1990" t="s">
        <v>319</v>
      </c>
      <c r="C28" s="1991"/>
      <c r="D28" s="1992"/>
      <c r="E28" s="1373">
        <v>0.124</v>
      </c>
    </row>
    <row r="29" spans="2:5">
      <c r="B29" s="1984" t="s">
        <v>27</v>
      </c>
      <c r="C29" s="1985"/>
      <c r="D29" s="1986"/>
      <c r="E29" s="1373">
        <v>0.158</v>
      </c>
    </row>
    <row r="30" spans="2:5">
      <c r="B30" s="1984" t="s">
        <v>320</v>
      </c>
      <c r="C30" s="1985"/>
      <c r="D30" s="1986"/>
      <c r="E30" s="1374">
        <v>0.36</v>
      </c>
    </row>
    <row r="31" spans="2:5">
      <c r="B31" s="1984" t="s">
        <v>321</v>
      </c>
      <c r="C31" s="1985"/>
      <c r="D31" s="1986"/>
      <c r="E31" s="1375">
        <v>0.19600000000000001</v>
      </c>
    </row>
    <row r="32" spans="2:5">
      <c r="B32" s="1984" t="s">
        <v>322</v>
      </c>
      <c r="C32" s="1985"/>
      <c r="D32" s="1986"/>
      <c r="E32" s="1375">
        <v>0.42</v>
      </c>
    </row>
    <row r="33" spans="2:5">
      <c r="B33" s="1984" t="s">
        <v>323</v>
      </c>
      <c r="C33" s="1985"/>
      <c r="D33" s="1986"/>
      <c r="E33" s="1375">
        <v>0.247</v>
      </c>
    </row>
    <row r="34" spans="2:5">
      <c r="B34" s="1984" t="s">
        <v>324</v>
      </c>
      <c r="C34" s="1985"/>
      <c r="D34" s="1986"/>
      <c r="E34" s="1375">
        <v>0.10199999999999999</v>
      </c>
    </row>
    <row r="35" spans="2:5">
      <c r="B35" s="1984" t="s">
        <v>325</v>
      </c>
      <c r="C35" s="1985"/>
      <c r="D35" s="1986"/>
      <c r="E35" s="1375">
        <v>6.6000000000000003E-2</v>
      </c>
    </row>
    <row r="36" spans="2:5">
      <c r="B36" s="1984" t="s">
        <v>326</v>
      </c>
      <c r="C36" s="1985"/>
      <c r="D36" s="1986"/>
      <c r="E36" s="1375">
        <v>0.14399999999999999</v>
      </c>
    </row>
    <row r="37" spans="2:5">
      <c r="B37" s="1984" t="s">
        <v>327</v>
      </c>
      <c r="C37" s="1985"/>
      <c r="D37" s="1986"/>
      <c r="E37" s="1375">
        <v>0.47799999999999998</v>
      </c>
    </row>
    <row r="38" spans="2:5">
      <c r="B38" s="1984" t="s">
        <v>328</v>
      </c>
      <c r="C38" s="1985"/>
      <c r="D38" s="1986"/>
      <c r="E38" s="1375">
        <v>0.316</v>
      </c>
    </row>
    <row r="39" spans="2:5">
      <c r="B39" s="1984" t="s">
        <v>329</v>
      </c>
      <c r="C39" s="1985"/>
      <c r="D39" s="1986"/>
      <c r="E39" s="1375">
        <v>0.26700000000000002</v>
      </c>
    </row>
    <row r="40" spans="2:5">
      <c r="B40" s="1984" t="s">
        <v>330</v>
      </c>
      <c r="C40" s="1985"/>
      <c r="D40" s="1986"/>
      <c r="E40" s="1375">
        <v>0.13100000000000001</v>
      </c>
    </row>
    <row r="41" spans="2:5">
      <c r="B41" s="1984" t="s">
        <v>331</v>
      </c>
      <c r="C41" s="1985"/>
      <c r="D41" s="1986"/>
      <c r="E41" s="1375">
        <v>0.40300000000000002</v>
      </c>
    </row>
    <row r="42" spans="2:5">
      <c r="B42" s="1984" t="s">
        <v>332</v>
      </c>
      <c r="C42" s="1985"/>
      <c r="D42" s="1986"/>
      <c r="E42" s="1375">
        <v>0.48899999999999999</v>
      </c>
    </row>
    <row r="43" spans="2:5">
      <c r="B43" s="1984" t="s">
        <v>333</v>
      </c>
      <c r="C43" s="1985"/>
      <c r="D43" s="1986"/>
      <c r="E43" s="1375">
        <v>0.39400000000000002</v>
      </c>
    </row>
    <row r="44" spans="2:5">
      <c r="B44" s="1984" t="s">
        <v>334</v>
      </c>
      <c r="C44" s="1985"/>
      <c r="D44" s="1986"/>
      <c r="E44" s="1375">
        <v>0.82099999999999995</v>
      </c>
    </row>
    <row r="45" spans="2:5">
      <c r="B45" s="1984" t="s">
        <v>335</v>
      </c>
      <c r="C45" s="1985"/>
      <c r="D45" s="1986"/>
      <c r="E45" s="1375">
        <v>0.502</v>
      </c>
    </row>
    <row r="46" spans="2:5">
      <c r="B46" s="1984" t="s">
        <v>336</v>
      </c>
      <c r="C46" s="1985"/>
      <c r="D46" s="1986"/>
      <c r="E46" s="1375">
        <v>0.19400000000000001</v>
      </c>
    </row>
    <row r="47" spans="2:5">
      <c r="B47" s="1984" t="s">
        <v>337</v>
      </c>
      <c r="C47" s="1985"/>
      <c r="D47" s="1986"/>
      <c r="E47" s="1375">
        <v>8.2000000000000003E-2</v>
      </c>
    </row>
    <row r="48" spans="2:5">
      <c r="B48" s="1984" t="s">
        <v>338</v>
      </c>
      <c r="C48" s="1985"/>
      <c r="D48" s="1986"/>
      <c r="E48" s="1375">
        <v>0.501</v>
      </c>
    </row>
    <row r="49" spans="2:5">
      <c r="B49" s="1984" t="s">
        <v>339</v>
      </c>
      <c r="C49" s="1985"/>
      <c r="D49" s="1986"/>
      <c r="E49" s="1375">
        <v>0.34200000000000003</v>
      </c>
    </row>
    <row r="50" spans="2:5">
      <c r="B50" s="1984" t="s">
        <v>340</v>
      </c>
      <c r="C50" s="1985"/>
      <c r="D50" s="1986"/>
      <c r="E50" s="1375">
        <v>0.14199999999999999</v>
      </c>
    </row>
    <row r="51" spans="2:5">
      <c r="B51" s="1984" t="s">
        <v>341</v>
      </c>
      <c r="C51" s="1985"/>
      <c r="D51" s="1986"/>
      <c r="E51" s="1375">
        <v>0.27200000000000002</v>
      </c>
    </row>
    <row r="52" spans="2:5">
      <c r="B52" s="1984" t="s">
        <v>342</v>
      </c>
      <c r="C52" s="1985"/>
      <c r="D52" s="1986"/>
      <c r="E52" s="1375">
        <v>0.44</v>
      </c>
    </row>
    <row r="53" spans="2:5">
      <c r="B53" s="1984" t="s">
        <v>343</v>
      </c>
      <c r="C53" s="1985"/>
      <c r="D53" s="1986"/>
      <c r="E53" s="1375">
        <v>0.29799999999999999</v>
      </c>
    </row>
    <row r="54" spans="2:5">
      <c r="B54" s="1984" t="s">
        <v>344</v>
      </c>
      <c r="C54" s="1985"/>
      <c r="D54" s="1986"/>
      <c r="E54" s="1375">
        <v>4.5999999999999999E-2</v>
      </c>
    </row>
    <row r="55" spans="2:5">
      <c r="B55" s="1984" t="s">
        <v>345</v>
      </c>
      <c r="C55" s="1985"/>
      <c r="D55" s="1986"/>
      <c r="E55" s="1375">
        <v>0.54300000000000004</v>
      </c>
    </row>
    <row r="56" spans="2:5">
      <c r="B56" s="1984" t="s">
        <v>346</v>
      </c>
      <c r="C56" s="1985"/>
      <c r="D56" s="1986"/>
      <c r="E56" s="1375">
        <v>0.33200000000000002</v>
      </c>
    </row>
    <row r="57" spans="2:5">
      <c r="B57" s="1984" t="s">
        <v>347</v>
      </c>
      <c r="C57" s="1985"/>
      <c r="D57" s="1986"/>
      <c r="E57" s="1375">
        <v>0.1</v>
      </c>
    </row>
    <row r="58" spans="2:5">
      <c r="B58" s="1984" t="s">
        <v>348</v>
      </c>
      <c r="C58" s="1985"/>
      <c r="D58" s="1986"/>
      <c r="E58" s="1375">
        <v>0.19900000000000001</v>
      </c>
    </row>
    <row r="59" spans="2:5">
      <c r="B59" s="1984" t="s">
        <v>349</v>
      </c>
      <c r="C59" s="1985"/>
      <c r="D59" s="1986"/>
      <c r="E59" s="1375">
        <v>8.5999999999999993E-2</v>
      </c>
    </row>
    <row r="60" spans="2:5">
      <c r="B60" s="1984" t="s">
        <v>350</v>
      </c>
      <c r="C60" s="1985"/>
      <c r="D60" s="1986"/>
      <c r="E60" s="1375">
        <v>8.5000000000000006E-2</v>
      </c>
    </row>
    <row r="61" spans="2:5">
      <c r="B61" s="1984" t="s">
        <v>351</v>
      </c>
      <c r="C61" s="1985"/>
      <c r="D61" s="1986"/>
      <c r="E61" s="1375">
        <v>0.33300000000000002</v>
      </c>
    </row>
    <row r="62" spans="2:5">
      <c r="B62" s="1984" t="s">
        <v>352</v>
      </c>
      <c r="C62" s="1985"/>
      <c r="D62" s="1986"/>
      <c r="E62" s="1375">
        <v>0.85799999999999998</v>
      </c>
    </row>
    <row r="63" spans="2:5">
      <c r="B63" s="1984" t="s">
        <v>353</v>
      </c>
      <c r="C63" s="1985"/>
      <c r="D63" s="1986"/>
      <c r="E63" s="1375">
        <v>0.45400000000000001</v>
      </c>
    </row>
    <row r="64" spans="2:5">
      <c r="B64" s="1984" t="s">
        <v>354</v>
      </c>
      <c r="C64" s="1985"/>
      <c r="D64" s="1986"/>
      <c r="E64" s="1375">
        <v>9.1999999999999998E-2</v>
      </c>
    </row>
    <row r="65" spans="2:5">
      <c r="B65" s="1984" t="s">
        <v>355</v>
      </c>
      <c r="C65" s="1985"/>
      <c r="D65" s="1986"/>
      <c r="E65" s="1375">
        <v>0.48299999999999998</v>
      </c>
    </row>
    <row r="66" spans="2:5">
      <c r="B66" s="1984" t="s">
        <v>356</v>
      </c>
      <c r="C66" s="1985"/>
      <c r="D66" s="1986"/>
      <c r="E66" s="1375">
        <v>0.36399999999999999</v>
      </c>
    </row>
    <row r="67" spans="2:5">
      <c r="B67" s="1984" t="s">
        <v>357</v>
      </c>
      <c r="C67" s="1985"/>
      <c r="D67" s="1986"/>
      <c r="E67" s="1375">
        <v>0.105</v>
      </c>
    </row>
    <row r="68" spans="2:5">
      <c r="B68" s="1984" t="s">
        <v>358</v>
      </c>
      <c r="C68" s="1985"/>
      <c r="D68" s="1986"/>
      <c r="E68" s="1375">
        <v>0.504</v>
      </c>
    </row>
    <row r="69" spans="2:5" ht="13.5" thickBot="1">
      <c r="B69" s="2006" t="s">
        <v>359</v>
      </c>
      <c r="C69" s="2007"/>
      <c r="D69" s="2008"/>
      <c r="E69" s="1376">
        <v>0.435</v>
      </c>
    </row>
    <row r="70" spans="2:5" ht="13.5" thickBot="1">
      <c r="B70" s="1427"/>
      <c r="C70" s="1427"/>
      <c r="D70" s="1427"/>
      <c r="E70" s="1428"/>
    </row>
    <row r="71" spans="2:5" ht="93.75" customHeight="1" thickBot="1">
      <c r="B71" s="1910" t="s">
        <v>360</v>
      </c>
      <c r="C71" s="1911"/>
      <c r="D71" s="1954"/>
      <c r="E71" s="1358" t="s">
        <v>361</v>
      </c>
    </row>
    <row r="72" spans="2:5" ht="25.5" customHeight="1" thickBot="1">
      <c r="B72" s="1987" t="s">
        <v>362</v>
      </c>
      <c r="C72" s="1989"/>
      <c r="D72" s="1861"/>
      <c r="E72" s="1026"/>
    </row>
    <row r="73" spans="2:5" ht="25.5">
      <c r="B73" s="1406"/>
      <c r="C73" s="635" t="s">
        <v>363</v>
      </c>
      <c r="D73" s="1427"/>
      <c r="E73" s="1428"/>
    </row>
    <row r="74" spans="2:5" ht="13.5" thickBot="1">
      <c r="B74" s="1548" t="s">
        <v>364</v>
      </c>
      <c r="C74" s="1665">
        <v>0.14000000000000001</v>
      </c>
      <c r="D74" s="1427"/>
      <c r="E74" s="1428"/>
    </row>
    <row r="75" spans="2:5" ht="13.5" thickBot="1">
      <c r="B75" s="1427"/>
      <c r="C75" s="1427"/>
      <c r="D75" s="1427"/>
      <c r="E75" s="1428"/>
    </row>
    <row r="76" spans="2:5" ht="159" customHeight="1" thickBot="1">
      <c r="B76" s="1910" t="s">
        <v>365</v>
      </c>
      <c r="C76" s="1911"/>
      <c r="D76" s="1954"/>
      <c r="E76" s="1358" t="s">
        <v>366</v>
      </c>
    </row>
    <row r="77" spans="2:5" ht="22.5" customHeight="1" thickBot="1">
      <c r="B77" s="1987" t="s">
        <v>367</v>
      </c>
      <c r="C77" s="1989"/>
      <c r="D77" s="23"/>
      <c r="E77" s="1428"/>
    </row>
    <row r="78" spans="2:5" ht="14.25" customHeight="1">
      <c r="B78" s="115" t="s">
        <v>368</v>
      </c>
      <c r="C78" s="1453" t="s">
        <v>369</v>
      </c>
      <c r="D78" s="1428"/>
    </row>
    <row r="79" spans="2:5" ht="13.5" thickBot="1">
      <c r="B79" s="1401">
        <v>28</v>
      </c>
      <c r="C79" s="1666">
        <v>265</v>
      </c>
      <c r="D79" s="1428"/>
    </row>
    <row r="80" spans="2:5" ht="13.5" thickBot="1">
      <c r="B80" s="1427"/>
      <c r="C80" s="1427"/>
      <c r="D80" s="1427"/>
      <c r="E80" s="1428"/>
    </row>
    <row r="81" spans="2:6" ht="78.75" customHeight="1" thickBot="1">
      <c r="B81" s="1910" t="s">
        <v>370</v>
      </c>
      <c r="C81" s="1911"/>
      <c r="D81" s="1954"/>
      <c r="E81" s="1358" t="s">
        <v>296</v>
      </c>
    </row>
    <row r="82" spans="2:6" ht="26.25" customHeight="1" thickBot="1">
      <c r="B82" s="1987" t="s">
        <v>371</v>
      </c>
      <c r="C82" s="1988"/>
      <c r="D82" s="1988"/>
      <c r="E82" s="1988"/>
      <c r="F82" s="1989"/>
    </row>
    <row r="83" spans="2:6">
      <c r="B83" s="79" t="s">
        <v>287</v>
      </c>
      <c r="C83" s="270" t="s">
        <v>311</v>
      </c>
      <c r="D83" s="269" t="s">
        <v>310</v>
      </c>
      <c r="E83" s="269" t="s">
        <v>312</v>
      </c>
      <c r="F83" s="80" t="s">
        <v>372</v>
      </c>
    </row>
    <row r="84" spans="2:6">
      <c r="B84" s="1429" t="s">
        <v>373</v>
      </c>
      <c r="C84" s="1444">
        <v>6.03411E-7</v>
      </c>
      <c r="D84" s="1445">
        <v>1.021E-2</v>
      </c>
      <c r="E84" s="1444">
        <v>3.6449699999999998E-7</v>
      </c>
      <c r="F84" s="1430" t="s">
        <v>374</v>
      </c>
    </row>
    <row r="85" spans="2:6">
      <c r="B85" s="688" t="s">
        <v>375</v>
      </c>
      <c r="C85" s="1446">
        <v>5.1889799999999997E-7</v>
      </c>
      <c r="D85" s="1447">
        <v>8.7799999999999996E-3</v>
      </c>
      <c r="E85" s="1446">
        <v>3.1344599999999999E-7</v>
      </c>
      <c r="F85" s="689" t="s">
        <v>374</v>
      </c>
    </row>
    <row r="86" spans="2:6" ht="13.5" thickBot="1">
      <c r="B86" s="1431" t="s">
        <v>376</v>
      </c>
      <c r="C86" s="914"/>
      <c r="D86" s="1448">
        <f>0.054</f>
        <v>5.3999999999999999E-2</v>
      </c>
      <c r="E86" s="914"/>
      <c r="F86" s="1432" t="s">
        <v>377</v>
      </c>
    </row>
    <row r="87" spans="2:6" ht="13.5" thickBot="1"/>
    <row r="88" spans="2:6" ht="42" customHeight="1" thickBot="1">
      <c r="B88" s="1921" t="s">
        <v>378</v>
      </c>
      <c r="C88" s="1924"/>
      <c r="D88" s="1924"/>
      <c r="E88" s="1909"/>
    </row>
    <row r="89" spans="2:6" ht="13.5" thickBot="1"/>
    <row r="90" spans="2:6" ht="132" customHeight="1" thickBot="1">
      <c r="B90" s="1910" t="s">
        <v>379</v>
      </c>
      <c r="C90" s="1911"/>
      <c r="D90" s="1954"/>
      <c r="E90" s="1358" t="s">
        <v>380</v>
      </c>
    </row>
    <row r="91" spans="2:6" ht="22.5" customHeight="1" thickBot="1">
      <c r="B91" s="1987" t="s">
        <v>381</v>
      </c>
      <c r="C91" s="1988"/>
      <c r="D91" s="1988"/>
      <c r="E91" s="1989"/>
    </row>
    <row r="92" spans="2:6" ht="25.5" customHeight="1">
      <c r="B92" s="1419" t="s">
        <v>382</v>
      </c>
      <c r="C92" s="2009" t="s">
        <v>383</v>
      </c>
      <c r="D92" s="2010"/>
      <c r="E92" s="1881" t="s">
        <v>384</v>
      </c>
    </row>
    <row r="93" spans="2:6" ht="13.5" thickBot="1">
      <c r="B93" s="1377">
        <v>57131167</v>
      </c>
      <c r="C93" s="2011">
        <v>804930</v>
      </c>
      <c r="D93" s="2012"/>
      <c r="E93" s="1667">
        <v>2748317</v>
      </c>
    </row>
    <row r="94" spans="2:6" ht="13.5" thickBot="1"/>
    <row r="95" spans="2:6" ht="42" customHeight="1" thickBot="1">
      <c r="B95" s="1921" t="s">
        <v>385</v>
      </c>
      <c r="C95" s="1924"/>
      <c r="D95" s="1924"/>
      <c r="E95" s="1909"/>
    </row>
    <row r="96" spans="2:6" ht="13.5" thickBot="1"/>
    <row r="97" spans="2:5" ht="77.25" customHeight="1" thickBot="1">
      <c r="B97" s="1910" t="s">
        <v>386</v>
      </c>
      <c r="C97" s="1911"/>
      <c r="D97" s="1954"/>
      <c r="E97" s="1358" t="s">
        <v>387</v>
      </c>
    </row>
    <row r="98" spans="2:5" ht="24.75" customHeight="1" thickBot="1">
      <c r="B98" s="1987" t="s">
        <v>388</v>
      </c>
      <c r="C98" s="1988"/>
      <c r="D98" s="1989"/>
    </row>
    <row r="99" spans="2:5" ht="25.5">
      <c r="B99" s="1419" t="s">
        <v>389</v>
      </c>
      <c r="C99" s="1420" t="s">
        <v>390</v>
      </c>
      <c r="D99" s="1881" t="s">
        <v>391</v>
      </c>
    </row>
    <row r="100" spans="2:5">
      <c r="B100" s="1397" t="s">
        <v>392</v>
      </c>
      <c r="C100" s="1398" t="s">
        <v>393</v>
      </c>
      <c r="D100" s="1399">
        <v>0.3</v>
      </c>
    </row>
    <row r="101" spans="2:5">
      <c r="B101" s="1397" t="s">
        <v>394</v>
      </c>
      <c r="C101" s="1398" t="s">
        <v>395</v>
      </c>
      <c r="D101" s="1400">
        <v>0.28000000000000003</v>
      </c>
    </row>
    <row r="102" spans="2:5">
      <c r="B102" s="1397" t="s">
        <v>396</v>
      </c>
      <c r="C102" s="1398" t="s">
        <v>397</v>
      </c>
      <c r="D102" s="1400">
        <v>0.46</v>
      </c>
    </row>
    <row r="103" spans="2:5">
      <c r="B103" s="1397" t="s">
        <v>398</v>
      </c>
      <c r="C103" s="1398" t="s">
        <v>399</v>
      </c>
      <c r="D103" s="1400">
        <v>0.28000000000000003</v>
      </c>
    </row>
    <row r="104" spans="2:5">
      <c r="B104" s="1397" t="s">
        <v>400</v>
      </c>
      <c r="C104" s="1398" t="s">
        <v>401</v>
      </c>
      <c r="D104" s="1400">
        <v>0.35</v>
      </c>
    </row>
    <row r="105" spans="2:5">
      <c r="B105" s="1397" t="s">
        <v>400</v>
      </c>
      <c r="C105" s="1398" t="s">
        <v>402</v>
      </c>
      <c r="D105" s="1400">
        <v>0.26</v>
      </c>
    </row>
    <row r="106" spans="2:5" ht="13.5" thickBot="1">
      <c r="B106" s="1401" t="s">
        <v>400</v>
      </c>
      <c r="C106" s="1668" t="s">
        <v>403</v>
      </c>
      <c r="D106" s="1669">
        <v>0.3</v>
      </c>
    </row>
    <row r="107" spans="2:5" ht="13.5" thickBot="1"/>
    <row r="108" spans="2:5" ht="36.75" customHeight="1" thickBot="1">
      <c r="B108" s="1921" t="s">
        <v>404</v>
      </c>
      <c r="C108" s="1924"/>
      <c r="D108" s="1924"/>
      <c r="E108" s="1909"/>
    </row>
    <row r="109" spans="2:5" ht="13.5" thickBot="1"/>
    <row r="110" spans="2:5" ht="108" customHeight="1" thickBot="1">
      <c r="B110" s="1910" t="s">
        <v>405</v>
      </c>
      <c r="C110" s="1911"/>
      <c r="D110" s="1954"/>
      <c r="E110" s="1358" t="s">
        <v>406</v>
      </c>
    </row>
    <row r="111" spans="2:5" ht="24" customHeight="1" thickBot="1">
      <c r="B111" s="1987" t="s">
        <v>407</v>
      </c>
      <c r="C111" s="1989"/>
    </row>
    <row r="112" spans="2:5" ht="26.25" thickBot="1">
      <c r="B112" s="1874" t="s">
        <v>408</v>
      </c>
      <c r="C112" s="1884" t="s">
        <v>409</v>
      </c>
    </row>
    <row r="113" spans="2:5">
      <c r="B113" s="1378" t="s">
        <v>410</v>
      </c>
      <c r="C113" s="1383">
        <v>820000</v>
      </c>
    </row>
    <row r="114" spans="2:5">
      <c r="B114" s="1379" t="s">
        <v>411</v>
      </c>
      <c r="C114" s="1384">
        <v>0</v>
      </c>
    </row>
    <row r="115" spans="2:5">
      <c r="B115" s="1380" t="s">
        <v>412</v>
      </c>
      <c r="C115" s="1385">
        <v>60000</v>
      </c>
    </row>
    <row r="116" spans="2:5">
      <c r="B116" s="1381" t="s">
        <v>413</v>
      </c>
      <c r="C116" s="1386">
        <v>2970000</v>
      </c>
    </row>
    <row r="117" spans="2:5" ht="13.5" thickBot="1">
      <c r="B117" s="1382" t="s">
        <v>414</v>
      </c>
      <c r="C117" s="1387">
        <v>10000</v>
      </c>
    </row>
    <row r="118" spans="2:5" ht="13.5" thickBot="1"/>
    <row r="119" spans="2:5" ht="94.5" customHeight="1" thickBot="1">
      <c r="B119" s="1910" t="s">
        <v>415</v>
      </c>
      <c r="C119" s="1911"/>
      <c r="D119" s="1954"/>
      <c r="E119" s="1358" t="s">
        <v>416</v>
      </c>
    </row>
    <row r="120" spans="2:5" ht="26.25" customHeight="1" thickBot="1">
      <c r="B120" s="1993" t="s">
        <v>417</v>
      </c>
      <c r="C120" s="1994"/>
      <c r="D120" s="1995"/>
    </row>
    <row r="121" spans="2:5" ht="25.5" customHeight="1">
      <c r="B121" s="1998" t="s">
        <v>418</v>
      </c>
      <c r="C121" s="1999"/>
      <c r="D121" s="1402" t="s">
        <v>419</v>
      </c>
    </row>
    <row r="122" spans="2:5" ht="13.5" thickBot="1">
      <c r="B122" s="1996" t="s">
        <v>420</v>
      </c>
      <c r="C122" s="1997"/>
      <c r="D122" s="1670">
        <v>34.1</v>
      </c>
    </row>
    <row r="123" spans="2:5" ht="13.5" thickBot="1"/>
    <row r="124" spans="2:5" ht="169.5" customHeight="1" thickBot="1">
      <c r="B124" s="1910" t="s">
        <v>421</v>
      </c>
      <c r="C124" s="1911"/>
      <c r="D124" s="1954"/>
      <c r="E124" s="1358" t="s">
        <v>422</v>
      </c>
    </row>
    <row r="125" spans="2:5" ht="24.75" customHeight="1" thickBot="1">
      <c r="B125" s="1993" t="s">
        <v>423</v>
      </c>
      <c r="C125" s="1995"/>
    </row>
    <row r="126" spans="2:5">
      <c r="B126" s="1874" t="s">
        <v>424</v>
      </c>
      <c r="C126" s="112" t="s">
        <v>425</v>
      </c>
    </row>
    <row r="127" spans="2:5" ht="25.5">
      <c r="B127" s="1391" t="s">
        <v>426</v>
      </c>
      <c r="C127" s="1388">
        <v>0.34263796246875</v>
      </c>
    </row>
    <row r="128" spans="2:5" ht="25.5">
      <c r="B128" s="1391" t="s">
        <v>427</v>
      </c>
      <c r="C128" s="1389">
        <v>9.1918348309846951E-2</v>
      </c>
    </row>
    <row r="129" spans="2:3" ht="25.5">
      <c r="B129" s="1392" t="s">
        <v>428</v>
      </c>
      <c r="C129" s="1390">
        <v>4279130</v>
      </c>
    </row>
  </sheetData>
  <mergeCells count="76">
    <mergeCell ref="B69:D69"/>
    <mergeCell ref="C92:D92"/>
    <mergeCell ref="C93:D93"/>
    <mergeCell ref="B91:E91"/>
    <mergeCell ref="B88:E88"/>
    <mergeCell ref="B81:D81"/>
    <mergeCell ref="B82:F82"/>
    <mergeCell ref="B76:D76"/>
    <mergeCell ref="B77:C77"/>
    <mergeCell ref="B71:D71"/>
    <mergeCell ref="B72:C72"/>
    <mergeCell ref="B64:D64"/>
    <mergeCell ref="B65:D65"/>
    <mergeCell ref="B66:D66"/>
    <mergeCell ref="B67:D67"/>
    <mergeCell ref="B68:D68"/>
    <mergeCell ref="B59:D59"/>
    <mergeCell ref="B60:D60"/>
    <mergeCell ref="B61:D61"/>
    <mergeCell ref="B62:D62"/>
    <mergeCell ref="B63:D63"/>
    <mergeCell ref="B35:D35"/>
    <mergeCell ref="B2:E2"/>
    <mergeCell ref="B4:E4"/>
    <mergeCell ref="B27:D27"/>
    <mergeCell ref="B29:D29"/>
    <mergeCell ref="B30:D30"/>
    <mergeCell ref="B24:D24"/>
    <mergeCell ref="B16:D16"/>
    <mergeCell ref="B8:E8"/>
    <mergeCell ref="B26:D26"/>
    <mergeCell ref="B25:E25"/>
    <mergeCell ref="B10:D10"/>
    <mergeCell ref="B11:F11"/>
    <mergeCell ref="B97:D97"/>
    <mergeCell ref="B90:D90"/>
    <mergeCell ref="B95:E95"/>
    <mergeCell ref="B42:D42"/>
    <mergeCell ref="B43:D43"/>
    <mergeCell ref="B48:D48"/>
    <mergeCell ref="B49:D49"/>
    <mergeCell ref="B50:D50"/>
    <mergeCell ref="B51:D51"/>
    <mergeCell ref="B52:D52"/>
    <mergeCell ref="B53:D53"/>
    <mergeCell ref="B54:D54"/>
    <mergeCell ref="B55:D55"/>
    <mergeCell ref="B56:D56"/>
    <mergeCell ref="B57:D57"/>
    <mergeCell ref="B58:D58"/>
    <mergeCell ref="B124:D124"/>
    <mergeCell ref="B120:D120"/>
    <mergeCell ref="B125:C125"/>
    <mergeCell ref="B108:E108"/>
    <mergeCell ref="B98:D98"/>
    <mergeCell ref="B122:C122"/>
    <mergeCell ref="B121:C121"/>
    <mergeCell ref="B111:C111"/>
    <mergeCell ref="B110:D110"/>
    <mergeCell ref="B119:D119"/>
    <mergeCell ref="B44:D44"/>
    <mergeCell ref="B45:D45"/>
    <mergeCell ref="B46:D46"/>
    <mergeCell ref="B47:D47"/>
    <mergeCell ref="B17:D17"/>
    <mergeCell ref="B28:D28"/>
    <mergeCell ref="B41:D41"/>
    <mergeCell ref="B36:D36"/>
    <mergeCell ref="B37:D37"/>
    <mergeCell ref="B38:D38"/>
    <mergeCell ref="B39:D39"/>
    <mergeCell ref="B40:D40"/>
    <mergeCell ref="B31:D31"/>
    <mergeCell ref="B32:D32"/>
    <mergeCell ref="B33:D33"/>
    <mergeCell ref="B34:D34"/>
  </mergeCells>
  <hyperlinks>
    <hyperlink ref="E16" r:id="rId1" xr:uid="{00000000-0004-0000-0200-000000000000}"/>
    <hyperlink ref="E24" r:id="rId2" xr:uid="{00000000-0004-0000-0200-000001000000}"/>
    <hyperlink ref="E90" r:id="rId3" xr:uid="{00000000-0004-0000-0200-000002000000}"/>
    <hyperlink ref="E110" r:id="rId4" location="-solid-waste-data-updates-" xr:uid="{00000000-0004-0000-0200-000003000000}"/>
    <hyperlink ref="E119" r:id="rId5" xr:uid="{00000000-0004-0000-0200-000004000000}"/>
    <hyperlink ref="E124" r:id="rId6" xr:uid="{00000000-0004-0000-0200-000005000000}"/>
    <hyperlink ref="E97" r:id="rId7" xr:uid="{00000000-0004-0000-0200-000006000000}"/>
    <hyperlink ref="B25:E25" location="'Emission Factors'!A50" display="Inputs for Emissions Factors - Table 6 and Table 9" xr:uid="{00000000-0004-0000-0200-000007000000}"/>
    <hyperlink ref="B91:E91" location="'Stationary Energy - Buildings'!A203" display="Inputs for Stationary Energy - Buildings - Table 7" xr:uid="{00000000-0004-0000-0200-000008000000}"/>
    <hyperlink ref="B98:D98" location="'Transportation - On Road'!A57" display="Inputs for Transportation - Onroad - Table 6" xr:uid="{00000000-0004-0000-0200-000009000000}"/>
    <hyperlink ref="B111:C111" location="'Waste-Solid Waste Disposal'!A23" display="Inputs for Waste - Solid Waste - Table 3" xr:uid="{00000000-0004-0000-0200-00000A000000}"/>
    <hyperlink ref="B120:D120" location="'Waste-Wastewater'!A22" display="Inputs for Waste - Wastewater - Table 3" xr:uid="{00000000-0004-0000-0200-00000B000000}"/>
    <hyperlink ref="B125:C125" location="'Waste-Wastewater'!A58" display="Inputs for Waste - Wastewater - Table 4" xr:uid="{00000000-0004-0000-0200-00000C000000}"/>
    <hyperlink ref="E10" r:id="rId8" xr:uid="{00000000-0004-0000-0200-00000D000000}"/>
    <hyperlink ref="F10" r:id="rId9" xr:uid="{00000000-0004-0000-0200-00000E000000}"/>
    <hyperlink ref="B11:F11" location="'Emission Factors'!A1" display="Inputs for Emissions Factors - Table 1" xr:uid="{00000000-0004-0000-0200-00000F000000}"/>
    <hyperlink ref="E81" r:id="rId10" xr:uid="{00000000-0004-0000-0200-000010000000}"/>
    <hyperlink ref="B82:F82" location="'Emission Factors'!A128" display="Inputs for Emissions Factors - Table 12" xr:uid="{00000000-0004-0000-0200-000011000000}"/>
    <hyperlink ref="E76" r:id="rId11" xr:uid="{00000000-0004-0000-0200-000012000000}"/>
    <hyperlink ref="B77:C77" location="'Emission Factors'!A124" display="Inputs for Emissions Factors - Table 11" xr:uid="{00000000-0004-0000-0200-000013000000}"/>
    <hyperlink ref="E71" r:id="rId12" xr:uid="{31CA9E15-5571-4CDF-9DDB-40A1179F8AEB}"/>
    <hyperlink ref="B72:C72" location="'Emission Factors'!A55" display="Inputs for Emissions Factors - Table 7" xr:uid="{B4B54667-A6D9-41EF-B472-DBFFA9F817E1}"/>
  </hyperlinks>
  <pageMargins left="0.7" right="0.7" top="0.75" bottom="0.75" header="0.3" footer="0.3"/>
  <pageSetup orientation="portrait" verticalDpi="0"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X161"/>
  <sheetViews>
    <sheetView showGridLines="0" tabSelected="1" topLeftCell="A126" zoomScale="85" zoomScaleNormal="85" workbookViewId="0">
      <selection activeCell="E147" sqref="E147"/>
    </sheetView>
  </sheetViews>
  <sheetFormatPr defaultRowHeight="12.75"/>
  <cols>
    <col min="1" max="1" width="2.7109375" style="29" customWidth="1"/>
    <col min="2" max="2" width="36.42578125" style="29" customWidth="1"/>
    <col min="3" max="3" width="37.5703125" style="29" customWidth="1"/>
    <col min="4" max="4" width="30" style="29" customWidth="1"/>
    <col min="5" max="7" width="20.7109375" style="29" customWidth="1"/>
    <col min="8" max="8" width="20.7109375" style="27" customWidth="1"/>
    <col min="9" max="9" width="34.42578125" style="27" customWidth="1"/>
    <col min="10" max="10" width="20.7109375" style="27" customWidth="1"/>
    <col min="11" max="13" width="12" style="27" customWidth="1"/>
    <col min="14" max="14" width="19" style="27" customWidth="1"/>
    <col min="15" max="15" width="11.7109375" style="27" customWidth="1"/>
    <col min="16" max="16" width="11.28515625" style="27" customWidth="1"/>
    <col min="17" max="17" width="13.42578125" style="27" customWidth="1"/>
    <col min="18" max="18" width="14.85546875" style="27" customWidth="1"/>
    <col min="19" max="20" width="10.5703125" style="27" customWidth="1"/>
    <col min="21" max="21" width="10.42578125" style="27" customWidth="1"/>
    <col min="22" max="22" width="9.28515625" style="27" bestFit="1" customWidth="1"/>
    <col min="23" max="23" width="17.7109375" style="27" customWidth="1"/>
    <col min="24" max="24" width="11.42578125" style="28" customWidth="1"/>
    <col min="25" max="25" width="9.28515625" style="29" bestFit="1" customWidth="1"/>
    <col min="26" max="26" width="18.7109375" style="29" customWidth="1"/>
    <col min="27" max="16384" width="9.140625" style="29"/>
  </cols>
  <sheetData>
    <row r="1" spans="1:24" ht="13.5" thickBot="1"/>
    <row r="2" spans="1:24" ht="24" customHeight="1" thickBot="1">
      <c r="A2" s="168"/>
      <c r="B2" s="2055" t="s">
        <v>429</v>
      </c>
      <c r="C2" s="2056"/>
      <c r="D2" s="2056"/>
      <c r="E2" s="2056"/>
      <c r="F2" s="2057"/>
      <c r="G2" s="169"/>
      <c r="H2" s="221"/>
      <c r="K2" s="169"/>
    </row>
    <row r="3" spans="1:24" ht="15">
      <c r="A3" s="168"/>
      <c r="B3" s="165" t="s">
        <v>430</v>
      </c>
      <c r="C3" s="2058" t="s">
        <v>431</v>
      </c>
      <c r="D3" s="2059"/>
      <c r="E3" s="2059"/>
      <c r="F3" s="2060"/>
      <c r="G3" s="170"/>
      <c r="H3" s="170"/>
      <c r="I3" s="170"/>
      <c r="J3" s="169"/>
      <c r="K3" s="169"/>
    </row>
    <row r="4" spans="1:24" ht="15">
      <c r="A4" s="168"/>
      <c r="B4" s="1230" t="s">
        <v>432</v>
      </c>
      <c r="C4" s="2061" t="s">
        <v>433</v>
      </c>
      <c r="D4" s="2062"/>
      <c r="E4" s="2062"/>
      <c r="F4" s="2063"/>
      <c r="G4" s="170"/>
      <c r="H4" s="170"/>
      <c r="I4" s="170"/>
      <c r="J4" s="169"/>
      <c r="K4" s="169"/>
    </row>
    <row r="5" spans="1:24" ht="14.25" customHeight="1" thickBot="1">
      <c r="A5" s="168"/>
      <c r="B5" s="1231" t="s">
        <v>24</v>
      </c>
      <c r="C5" s="2081">
        <f>Inputs!C14</f>
        <v>2020</v>
      </c>
      <c r="D5" s="2082"/>
      <c r="E5" s="2082"/>
      <c r="F5" s="2083"/>
      <c r="G5" s="170"/>
      <c r="H5" s="170"/>
      <c r="I5" s="170"/>
      <c r="J5" s="169"/>
      <c r="K5" s="169"/>
    </row>
    <row r="6" spans="1:24" ht="12" customHeight="1" thickBot="1">
      <c r="A6" s="168"/>
      <c r="B6" s="167"/>
      <c r="C6" s="171"/>
      <c r="D6" s="171"/>
      <c r="E6" s="171"/>
      <c r="F6" s="171"/>
      <c r="G6" s="170"/>
      <c r="H6" s="170"/>
      <c r="I6" s="170"/>
      <c r="J6" s="169"/>
      <c r="K6" s="169"/>
    </row>
    <row r="7" spans="1:24" ht="15.75" thickBot="1">
      <c r="A7" s="168"/>
      <c r="B7" s="2078" t="s">
        <v>434</v>
      </c>
      <c r="C7" s="2079"/>
      <c r="D7" s="2079"/>
      <c r="E7" s="2079"/>
      <c r="F7" s="2080"/>
      <c r="G7" s="170"/>
      <c r="H7" s="170"/>
      <c r="I7" s="170"/>
      <c r="J7" s="169"/>
      <c r="K7" s="169"/>
    </row>
    <row r="8" spans="1:24" ht="44.25" customHeight="1" thickBot="1">
      <c r="A8" s="168"/>
      <c r="B8" s="2070" t="s">
        <v>435</v>
      </c>
      <c r="C8" s="2071"/>
      <c r="D8" s="2071"/>
      <c r="E8" s="2071"/>
      <c r="F8" s="2072"/>
      <c r="G8" s="62"/>
      <c r="H8" s="62"/>
      <c r="I8" s="62"/>
      <c r="J8" s="169"/>
      <c r="K8" s="169"/>
    </row>
    <row r="9" spans="1:24" ht="15" thickBot="1">
      <c r="A9" s="168"/>
      <c r="B9" s="62"/>
      <c r="C9" s="62"/>
      <c r="D9" s="62"/>
      <c r="E9" s="62"/>
      <c r="F9" s="169"/>
      <c r="G9" s="62"/>
      <c r="H9" s="62"/>
      <c r="I9" s="62"/>
      <c r="J9" s="169"/>
      <c r="K9" s="169"/>
      <c r="N9" s="224"/>
    </row>
    <row r="10" spans="1:24" ht="15.75" customHeight="1" thickBot="1">
      <c r="A10" s="168"/>
      <c r="B10" s="2073" t="s">
        <v>436</v>
      </c>
      <c r="C10" s="2074"/>
      <c r="D10" s="2074"/>
      <c r="E10" s="2074"/>
      <c r="F10" s="2074"/>
      <c r="G10" s="2075"/>
      <c r="H10" s="172"/>
      <c r="I10" s="172"/>
      <c r="J10" s="172"/>
      <c r="K10" s="30"/>
      <c r="L10" s="30"/>
      <c r="N10" s="224"/>
      <c r="W10" s="28"/>
      <c r="X10" s="29"/>
    </row>
    <row r="11" spans="1:24" ht="26.25" thickBot="1">
      <c r="A11" s="168"/>
      <c r="B11" s="2076" t="s">
        <v>38</v>
      </c>
      <c r="C11" s="2077"/>
      <c r="D11" s="1869" t="s">
        <v>437</v>
      </c>
      <c r="E11" s="1869" t="s">
        <v>438</v>
      </c>
      <c r="F11" s="1869" t="s">
        <v>439</v>
      </c>
      <c r="G11" s="177" t="s">
        <v>440</v>
      </c>
      <c r="H11" s="172"/>
      <c r="I11" s="172"/>
      <c r="J11" s="30"/>
      <c r="K11" s="30"/>
      <c r="N11" s="224"/>
      <c r="V11" s="28"/>
      <c r="W11" s="29"/>
      <c r="X11" s="29"/>
    </row>
    <row r="12" spans="1:24" ht="14.25">
      <c r="A12" s="168"/>
      <c r="B12" s="2066" t="s">
        <v>441</v>
      </c>
      <c r="C12" s="2067"/>
      <c r="D12" s="1499">
        <f>SUM(D28:D30)</f>
        <v>95699.928790879218</v>
      </c>
      <c r="E12" s="1499">
        <f>SUM(E28:E30)</f>
        <v>55042.704670164188</v>
      </c>
      <c r="F12" s="1499">
        <f>SUM(F28:F30)</f>
        <v>38774.463080446454</v>
      </c>
      <c r="G12" s="1274">
        <f>SUM(G28:G30)</f>
        <v>1882.7610402685825</v>
      </c>
      <c r="H12" s="172"/>
      <c r="I12" s="172"/>
      <c r="J12" s="30"/>
      <c r="K12" s="30"/>
      <c r="L12" s="223"/>
      <c r="N12" s="224"/>
      <c r="V12" s="28"/>
      <c r="W12" s="29"/>
      <c r="X12" s="29"/>
    </row>
    <row r="13" spans="1:24" ht="14.25">
      <c r="A13" s="168"/>
      <c r="B13" s="2036" t="s">
        <v>442</v>
      </c>
      <c r="C13" s="2037"/>
      <c r="D13" s="1238">
        <f>SUM(D31:D32)</f>
        <v>39527.002472969303</v>
      </c>
      <c r="E13" s="1238">
        <f>SUM(E31:E32)</f>
        <v>39522.72739428113</v>
      </c>
      <c r="F13" s="1238">
        <f>SUM(F31:F32)</f>
        <v>4.0754228008817499</v>
      </c>
      <c r="G13" s="1570">
        <f>SUM(G31:G32)</f>
        <v>0.19965588728801134</v>
      </c>
      <c r="H13" s="172"/>
      <c r="I13" s="172"/>
      <c r="J13" s="30"/>
      <c r="K13" s="30"/>
      <c r="L13" s="223"/>
      <c r="N13" s="224"/>
      <c r="V13" s="28"/>
      <c r="W13" s="29"/>
      <c r="X13" s="29"/>
    </row>
    <row r="14" spans="1:24" ht="14.25">
      <c r="A14" s="168"/>
      <c r="B14" s="2068" t="s">
        <v>443</v>
      </c>
      <c r="C14" s="2069"/>
      <c r="D14" s="1240">
        <f>SUM(D33:D36)</f>
        <v>6256.6827277309476</v>
      </c>
      <c r="E14" s="1240">
        <f>SUM(E33:E36)</f>
        <v>0</v>
      </c>
      <c r="F14" s="1240">
        <f>SUM(F33:F36)</f>
        <v>0</v>
      </c>
      <c r="G14" s="1571">
        <f>SUM(G33:G36)</f>
        <v>6256.6827277309476</v>
      </c>
      <c r="H14" s="172"/>
      <c r="I14" s="172"/>
      <c r="J14" s="30"/>
      <c r="K14" s="30"/>
      <c r="L14" s="223"/>
      <c r="N14" s="224"/>
      <c r="V14" s="28"/>
      <c r="W14" s="29"/>
      <c r="X14" s="29"/>
    </row>
    <row r="15" spans="1:24" ht="14.25">
      <c r="A15" s="168"/>
      <c r="B15" s="2038" t="s">
        <v>444</v>
      </c>
      <c r="C15" s="2039"/>
      <c r="D15" s="1671">
        <f>SUM(D12:D14)</f>
        <v>141483.61399157948</v>
      </c>
      <c r="E15" s="1671">
        <f t="shared" ref="E15:G15" si="0">SUM(E12:E14)</f>
        <v>94565.432064445311</v>
      </c>
      <c r="F15" s="1671">
        <f t="shared" si="0"/>
        <v>38778.538503247335</v>
      </c>
      <c r="G15" s="1672">
        <f t="shared" si="0"/>
        <v>8139.6434238868178</v>
      </c>
      <c r="H15" s="172"/>
      <c r="I15" s="172"/>
      <c r="J15" s="172"/>
      <c r="K15" s="30"/>
      <c r="L15" s="30"/>
      <c r="N15" s="224"/>
      <c r="O15" s="225"/>
      <c r="W15" s="28"/>
      <c r="X15" s="29"/>
    </row>
    <row r="16" spans="1:24" ht="14.25">
      <c r="A16" s="168"/>
      <c r="B16" s="168"/>
      <c r="C16" s="175"/>
      <c r="D16" s="175"/>
      <c r="E16" s="175"/>
      <c r="F16" s="175"/>
      <c r="G16" s="172"/>
      <c r="H16" s="172"/>
      <c r="I16" s="172"/>
      <c r="J16" s="172"/>
      <c r="K16" s="30"/>
      <c r="L16" s="30"/>
      <c r="N16" s="224"/>
      <c r="W16" s="28"/>
      <c r="X16" s="29"/>
    </row>
    <row r="17" spans="1:24" ht="15">
      <c r="A17" s="168"/>
      <c r="B17" s="2084" t="s">
        <v>445</v>
      </c>
      <c r="C17" s="2085"/>
      <c r="D17" s="2085"/>
      <c r="E17" s="2085"/>
      <c r="F17" s="2085"/>
      <c r="G17" s="2086"/>
      <c r="H17" s="172"/>
      <c r="I17" s="172"/>
      <c r="J17" s="172"/>
      <c r="K17" s="30"/>
      <c r="L17" s="30"/>
      <c r="N17" s="224"/>
      <c r="O17" s="23"/>
      <c r="P17" s="23"/>
      <c r="Q17" s="23"/>
      <c r="R17" s="23"/>
      <c r="S17" s="23"/>
      <c r="T17" s="23"/>
      <c r="W17" s="28"/>
      <c r="X17" s="29"/>
    </row>
    <row r="18" spans="1:24" ht="25.5">
      <c r="A18" s="168"/>
      <c r="B18" s="2087" t="s">
        <v>38</v>
      </c>
      <c r="C18" s="2088"/>
      <c r="D18" s="1870" t="s">
        <v>437</v>
      </c>
      <c r="E18" s="1870" t="s">
        <v>446</v>
      </c>
      <c r="F18" s="1870" t="s">
        <v>447</v>
      </c>
      <c r="G18" s="1255" t="s">
        <v>448</v>
      </c>
      <c r="H18" s="1841"/>
      <c r="I18" s="172"/>
      <c r="J18" s="172"/>
      <c r="K18" s="30"/>
      <c r="L18" s="30"/>
      <c r="N18" s="224"/>
      <c r="O18" s="23"/>
      <c r="P18" s="23"/>
      <c r="Q18" s="23"/>
      <c r="R18" s="23"/>
      <c r="S18" s="23"/>
      <c r="T18" s="23"/>
      <c r="W18" s="28"/>
      <c r="X18" s="29"/>
    </row>
    <row r="19" spans="1:24" ht="14.25">
      <c r="A19" s="168"/>
      <c r="B19" s="2066" t="s">
        <v>441</v>
      </c>
      <c r="C19" s="2067"/>
      <c r="D19" s="1499">
        <f>SUM(E19:G19)</f>
        <v>4830.713189797706</v>
      </c>
      <c r="E19" s="1499">
        <f>'Stationary Energy - Buildings'!I27+'Stationary Energy - Buildings'!H35+(Inputs!D39*'Stationary Energy - Buildings'!D224*'Emission Factors'!C26+Inputs!D39*'Stationary Energy - Buildings'!D224*'Emission Factors'!C25*'Emission Factors'!B126)+'Stationary Energy - Propane'!G16</f>
        <v>1844.8745026699999</v>
      </c>
      <c r="F19" s="1499">
        <f>'Stationary Energy - Buildings'!H27</f>
        <v>2846.9289422806987</v>
      </c>
      <c r="G19" s="1274">
        <f>F19*'Stationary Energy - Buildings'!D218</f>
        <v>138.90974484700732</v>
      </c>
      <c r="H19" s="1841"/>
      <c r="I19" s="172"/>
      <c r="J19" s="172"/>
      <c r="K19" s="30"/>
      <c r="L19" s="30"/>
      <c r="N19" s="224"/>
      <c r="O19" s="23"/>
      <c r="P19" s="23"/>
      <c r="Q19" s="23"/>
      <c r="R19" s="23"/>
      <c r="S19" s="23"/>
      <c r="T19" s="23"/>
      <c r="W19" s="28"/>
      <c r="X19" s="29"/>
    </row>
    <row r="20" spans="1:24" ht="14.25">
      <c r="A20" s="168"/>
      <c r="B20" s="2036" t="s">
        <v>442</v>
      </c>
      <c r="C20" s="2037"/>
      <c r="D20" s="1238">
        <f>SUM(E20:G20)</f>
        <v>1259.9526357821519</v>
      </c>
      <c r="E20" s="1238">
        <f>SUM('Transportation - On Road'!G59:G60)</f>
        <v>1259.9526357821519</v>
      </c>
      <c r="F20" s="1572"/>
      <c r="G20" s="1573"/>
      <c r="H20" s="1841"/>
      <c r="I20" s="172"/>
      <c r="J20" s="172"/>
      <c r="K20" s="30"/>
      <c r="L20" s="30"/>
      <c r="N20" s="224"/>
      <c r="O20" s="23"/>
      <c r="P20" s="23"/>
      <c r="Q20" s="23"/>
      <c r="R20" s="23"/>
      <c r="S20" s="23"/>
      <c r="T20" s="23"/>
      <c r="W20" s="28"/>
      <c r="X20" s="29"/>
    </row>
    <row r="21" spans="1:24" ht="14.25">
      <c r="A21" s="168"/>
      <c r="B21" s="2038" t="s">
        <v>444</v>
      </c>
      <c r="C21" s="2039"/>
      <c r="D21" s="1671">
        <f>SUM(D19:D20)</f>
        <v>6090.6658255798575</v>
      </c>
      <c r="E21" s="1671">
        <f>SUM(E19:E20)</f>
        <v>3104.8271384521518</v>
      </c>
      <c r="F21" s="1671">
        <f>SUM(F19:F20)</f>
        <v>2846.9289422806987</v>
      </c>
      <c r="G21" s="1672">
        <f>SUM(G19:G20)</f>
        <v>138.90974484700732</v>
      </c>
      <c r="H21" s="172"/>
      <c r="I21" s="172"/>
      <c r="J21" s="172"/>
      <c r="K21" s="30"/>
      <c r="L21" s="30"/>
      <c r="N21" s="224"/>
      <c r="O21" s="23"/>
      <c r="P21" s="23"/>
      <c r="Q21" s="23"/>
      <c r="R21" s="23"/>
      <c r="S21" s="23"/>
      <c r="T21" s="23"/>
      <c r="W21" s="28"/>
      <c r="X21" s="29"/>
    </row>
    <row r="22" spans="1:24" ht="14.25">
      <c r="A22" s="168"/>
      <c r="B22" s="29" t="s">
        <v>449</v>
      </c>
      <c r="C22" s="175"/>
      <c r="D22" s="175"/>
      <c r="E22" s="175"/>
      <c r="F22" s="175"/>
      <c r="G22" s="172"/>
      <c r="H22" s="172"/>
      <c r="I22" s="172"/>
      <c r="J22" s="172"/>
      <c r="K22" s="30"/>
      <c r="L22" s="30"/>
      <c r="N22" s="224"/>
      <c r="O22" s="23"/>
      <c r="P22" s="23"/>
      <c r="Q22" s="23"/>
      <c r="R22" s="23"/>
      <c r="S22" s="23"/>
      <c r="T22" s="23"/>
      <c r="W22" s="28"/>
      <c r="X22" s="29"/>
    </row>
    <row r="23" spans="1:24" ht="14.25">
      <c r="A23" s="168"/>
      <c r="B23" s="29" t="s">
        <v>450</v>
      </c>
      <c r="C23" s="175"/>
      <c r="D23" s="175"/>
      <c r="E23" s="175"/>
      <c r="F23" s="175"/>
      <c r="G23" s="172"/>
      <c r="H23" s="172"/>
      <c r="I23" s="172"/>
      <c r="J23" s="172"/>
      <c r="K23" s="30"/>
      <c r="L23" s="30"/>
      <c r="N23" s="224"/>
      <c r="O23" s="23"/>
      <c r="P23" s="23"/>
      <c r="Q23" s="23"/>
      <c r="R23" s="23"/>
      <c r="S23" s="23"/>
      <c r="T23" s="23"/>
      <c r="W23" s="28"/>
      <c r="X23" s="29"/>
    </row>
    <row r="24" spans="1:24" ht="14.25">
      <c r="A24" s="168"/>
      <c r="B24" s="29" t="s">
        <v>451</v>
      </c>
      <c r="C24" s="175"/>
      <c r="D24" s="175"/>
      <c r="E24" s="175"/>
      <c r="F24" s="175"/>
      <c r="G24" s="172"/>
      <c r="H24" s="172"/>
      <c r="I24" s="172"/>
      <c r="J24" s="172"/>
      <c r="K24" s="30"/>
      <c r="L24" s="30"/>
      <c r="N24" s="224"/>
      <c r="O24" s="29"/>
      <c r="P24" s="29"/>
      <c r="Q24" s="29"/>
      <c r="R24" s="29"/>
      <c r="S24" s="29"/>
      <c r="T24" s="29"/>
      <c r="W24" s="28"/>
      <c r="X24" s="29"/>
    </row>
    <row r="25" spans="1:24" ht="14.25">
      <c r="A25" s="168"/>
      <c r="B25" s="168"/>
      <c r="C25" s="175"/>
      <c r="D25" s="175"/>
      <c r="E25" s="175"/>
      <c r="F25" s="175"/>
      <c r="G25" s="172"/>
      <c r="H25" s="172"/>
      <c r="I25" s="172"/>
      <c r="J25" s="172"/>
      <c r="K25" s="30"/>
      <c r="L25" s="30"/>
      <c r="N25" s="224"/>
      <c r="W25" s="28"/>
      <c r="X25" s="29"/>
    </row>
    <row r="26" spans="1:24" ht="14.25">
      <c r="A26" s="168"/>
      <c r="B26" s="2013" t="s">
        <v>452</v>
      </c>
      <c r="C26" s="2064"/>
      <c r="D26" s="2064"/>
      <c r="E26" s="2064"/>
      <c r="F26" s="2064"/>
      <c r="G26" s="2065"/>
      <c r="H26" s="172"/>
      <c r="I26" s="172"/>
      <c r="J26" s="172"/>
      <c r="K26" s="30"/>
      <c r="L26" s="30"/>
      <c r="N26" s="224"/>
      <c r="W26" s="28"/>
      <c r="X26" s="29"/>
    </row>
    <row r="27" spans="1:24" ht="25.5">
      <c r="A27" s="168"/>
      <c r="B27" s="1868" t="s">
        <v>38</v>
      </c>
      <c r="C27" s="176" t="s">
        <v>453</v>
      </c>
      <c r="D27" s="1869" t="s">
        <v>437</v>
      </c>
      <c r="E27" s="1869" t="s">
        <v>438</v>
      </c>
      <c r="F27" s="1869" t="s">
        <v>439</v>
      </c>
      <c r="G27" s="177" t="s">
        <v>440</v>
      </c>
      <c r="H27" s="172"/>
      <c r="I27" s="172"/>
      <c r="J27" s="172"/>
      <c r="K27" s="30"/>
      <c r="L27" s="30"/>
      <c r="N27" s="223"/>
      <c r="W27" s="28"/>
      <c r="X27" s="29"/>
    </row>
    <row r="28" spans="1:24" ht="14.25">
      <c r="A28" s="168"/>
      <c r="B28" s="2019" t="s">
        <v>441</v>
      </c>
      <c r="C28" s="178" t="s">
        <v>454</v>
      </c>
      <c r="D28" s="179">
        <f>SUM(F41:F46)</f>
        <v>67804.31115956766</v>
      </c>
      <c r="E28" s="180">
        <f>SUMIF(E41:E46,1,F41:F46)</f>
        <v>40768.002664462918</v>
      </c>
      <c r="F28" s="180">
        <f>SUMIF(E41:E46,2,F41:F46)</f>
        <v>25787.297056177093</v>
      </c>
      <c r="G28" s="181">
        <f>SUMIF(E41:E46,3,F41:F46)</f>
        <v>1249.0114389276457</v>
      </c>
      <c r="H28" s="30"/>
      <c r="T28" s="28"/>
      <c r="U28" s="29"/>
      <c r="V28" s="29"/>
      <c r="W28" s="29"/>
      <c r="X28" s="29"/>
    </row>
    <row r="29" spans="1:24" ht="14.25">
      <c r="A29" s="168"/>
      <c r="B29" s="2020"/>
      <c r="C29" s="182" t="s">
        <v>455</v>
      </c>
      <c r="D29" s="183">
        <f>SUM(F47:F53)</f>
        <v>27895.617631311561</v>
      </c>
      <c r="E29" s="184">
        <f>SUMIF(E47:E53,1,F47:F53)</f>
        <v>14274.702005701269</v>
      </c>
      <c r="F29" s="184">
        <f>SUMIF(E47:E53,2,F47:F53)</f>
        <v>12987.166024269358</v>
      </c>
      <c r="G29" s="185">
        <f>SUMIF(E47:E53,3,F47:F53)</f>
        <v>633.74960134093681</v>
      </c>
      <c r="H29" s="30"/>
      <c r="T29" s="28"/>
      <c r="U29" s="29"/>
      <c r="V29" s="29"/>
      <c r="W29" s="29"/>
      <c r="X29" s="29"/>
    </row>
    <row r="30" spans="1:24" ht="14.25">
      <c r="A30" s="168"/>
      <c r="B30" s="2020"/>
      <c r="C30" s="182" t="s">
        <v>126</v>
      </c>
      <c r="D30" s="183">
        <f>SUM(F54:F54)</f>
        <v>0</v>
      </c>
      <c r="E30" s="184">
        <f>SUMIF(E54:E54,1,F54:F54)</f>
        <v>0</v>
      </c>
      <c r="F30" s="184">
        <f>SUMIF(E54:E54,2,F54:F54)</f>
        <v>0</v>
      </c>
      <c r="G30" s="185">
        <f>SUMIF(E54:E54,3,F54:F54)</f>
        <v>0</v>
      </c>
      <c r="H30" s="30"/>
      <c r="T30" s="28"/>
      <c r="U30" s="29"/>
      <c r="V30" s="29"/>
      <c r="W30" s="29"/>
      <c r="X30" s="29"/>
    </row>
    <row r="31" spans="1:24" ht="14.25">
      <c r="A31" s="168"/>
      <c r="B31" s="2021" t="s">
        <v>442</v>
      </c>
      <c r="C31" s="186" t="s">
        <v>456</v>
      </c>
      <c r="D31" s="187">
        <f>SUM(F55:F59)</f>
        <v>39527.002472969303</v>
      </c>
      <c r="E31" s="187">
        <f>SUMIF(E55:E59,1,F55:F59)</f>
        <v>39522.72739428113</v>
      </c>
      <c r="F31" s="187">
        <f>SUMIF(E55:E59,2,F55:F59)</f>
        <v>4.0754228008817499</v>
      </c>
      <c r="G31" s="188">
        <f>SUMIF(E55:E59,3,F55:F59)</f>
        <v>0.19965588728801134</v>
      </c>
      <c r="H31" s="30"/>
      <c r="I31" s="29"/>
      <c r="J31" s="29"/>
      <c r="K31" s="29"/>
      <c r="T31" s="28"/>
      <c r="U31" s="29"/>
      <c r="V31" s="29"/>
      <c r="W31" s="29"/>
      <c r="X31" s="29"/>
    </row>
    <row r="32" spans="1:24" ht="14.25">
      <c r="A32" s="168"/>
      <c r="B32" s="2023"/>
      <c r="C32" s="189" t="s">
        <v>457</v>
      </c>
      <c r="D32" s="190">
        <f>SUM(F60:F62)</f>
        <v>0</v>
      </c>
      <c r="E32" s="190">
        <f>SUMIF(E60:E62,1,F60:F62)</f>
        <v>0</v>
      </c>
      <c r="F32" s="190">
        <f>SUMIF(E60:E62,2,F60:F62)</f>
        <v>0</v>
      </c>
      <c r="G32" s="191">
        <f>SUMIF(E60:E62,3,F60:F62)</f>
        <v>0</v>
      </c>
      <c r="H32" s="30"/>
      <c r="I32" s="29"/>
      <c r="J32" s="29"/>
      <c r="K32" s="29"/>
      <c r="T32" s="28"/>
      <c r="U32" s="29"/>
      <c r="V32" s="29"/>
      <c r="W32" s="29"/>
      <c r="X32" s="29"/>
    </row>
    <row r="33" spans="1:24" ht="14.25">
      <c r="A33" s="168"/>
      <c r="B33" s="2024" t="s">
        <v>443</v>
      </c>
      <c r="C33" s="192" t="s">
        <v>458</v>
      </c>
      <c r="D33" s="193">
        <f>SUM(F63)</f>
        <v>0</v>
      </c>
      <c r="E33" s="193">
        <f>SUMIF(E63,1,F63)</f>
        <v>0</v>
      </c>
      <c r="F33" s="193">
        <f>SUMIF(E63,2,F63)</f>
        <v>0</v>
      </c>
      <c r="G33" s="194">
        <f>SUMIF(E63,3,F63)</f>
        <v>0</v>
      </c>
      <c r="H33" s="30"/>
      <c r="I33" s="29"/>
      <c r="J33" s="29"/>
      <c r="K33" s="29"/>
      <c r="T33" s="28"/>
      <c r="U33" s="29"/>
      <c r="V33" s="29"/>
      <c r="W33" s="29"/>
      <c r="X33" s="29"/>
    </row>
    <row r="34" spans="1:24" ht="14.25">
      <c r="A34" s="168"/>
      <c r="B34" s="2025"/>
      <c r="C34" s="1151" t="s">
        <v>459</v>
      </c>
      <c r="D34" s="1152">
        <f>F64</f>
        <v>4385.6256186989476</v>
      </c>
      <c r="E34" s="1152">
        <v>0</v>
      </c>
      <c r="F34" s="1152">
        <v>0</v>
      </c>
      <c r="G34" s="1153">
        <f>F64</f>
        <v>4385.6256186989476</v>
      </c>
      <c r="H34" s="30"/>
      <c r="I34" s="29"/>
      <c r="J34" s="29"/>
      <c r="K34" s="29"/>
      <c r="T34" s="28"/>
      <c r="U34" s="29"/>
      <c r="V34" s="29"/>
      <c r="W34" s="29"/>
      <c r="X34" s="29"/>
    </row>
    <row r="35" spans="1:24" ht="14.25">
      <c r="A35" s="168"/>
      <c r="B35" s="2026"/>
      <c r="C35" s="195" t="s">
        <v>460</v>
      </c>
      <c r="D35" s="196">
        <f>SUM(F65)</f>
        <v>0</v>
      </c>
      <c r="E35" s="196">
        <f>SUMIF(E65,1,F65)</f>
        <v>0</v>
      </c>
      <c r="F35" s="196">
        <f>SUMIF(E65,2,F65)</f>
        <v>0</v>
      </c>
      <c r="G35" s="197">
        <f>SUMIF(E65,3,F65)</f>
        <v>0</v>
      </c>
      <c r="H35" s="30"/>
      <c r="I35" s="29"/>
      <c r="J35" s="29"/>
      <c r="K35" s="29"/>
      <c r="T35" s="28"/>
      <c r="U35" s="29"/>
      <c r="V35" s="29"/>
      <c r="W35" s="29"/>
      <c r="X35" s="29"/>
    </row>
    <row r="36" spans="1:24" ht="14.25">
      <c r="A36" s="168"/>
      <c r="B36" s="2027"/>
      <c r="C36" s="198" t="s">
        <v>461</v>
      </c>
      <c r="D36" s="173">
        <f>SUM(F66)</f>
        <v>1871.057109032</v>
      </c>
      <c r="E36" s="173">
        <f>SUMIF(E66,1,F66)</f>
        <v>0</v>
      </c>
      <c r="F36" s="173">
        <f>SUMIF(E66,2,F66)</f>
        <v>0</v>
      </c>
      <c r="G36" s="174">
        <f>SUMIF(E66,3,F66)</f>
        <v>1871.057109032</v>
      </c>
      <c r="H36" s="30"/>
      <c r="I36" s="29"/>
      <c r="J36" s="29"/>
      <c r="K36" s="29"/>
      <c r="T36" s="28"/>
      <c r="U36" s="29"/>
      <c r="V36" s="29"/>
      <c r="W36" s="29"/>
      <c r="X36" s="29"/>
    </row>
    <row r="37" spans="1:24" ht="15" thickBot="1">
      <c r="A37" s="168"/>
      <c r="B37" s="2028" t="s">
        <v>462</v>
      </c>
      <c r="C37" s="2029"/>
      <c r="D37" s="1671">
        <f>SUM(D28:D36)</f>
        <v>141483.61399157948</v>
      </c>
      <c r="E37" s="1671">
        <f>SUM(E28:E36)</f>
        <v>94565.432064445311</v>
      </c>
      <c r="F37" s="1671">
        <f>SUM(F28:F36)</f>
        <v>38778.538503247335</v>
      </c>
      <c r="G37" s="1672">
        <f>SUM(G28:G36)</f>
        <v>8139.6434238868178</v>
      </c>
      <c r="H37" s="172"/>
      <c r="I37" s="29"/>
      <c r="J37" s="29"/>
      <c r="K37" s="29"/>
      <c r="L37" s="30"/>
      <c r="W37" s="28"/>
      <c r="X37" s="29"/>
    </row>
    <row r="38" spans="1:24" ht="15" thickBot="1">
      <c r="A38" s="168"/>
      <c r="B38" s="168"/>
      <c r="C38" s="175"/>
      <c r="D38" s="175"/>
      <c r="E38" s="175"/>
      <c r="F38" s="175"/>
      <c r="G38" s="172"/>
      <c r="H38" s="172"/>
      <c r="I38" s="172"/>
      <c r="J38" s="172"/>
      <c r="K38" s="30"/>
      <c r="L38" s="30"/>
      <c r="W38" s="28"/>
      <c r="X38" s="29"/>
    </row>
    <row r="39" spans="1:24" ht="15.75" thickBot="1">
      <c r="A39" s="168"/>
      <c r="B39" s="2013" t="s">
        <v>463</v>
      </c>
      <c r="C39" s="1908"/>
      <c r="D39" s="1908"/>
      <c r="E39" s="1908"/>
      <c r="F39" s="1909"/>
      <c r="G39" s="169"/>
      <c r="H39" s="169"/>
      <c r="U39" s="28"/>
      <c r="V39" s="29"/>
      <c r="W39" s="29"/>
      <c r="X39" s="29"/>
    </row>
    <row r="40" spans="1:24" ht="31.5" customHeight="1" thickBot="1">
      <c r="A40" s="168"/>
      <c r="B40" s="1868" t="s">
        <v>38</v>
      </c>
      <c r="C40" s="176" t="s">
        <v>453</v>
      </c>
      <c r="D40" s="176" t="s">
        <v>464</v>
      </c>
      <c r="E40" s="176" t="s">
        <v>465</v>
      </c>
      <c r="F40" s="177" t="s">
        <v>466</v>
      </c>
      <c r="G40" s="1840"/>
      <c r="H40" s="1840"/>
      <c r="I40" s="1840"/>
      <c r="R40" s="28"/>
      <c r="S40" s="29"/>
      <c r="T40" s="29"/>
      <c r="U40" s="29"/>
      <c r="V40" s="29"/>
      <c r="W40" s="29"/>
      <c r="X40" s="29"/>
    </row>
    <row r="41" spans="1:24" ht="14.25">
      <c r="A41" s="168"/>
      <c r="B41" s="2042" t="s">
        <v>441</v>
      </c>
      <c r="C41" s="2034" t="s">
        <v>454</v>
      </c>
      <c r="D41" s="199" t="s">
        <v>467</v>
      </c>
      <c r="E41" s="199">
        <v>2</v>
      </c>
      <c r="F41" s="440">
        <f>'All Emissions - Summary'!I72</f>
        <v>25787.297056177093</v>
      </c>
      <c r="G41" s="1840"/>
      <c r="H41" s="1840"/>
      <c r="I41" s="1840"/>
      <c r="R41" s="28"/>
      <c r="S41" s="29"/>
      <c r="T41" s="29"/>
      <c r="U41" s="29"/>
      <c r="V41" s="29"/>
      <c r="W41" s="29"/>
      <c r="X41" s="29"/>
    </row>
    <row r="42" spans="1:24" ht="14.25">
      <c r="A42" s="168"/>
      <c r="B42" s="2043"/>
      <c r="C42" s="2035"/>
      <c r="D42" s="202" t="s">
        <v>468</v>
      </c>
      <c r="E42" s="202">
        <v>3</v>
      </c>
      <c r="F42" s="441">
        <f>'All Emissions - Summary'!I73</f>
        <v>1249.0114389276457</v>
      </c>
      <c r="G42" s="1840"/>
      <c r="H42" s="1840"/>
      <c r="I42" s="1840"/>
      <c r="R42" s="28"/>
      <c r="S42" s="29"/>
      <c r="T42" s="29"/>
      <c r="U42" s="29"/>
      <c r="V42" s="29"/>
      <c r="W42" s="29"/>
      <c r="X42" s="29"/>
    </row>
    <row r="43" spans="1:24" ht="14.25">
      <c r="A43" s="168"/>
      <c r="B43" s="2043"/>
      <c r="C43" s="2035"/>
      <c r="D43" s="202" t="s">
        <v>291</v>
      </c>
      <c r="E43" s="202">
        <v>1</v>
      </c>
      <c r="F43" s="441">
        <f>'All Emissions - Summary'!I74</f>
        <v>30527.549406780003</v>
      </c>
      <c r="G43" s="1840"/>
      <c r="H43" s="1840"/>
      <c r="I43" s="1840"/>
      <c r="R43" s="28"/>
      <c r="S43" s="29"/>
      <c r="T43" s="29"/>
      <c r="U43" s="29"/>
      <c r="V43" s="29"/>
      <c r="W43" s="29"/>
      <c r="X43" s="29"/>
    </row>
    <row r="44" spans="1:24" ht="14.25">
      <c r="A44" s="168"/>
      <c r="B44" s="2043"/>
      <c r="C44" s="2035"/>
      <c r="D44" s="202" t="s">
        <v>469</v>
      </c>
      <c r="E44" s="202">
        <v>1</v>
      </c>
      <c r="F44" s="441">
        <f>'All Emissions - Summary'!I75</f>
        <v>10240.453257682917</v>
      </c>
      <c r="G44" s="1840"/>
      <c r="H44" s="1840"/>
      <c r="I44" s="1840"/>
      <c r="R44" s="28"/>
      <c r="S44" s="29"/>
      <c r="T44" s="29"/>
      <c r="U44" s="29"/>
      <c r="V44" s="29"/>
      <c r="W44" s="29"/>
      <c r="X44" s="29"/>
    </row>
    <row r="45" spans="1:24" ht="14.25">
      <c r="A45" s="168"/>
      <c r="B45" s="2043"/>
      <c r="C45" s="2035"/>
      <c r="D45" s="202" t="s">
        <v>302</v>
      </c>
      <c r="E45" s="202">
        <v>1</v>
      </c>
      <c r="F45" s="441">
        <f>'All Emissions - Summary'!I76</f>
        <v>0</v>
      </c>
      <c r="G45" s="1840"/>
      <c r="H45" s="1840"/>
      <c r="I45" s="1840"/>
      <c r="R45" s="28"/>
      <c r="S45" s="29"/>
      <c r="T45" s="29"/>
      <c r="U45" s="29"/>
      <c r="V45" s="29"/>
      <c r="W45" s="29"/>
      <c r="X45" s="29"/>
    </row>
    <row r="46" spans="1:24" ht="14.25">
      <c r="A46" s="168"/>
      <c r="B46" s="2043"/>
      <c r="C46" s="2035"/>
      <c r="D46" s="204" t="s">
        <v>470</v>
      </c>
      <c r="E46" s="204">
        <v>1</v>
      </c>
      <c r="F46" s="442">
        <f>'All Emissions - Summary'!I77</f>
        <v>0</v>
      </c>
      <c r="G46" s="1840"/>
      <c r="H46" s="1840"/>
      <c r="I46" s="1840"/>
      <c r="R46" s="28"/>
      <c r="S46" s="29"/>
      <c r="T46" s="29"/>
      <c r="U46" s="29"/>
      <c r="V46" s="29"/>
      <c r="W46" s="29"/>
      <c r="X46" s="29"/>
    </row>
    <row r="47" spans="1:24" ht="14.25">
      <c r="A47" s="168"/>
      <c r="B47" s="2043"/>
      <c r="C47" s="2040" t="s">
        <v>471</v>
      </c>
      <c r="D47" s="206" t="s">
        <v>467</v>
      </c>
      <c r="E47" s="206">
        <v>2</v>
      </c>
      <c r="F47" s="443">
        <f>'All Emissions - Summary'!I78</f>
        <v>12987.166024269358</v>
      </c>
      <c r="G47" s="1840"/>
      <c r="H47" s="1840"/>
      <c r="I47" s="1840"/>
      <c r="R47" s="28"/>
      <c r="S47" s="29"/>
      <c r="T47" s="29"/>
      <c r="U47" s="29"/>
      <c r="V47" s="29"/>
      <c r="W47" s="29"/>
      <c r="X47" s="29"/>
    </row>
    <row r="48" spans="1:24" ht="14.25">
      <c r="A48" s="168"/>
      <c r="B48" s="2043"/>
      <c r="C48" s="2035"/>
      <c r="D48" s="202" t="s">
        <v>468</v>
      </c>
      <c r="E48" s="202">
        <v>3</v>
      </c>
      <c r="F48" s="441">
        <f>'All Emissions - Summary'!I79</f>
        <v>633.74960134093681</v>
      </c>
      <c r="G48" s="1840"/>
      <c r="H48" s="1840"/>
      <c r="I48" s="1840"/>
      <c r="R48" s="28"/>
      <c r="S48" s="29"/>
      <c r="T48" s="29"/>
      <c r="U48" s="29"/>
      <c r="V48" s="29"/>
      <c r="W48" s="29"/>
      <c r="X48" s="29"/>
    </row>
    <row r="49" spans="1:24" ht="14.25">
      <c r="A49" s="168"/>
      <c r="B49" s="2043"/>
      <c r="C49" s="2035"/>
      <c r="D49" s="202" t="s">
        <v>291</v>
      </c>
      <c r="E49" s="202">
        <v>1</v>
      </c>
      <c r="F49" s="441">
        <f>'All Emissions - Summary'!I80</f>
        <v>306.31239917000005</v>
      </c>
      <c r="G49" s="1840"/>
      <c r="H49" s="1840"/>
      <c r="I49" s="1840"/>
      <c r="R49" s="28"/>
      <c r="S49" s="29"/>
      <c r="T49" s="29"/>
      <c r="U49" s="29"/>
      <c r="V49" s="29"/>
      <c r="W49" s="29"/>
      <c r="X49" s="29"/>
    </row>
    <row r="50" spans="1:24" ht="14.25">
      <c r="A50" s="168"/>
      <c r="B50" s="2043"/>
      <c r="C50" s="2035"/>
      <c r="D50" s="202" t="s">
        <v>469</v>
      </c>
      <c r="E50" s="202">
        <v>1</v>
      </c>
      <c r="F50" s="441">
        <f>'All Emissions - Summary'!I81</f>
        <v>5487.9714324272672</v>
      </c>
      <c r="G50" s="1840"/>
      <c r="H50" s="1840"/>
      <c r="I50" s="1840"/>
      <c r="R50" s="28"/>
      <c r="S50" s="29"/>
      <c r="T50" s="29"/>
      <c r="U50" s="29"/>
      <c r="V50" s="29"/>
      <c r="W50" s="29"/>
      <c r="X50" s="29"/>
    </row>
    <row r="51" spans="1:24" ht="14.25">
      <c r="A51" s="168"/>
      <c r="B51" s="2043"/>
      <c r="C51" s="2035"/>
      <c r="D51" s="202" t="s">
        <v>302</v>
      </c>
      <c r="E51" s="202">
        <v>1</v>
      </c>
      <c r="F51" s="441">
        <f>'All Emissions - Summary'!I82</f>
        <v>0</v>
      </c>
      <c r="G51" s="1840"/>
      <c r="H51" s="1840"/>
      <c r="I51" s="1840"/>
      <c r="R51" s="28"/>
      <c r="S51" s="29"/>
      <c r="T51" s="29"/>
      <c r="U51" s="29"/>
      <c r="V51" s="29"/>
      <c r="W51" s="29"/>
      <c r="X51" s="29"/>
    </row>
    <row r="52" spans="1:24" ht="14.25">
      <c r="A52" s="168"/>
      <c r="B52" s="2043"/>
      <c r="C52" s="2035"/>
      <c r="D52" s="202" t="s">
        <v>470</v>
      </c>
      <c r="E52" s="202">
        <v>1</v>
      </c>
      <c r="F52" s="441">
        <f>'All Emissions - Summary'!I83</f>
        <v>0</v>
      </c>
      <c r="G52" s="27"/>
      <c r="R52" s="28"/>
      <c r="S52" s="29"/>
      <c r="T52" s="29"/>
      <c r="U52" s="29"/>
      <c r="V52" s="29"/>
      <c r="W52" s="29"/>
      <c r="X52" s="29"/>
    </row>
    <row r="53" spans="1:24" ht="14.25">
      <c r="A53" s="168"/>
      <c r="B53" s="2043"/>
      <c r="C53" s="2041"/>
      <c r="D53" s="204" t="s">
        <v>472</v>
      </c>
      <c r="E53" s="204">
        <v>1</v>
      </c>
      <c r="F53" s="442">
        <f>'All Emissions - Summary'!I84</f>
        <v>8480.4181741040011</v>
      </c>
      <c r="G53" s="27"/>
      <c r="R53" s="28"/>
      <c r="S53" s="29"/>
      <c r="T53" s="29"/>
      <c r="U53" s="29"/>
      <c r="V53" s="29"/>
      <c r="W53" s="29"/>
      <c r="X53" s="29"/>
    </row>
    <row r="54" spans="1:24" ht="15" thickBot="1">
      <c r="A54" s="168"/>
      <c r="B54" s="2043"/>
      <c r="C54" s="1673" t="s">
        <v>126</v>
      </c>
      <c r="D54" s="1673" t="s">
        <v>472</v>
      </c>
      <c r="E54" s="1673">
        <v>1</v>
      </c>
      <c r="F54" s="1674">
        <f>'All Emissions - Summary'!I85</f>
        <v>0</v>
      </c>
      <c r="G54" s="27"/>
      <c r="R54" s="28"/>
      <c r="S54" s="29"/>
      <c r="T54" s="29"/>
      <c r="U54" s="29"/>
      <c r="V54" s="29"/>
      <c r="W54" s="29"/>
      <c r="X54" s="29"/>
    </row>
    <row r="55" spans="1:24" ht="14.25">
      <c r="A55" s="168"/>
      <c r="B55" s="2097" t="s">
        <v>442</v>
      </c>
      <c r="C55" s="2089" t="s">
        <v>456</v>
      </c>
      <c r="D55" s="210" t="s">
        <v>473</v>
      </c>
      <c r="E55" s="210">
        <v>1</v>
      </c>
      <c r="F55" s="1143">
        <f>I86</f>
        <v>0</v>
      </c>
      <c r="G55" s="27"/>
      <c r="M55" s="28"/>
      <c r="N55" s="29"/>
      <c r="O55" s="29"/>
      <c r="P55" s="29"/>
      <c r="Q55" s="29"/>
      <c r="R55" s="29"/>
      <c r="S55" s="29"/>
      <c r="T55" s="29"/>
      <c r="U55" s="29"/>
      <c r="V55" s="29"/>
      <c r="W55" s="29"/>
      <c r="X55" s="29"/>
    </row>
    <row r="56" spans="1:24" ht="14.25">
      <c r="A56" s="168"/>
      <c r="B56" s="2043"/>
      <c r="C56" s="2090"/>
      <c r="D56" s="211" t="s">
        <v>373</v>
      </c>
      <c r="E56" s="211">
        <v>1</v>
      </c>
      <c r="F56" s="214">
        <f t="shared" ref="F56:F59" si="1">I87</f>
        <v>2005.7818577635799</v>
      </c>
      <c r="G56" s="27"/>
      <c r="M56" s="28"/>
      <c r="N56" s="29"/>
      <c r="O56" s="29"/>
      <c r="P56" s="29"/>
      <c r="Q56" s="29"/>
      <c r="R56" s="29"/>
      <c r="S56" s="29"/>
      <c r="T56" s="29"/>
      <c r="U56" s="29"/>
      <c r="V56" s="29"/>
      <c r="W56" s="29"/>
      <c r="X56" s="29"/>
    </row>
    <row r="57" spans="1:24" ht="14.25">
      <c r="A57" s="168"/>
      <c r="B57" s="2043"/>
      <c r="C57" s="2090"/>
      <c r="D57" s="211" t="s">
        <v>467</v>
      </c>
      <c r="E57" s="211">
        <v>2</v>
      </c>
      <c r="F57" s="214">
        <f t="shared" si="1"/>
        <v>4.0754228008817499</v>
      </c>
      <c r="G57" s="27"/>
      <c r="M57" s="28"/>
      <c r="N57" s="29"/>
      <c r="O57" s="29"/>
      <c r="P57" s="29"/>
      <c r="Q57" s="29"/>
      <c r="R57" s="29"/>
      <c r="S57" s="29"/>
      <c r="T57" s="29"/>
      <c r="U57" s="29"/>
      <c r="V57" s="29"/>
      <c r="W57" s="29"/>
      <c r="X57" s="29"/>
    </row>
    <row r="58" spans="1:24" ht="14.25">
      <c r="A58" s="168"/>
      <c r="B58" s="2043"/>
      <c r="C58" s="2090"/>
      <c r="D58" s="211" t="s">
        <v>468</v>
      </c>
      <c r="E58" s="211">
        <v>3</v>
      </c>
      <c r="F58" s="214">
        <f t="shared" si="1"/>
        <v>0.19965588728801134</v>
      </c>
      <c r="G58" s="27"/>
      <c r="M58" s="28"/>
      <c r="N58" s="29"/>
      <c r="O58" s="29"/>
      <c r="P58" s="29"/>
      <c r="Q58" s="29"/>
      <c r="R58" s="29"/>
      <c r="S58" s="29"/>
      <c r="T58" s="29"/>
      <c r="U58" s="29"/>
      <c r="V58" s="29"/>
      <c r="W58" s="29"/>
      <c r="X58" s="29"/>
    </row>
    <row r="59" spans="1:24" ht="14.25">
      <c r="A59" s="168"/>
      <c r="B59" s="2043"/>
      <c r="C59" s="2041"/>
      <c r="D59" s="212" t="s">
        <v>375</v>
      </c>
      <c r="E59" s="212">
        <v>1</v>
      </c>
      <c r="F59" s="215">
        <f t="shared" si="1"/>
        <v>37516.945536517553</v>
      </c>
      <c r="G59" s="27"/>
      <c r="M59" s="28"/>
      <c r="N59" s="29"/>
      <c r="O59" s="29"/>
      <c r="P59" s="29"/>
      <c r="Q59" s="29"/>
      <c r="R59" s="29"/>
      <c r="S59" s="29"/>
      <c r="T59" s="29"/>
      <c r="U59" s="29"/>
      <c r="V59" s="29"/>
      <c r="W59" s="29"/>
      <c r="X59" s="29"/>
    </row>
    <row r="60" spans="1:24" ht="14.25">
      <c r="A60" s="168"/>
      <c r="B60" s="2043"/>
      <c r="C60" s="2091" t="s">
        <v>474</v>
      </c>
      <c r="D60" s="213" t="s">
        <v>373</v>
      </c>
      <c r="E60" s="213">
        <v>1</v>
      </c>
      <c r="F60" s="377">
        <f>I91</f>
        <v>0</v>
      </c>
      <c r="G60" s="27"/>
      <c r="M60" s="28"/>
      <c r="N60" s="29"/>
      <c r="O60" s="29"/>
      <c r="P60" s="29"/>
      <c r="Q60" s="29"/>
      <c r="R60" s="29"/>
      <c r="S60" s="29"/>
      <c r="T60" s="29"/>
      <c r="U60" s="29"/>
      <c r="V60" s="29"/>
      <c r="W60" s="29"/>
      <c r="X60" s="29"/>
    </row>
    <row r="61" spans="1:24" ht="14.25">
      <c r="A61" s="168"/>
      <c r="B61" s="2043"/>
      <c r="C61" s="2090"/>
      <c r="D61" s="211" t="s">
        <v>467</v>
      </c>
      <c r="E61" s="211">
        <v>2</v>
      </c>
      <c r="F61" s="214">
        <f t="shared" ref="F61:F62" si="2">I92</f>
        <v>0</v>
      </c>
      <c r="G61" s="27"/>
      <c r="M61" s="28"/>
      <c r="N61" s="29"/>
      <c r="O61" s="29"/>
      <c r="P61" s="29"/>
      <c r="Q61" s="29"/>
      <c r="R61" s="29"/>
      <c r="S61" s="29"/>
      <c r="T61" s="29"/>
      <c r="U61" s="29"/>
      <c r="V61" s="29"/>
      <c r="W61" s="29"/>
      <c r="X61" s="29"/>
    </row>
    <row r="62" spans="1:24" ht="15" thickBot="1">
      <c r="A62" s="168"/>
      <c r="B62" s="2098"/>
      <c r="C62" s="2041"/>
      <c r="D62" s="378" t="s">
        <v>468</v>
      </c>
      <c r="E62" s="378">
        <v>3</v>
      </c>
      <c r="F62" s="379">
        <f t="shared" si="2"/>
        <v>0</v>
      </c>
      <c r="G62" s="27"/>
      <c r="M62" s="28"/>
      <c r="N62" s="29"/>
      <c r="O62" s="29"/>
      <c r="P62" s="29"/>
      <c r="Q62" s="29"/>
      <c r="R62" s="29"/>
      <c r="S62" s="29"/>
      <c r="T62" s="29"/>
      <c r="U62" s="29"/>
      <c r="V62" s="29"/>
      <c r="W62" s="29"/>
      <c r="X62" s="29"/>
    </row>
    <row r="63" spans="1:24" ht="14.25">
      <c r="A63" s="168"/>
      <c r="B63" s="2102" t="s">
        <v>443</v>
      </c>
      <c r="C63" s="216" t="s">
        <v>475</v>
      </c>
      <c r="D63" s="217" t="s">
        <v>476</v>
      </c>
      <c r="E63" s="217">
        <v>3</v>
      </c>
      <c r="F63" s="380">
        <f>I94</f>
        <v>0</v>
      </c>
      <c r="G63" s="27"/>
      <c r="M63" s="28"/>
      <c r="N63" s="29"/>
      <c r="O63" s="29"/>
      <c r="P63" s="29"/>
      <c r="Q63" s="29"/>
      <c r="R63" s="29"/>
      <c r="S63" s="29"/>
      <c r="T63" s="29"/>
      <c r="U63" s="29"/>
      <c r="V63" s="29"/>
      <c r="W63" s="29"/>
      <c r="X63" s="29"/>
    </row>
    <row r="64" spans="1:24" ht="14.25">
      <c r="A64" s="168"/>
      <c r="B64" s="2103"/>
      <c r="C64" s="1127" t="s">
        <v>459</v>
      </c>
      <c r="D64" s="1128" t="s">
        <v>477</v>
      </c>
      <c r="E64" s="1128">
        <v>3</v>
      </c>
      <c r="F64" s="1147">
        <f>I95</f>
        <v>4385.6256186989476</v>
      </c>
      <c r="G64" s="27"/>
      <c r="M64" s="28"/>
      <c r="N64" s="29"/>
      <c r="O64" s="29"/>
      <c r="P64" s="29"/>
      <c r="Q64" s="29"/>
      <c r="R64" s="29"/>
      <c r="S64" s="29"/>
      <c r="T64" s="29"/>
      <c r="U64" s="29"/>
      <c r="V64" s="29"/>
      <c r="W64" s="29"/>
      <c r="X64" s="29"/>
    </row>
    <row r="65" spans="1:24" ht="14.25">
      <c r="A65" s="168"/>
      <c r="B65" s="2103"/>
      <c r="C65" s="1141" t="s">
        <v>460</v>
      </c>
      <c r="D65" s="359" t="s">
        <v>189</v>
      </c>
      <c r="E65" s="359">
        <v>3</v>
      </c>
      <c r="F65" s="381">
        <f t="shared" ref="F65:F66" si="3">I96</f>
        <v>0</v>
      </c>
      <c r="G65" s="27"/>
      <c r="M65" s="28"/>
      <c r="N65" s="29"/>
      <c r="O65" s="29"/>
      <c r="P65" s="29"/>
      <c r="Q65" s="29"/>
      <c r="R65" s="29"/>
      <c r="S65" s="29"/>
      <c r="T65" s="29"/>
      <c r="U65" s="29"/>
      <c r="V65" s="29"/>
      <c r="W65" s="29"/>
      <c r="X65" s="29"/>
    </row>
    <row r="66" spans="1:24" ht="15" thickBot="1">
      <c r="A66" s="168"/>
      <c r="B66" s="2104"/>
      <c r="C66" s="1675" t="s">
        <v>461</v>
      </c>
      <c r="D66" s="1676" t="s">
        <v>478</v>
      </c>
      <c r="E66" s="1676">
        <v>3</v>
      </c>
      <c r="F66" s="1677">
        <f t="shared" si="3"/>
        <v>1871.057109032</v>
      </c>
      <c r="G66" s="27"/>
      <c r="M66" s="28"/>
      <c r="N66" s="29"/>
      <c r="O66" s="29"/>
      <c r="P66" s="29"/>
      <c r="Q66" s="29"/>
      <c r="R66" s="29"/>
      <c r="S66" s="29"/>
      <c r="T66" s="29"/>
      <c r="U66" s="29"/>
      <c r="V66" s="29"/>
      <c r="W66" s="29"/>
      <c r="X66" s="29"/>
    </row>
    <row r="67" spans="1:24" ht="15" thickBot="1">
      <c r="A67" s="168"/>
      <c r="B67" s="2044" t="s">
        <v>479</v>
      </c>
      <c r="C67" s="2045"/>
      <c r="D67" s="2045"/>
      <c r="E67" s="2046"/>
      <c r="F67" s="446">
        <f>SUM(F41:F66)</f>
        <v>141483.61399157951</v>
      </c>
      <c r="G67" s="27"/>
      <c r="R67" s="28"/>
      <c r="S67" s="29"/>
      <c r="T67" s="29"/>
      <c r="U67" s="29"/>
      <c r="V67" s="29"/>
      <c r="W67" s="29"/>
      <c r="X67" s="29"/>
    </row>
    <row r="68" spans="1:24" ht="15" thickBot="1">
      <c r="A68" s="168"/>
      <c r="B68" s="168"/>
      <c r="D68" s="27"/>
      <c r="E68" s="27"/>
      <c r="F68" s="1227"/>
      <c r="G68" s="1227"/>
      <c r="H68" s="1227"/>
      <c r="N68" s="28"/>
      <c r="O68" s="29"/>
      <c r="W68" s="28"/>
      <c r="X68" s="29"/>
    </row>
    <row r="69" spans="1:24" ht="15.75" thickBot="1">
      <c r="A69" s="168"/>
      <c r="B69" s="2013" t="s">
        <v>480</v>
      </c>
      <c r="C69" s="1908"/>
      <c r="D69" s="1908"/>
      <c r="E69" s="1908"/>
      <c r="F69" s="1908"/>
      <c r="G69" s="1908"/>
      <c r="H69" s="1908"/>
      <c r="I69" s="1909"/>
      <c r="N69" s="28"/>
      <c r="O69" s="29"/>
      <c r="W69" s="28"/>
      <c r="X69" s="29"/>
    </row>
    <row r="70" spans="1:24" ht="14.25">
      <c r="A70" s="168"/>
      <c r="B70" s="2094" t="s">
        <v>38</v>
      </c>
      <c r="C70" s="2092" t="s">
        <v>453</v>
      </c>
      <c r="D70" s="2092" t="s">
        <v>464</v>
      </c>
      <c r="E70" s="2092" t="s">
        <v>465</v>
      </c>
      <c r="F70" s="2092" t="s">
        <v>481</v>
      </c>
      <c r="G70" s="2030" t="s">
        <v>482</v>
      </c>
      <c r="H70" s="2030" t="s">
        <v>483</v>
      </c>
      <c r="I70" s="2032" t="s">
        <v>484</v>
      </c>
      <c r="J70" s="168"/>
      <c r="K70" s="168"/>
      <c r="L70" s="29"/>
      <c r="W70" s="28"/>
      <c r="X70" s="29"/>
    </row>
    <row r="71" spans="1:24" ht="15" thickBot="1">
      <c r="A71" s="168"/>
      <c r="B71" s="2095"/>
      <c r="C71" s="2093"/>
      <c r="D71" s="2093"/>
      <c r="E71" s="2093"/>
      <c r="F71" s="2093"/>
      <c r="G71" s="2031"/>
      <c r="H71" s="2031"/>
      <c r="I71" s="2033"/>
      <c r="J71" s="1837"/>
      <c r="K71" s="1837"/>
      <c r="L71" s="1838"/>
      <c r="W71" s="28"/>
      <c r="X71" s="29"/>
    </row>
    <row r="72" spans="1:24" ht="42" customHeight="1">
      <c r="A72" s="168"/>
      <c r="B72" s="2042" t="s">
        <v>441</v>
      </c>
      <c r="C72" s="2034" t="s">
        <v>454</v>
      </c>
      <c r="D72" s="199" t="s">
        <v>467</v>
      </c>
      <c r="E72" s="199">
        <v>2</v>
      </c>
      <c r="F72" s="1144">
        <f>'Stationary Energy - Summary'!H18</f>
        <v>2.219928087312498</v>
      </c>
      <c r="G72" s="200">
        <f>'Stationary Energy - Summary'!I18</f>
        <v>25643.996870678853</v>
      </c>
      <c r="H72" s="200">
        <f>'Stationary Energy - Summary'!J18</f>
        <v>0.30619697756034447</v>
      </c>
      <c r="I72" s="1129">
        <f>(F72*'Emission Factors'!$B$126)+(G72)+(H72*'Emission Factors'!$C$126)</f>
        <v>25787.297056177093</v>
      </c>
      <c r="J72" s="1837"/>
      <c r="K72" s="1837"/>
      <c r="L72" s="1838"/>
      <c r="W72" s="28"/>
      <c r="X72" s="29"/>
    </row>
    <row r="73" spans="1:24" ht="14.25">
      <c r="A73" s="168"/>
      <c r="B73" s="2096"/>
      <c r="C73" s="2035"/>
      <c r="D73" s="202" t="s">
        <v>468</v>
      </c>
      <c r="E73" s="202">
        <v>3</v>
      </c>
      <c r="F73" s="367">
        <f>'Stationary Energy - Summary'!L18</f>
        <v>0.10831659322703241</v>
      </c>
      <c r="G73" s="203">
        <f>'Stationary Energy - Summary'!M18</f>
        <v>1242.0485103740159</v>
      </c>
      <c r="H73" s="203">
        <f>'Stationary Energy - Summary'!N18</f>
        <v>1.4830429974615117E-2</v>
      </c>
      <c r="I73" s="1130">
        <f>(F73*'Emission Factors'!$B$126)+(G73)+(H73*'Emission Factors'!$C$126)</f>
        <v>1249.0114389276457</v>
      </c>
      <c r="J73" s="1839"/>
      <c r="K73" s="1837"/>
      <c r="L73" s="1838"/>
      <c r="W73" s="28"/>
      <c r="X73" s="29"/>
    </row>
    <row r="74" spans="1:24" ht="14.25">
      <c r="A74" s="168"/>
      <c r="B74" s="2096"/>
      <c r="C74" s="2035"/>
      <c r="D74" s="202" t="s">
        <v>291</v>
      </c>
      <c r="E74" s="202">
        <v>1</v>
      </c>
      <c r="F74" s="367">
        <f>'Stationary Energy - Summary'!V15</f>
        <v>1.43576226</v>
      </c>
      <c r="G74" s="203">
        <f>'Stationary Energy - Summary'!W15</f>
        <v>30416.889360000001</v>
      </c>
      <c r="H74" s="203">
        <f>'Stationary Energy - Summary'!X15</f>
        <v>0.2658819</v>
      </c>
      <c r="I74" s="1130">
        <f>(F74*'Emission Factors'!$B$126)+(G74)+(H74*'Emission Factors'!$C$126)</f>
        <v>30527.549406780003</v>
      </c>
      <c r="J74" s="1839"/>
      <c r="K74" s="1837"/>
      <c r="L74" s="1838"/>
      <c r="W74" s="28"/>
      <c r="X74" s="29"/>
    </row>
    <row r="75" spans="1:24" ht="14.25">
      <c r="A75" s="168"/>
      <c r="B75" s="2096"/>
      <c r="C75" s="2035"/>
      <c r="D75" s="202" t="s">
        <v>469</v>
      </c>
      <c r="E75" s="202">
        <v>1</v>
      </c>
      <c r="F75" s="367">
        <f>'Stationary Energy - Summary'!P18</f>
        <v>0.41401775902657245</v>
      </c>
      <c r="G75" s="203">
        <f>'Stationary Energy - Summary'!Q18</f>
        <v>10206.917819201764</v>
      </c>
      <c r="H75" s="367">
        <f>'Stationary Energy - Summary'!R18</f>
        <v>8.2803551805314485E-2</v>
      </c>
      <c r="I75" s="1130">
        <f>(F75*'Emission Factors'!$B$126)+(G75)+(H75*'Emission Factors'!$C$126)</f>
        <v>10240.453257682917</v>
      </c>
      <c r="J75" s="1837"/>
      <c r="K75" s="1837"/>
      <c r="L75" s="1838"/>
      <c r="W75" s="28"/>
      <c r="X75" s="29"/>
    </row>
    <row r="76" spans="1:24" ht="14.25">
      <c r="A76" s="168"/>
      <c r="B76" s="2096"/>
      <c r="C76" s="2035"/>
      <c r="D76" s="202" t="s">
        <v>302</v>
      </c>
      <c r="E76" s="202">
        <v>1</v>
      </c>
      <c r="F76" s="1167"/>
      <c r="G76" s="203">
        <f>'Stationary Energy - Summary'!F18-'Stationary Energy - Summary'!F14</f>
        <v>0</v>
      </c>
      <c r="H76" s="1167"/>
      <c r="I76" s="1130">
        <f>(F76*'Emission Factors'!$B$126)+(G76)+(H76*'Emission Factors'!$C$126)</f>
        <v>0</v>
      </c>
      <c r="J76" s="1837"/>
      <c r="K76" s="1837"/>
      <c r="L76" s="1838"/>
      <c r="W76" s="28"/>
      <c r="X76" s="29"/>
    </row>
    <row r="77" spans="1:24" ht="14.25">
      <c r="A77" s="168"/>
      <c r="B77" s="2096"/>
      <c r="C77" s="2035"/>
      <c r="D77" s="204" t="s">
        <v>470</v>
      </c>
      <c r="E77" s="204">
        <v>1</v>
      </c>
      <c r="F77" s="205">
        <f>'Stationary Energy - Summary'!E18</f>
        <v>0</v>
      </c>
      <c r="G77" s="205">
        <f>'Stationary Energy - Summary'!F14</f>
        <v>0</v>
      </c>
      <c r="H77" s="1170"/>
      <c r="I77" s="1131">
        <f>(F77*'Emission Factors'!$B$126)+(G77)+(H77*'Emission Factors'!$C$126)</f>
        <v>0</v>
      </c>
      <c r="J77" s="1837"/>
      <c r="K77" s="1837"/>
      <c r="L77" s="1838"/>
      <c r="W77" s="28"/>
      <c r="X77" s="29"/>
    </row>
    <row r="78" spans="1:24" ht="14.25">
      <c r="A78" s="168"/>
      <c r="B78" s="2096"/>
      <c r="C78" s="2040" t="s">
        <v>471</v>
      </c>
      <c r="D78" s="206" t="s">
        <v>467</v>
      </c>
      <c r="E78" s="206">
        <v>2</v>
      </c>
      <c r="F78" s="207">
        <f>'Stationary Energy - Summary'!H27</f>
        <v>1.1180146011060919</v>
      </c>
      <c r="G78" s="207">
        <f>'Stationary Energy - Summary'!I27</f>
        <v>12914.996254156578</v>
      </c>
      <c r="H78" s="207">
        <f>'Stationary Energy - Summary'!J27</f>
        <v>0.15420891049739199</v>
      </c>
      <c r="I78" s="1132">
        <f>(F78*'Emission Factors'!$B$126)+(G78)+(H78*'Emission Factors'!$C$126)</f>
        <v>12987.166024269358</v>
      </c>
      <c r="J78" s="1837"/>
      <c r="K78" s="1837"/>
      <c r="L78" s="1838"/>
      <c r="W78" s="28"/>
      <c r="X78" s="29"/>
    </row>
    <row r="79" spans="1:24" ht="14.25">
      <c r="A79" s="168"/>
      <c r="B79" s="2096"/>
      <c r="C79" s="2035"/>
      <c r="D79" s="202" t="s">
        <v>468</v>
      </c>
      <c r="E79" s="202">
        <v>3</v>
      </c>
      <c r="F79" s="203">
        <f>'Stationary Energy - Summary'!L27</f>
        <v>5.4557037803341236E-2</v>
      </c>
      <c r="G79" s="203">
        <f>'Stationary Energy - Summary'!M27</f>
        <v>630.22785048687285</v>
      </c>
      <c r="H79" s="203">
        <f>'Stationary Energy - Summary'!N27</f>
        <v>7.5251086625298252E-3</v>
      </c>
      <c r="I79" s="1130">
        <f>(F79*'Emission Factors'!$B$126)+(G79)+(H79*'Emission Factors'!$C$126)</f>
        <v>633.74960134093681</v>
      </c>
      <c r="J79" s="1837"/>
      <c r="K79" s="1837"/>
      <c r="L79" s="1838"/>
      <c r="W79" s="28"/>
      <c r="X79" s="29"/>
    </row>
    <row r="80" spans="1:24" ht="14.25">
      <c r="A80" s="168"/>
      <c r="B80" s="2096"/>
      <c r="C80" s="2035"/>
      <c r="D80" s="208" t="s">
        <v>291</v>
      </c>
      <c r="E80" s="202">
        <v>1</v>
      </c>
      <c r="F80" s="209">
        <f>'Stationary Energy - Summary'!V23</f>
        <v>1.440639E-2</v>
      </c>
      <c r="G80" s="209">
        <f>'Stationary Energy - Summary'!W23</f>
        <v>305.20204000000001</v>
      </c>
      <c r="H80" s="209">
        <f>'Stationary Energy - Summary'!X23</f>
        <v>2.6678499999999998E-3</v>
      </c>
      <c r="I80" s="1130">
        <f>(F80*'Emission Factors'!$B$126)+(G80)+(H80*'Emission Factors'!$C$126)</f>
        <v>306.31239917000005</v>
      </c>
      <c r="J80" s="1837"/>
      <c r="K80" s="1837"/>
      <c r="L80" s="1838"/>
      <c r="W80" s="28"/>
      <c r="X80" s="29"/>
    </row>
    <row r="81" spans="1:24" ht="14.25">
      <c r="A81" s="168"/>
      <c r="B81" s="2096"/>
      <c r="C81" s="2035"/>
      <c r="D81" s="208" t="s">
        <v>469</v>
      </c>
      <c r="E81" s="208">
        <v>1</v>
      </c>
      <c r="F81" s="1145">
        <f>'Stationary Energy - Summary'!P27</f>
        <v>0.22187666667495659</v>
      </c>
      <c r="G81" s="209">
        <f>'Stationary Energy - Summary'!Q27</f>
        <v>5469.9994224265956</v>
      </c>
      <c r="H81" s="1146">
        <f>'Stationary Energy - Summary'!R27</f>
        <v>4.4375333334991322E-2</v>
      </c>
      <c r="I81" s="1133">
        <f>(F81*'Emission Factors'!$B$126)+(G81)+(H81*'Emission Factors'!$C$126)</f>
        <v>5487.9714324272672</v>
      </c>
      <c r="J81" s="1837"/>
      <c r="K81" s="1837"/>
      <c r="L81" s="1838"/>
      <c r="W81" s="28"/>
      <c r="X81" s="29"/>
    </row>
    <row r="82" spans="1:24" ht="14.25">
      <c r="A82" s="168"/>
      <c r="B82" s="2096"/>
      <c r="C82" s="2035"/>
      <c r="D82" s="202" t="s">
        <v>302</v>
      </c>
      <c r="E82" s="202">
        <v>1</v>
      </c>
      <c r="F82" s="1167"/>
      <c r="G82" s="203">
        <f>'Stationary Energy - Summary'!F27-'Stationary Energy - Summary'!F22</f>
        <v>0</v>
      </c>
      <c r="H82" s="1167"/>
      <c r="I82" s="1130">
        <f>(F82*'Emission Factors'!$B$126)+(G82)+(H82*'Emission Factors'!$C$126)</f>
        <v>0</v>
      </c>
      <c r="J82" s="1837"/>
      <c r="K82" s="1837"/>
      <c r="L82" s="1838"/>
      <c r="W82" s="28"/>
      <c r="X82" s="29"/>
    </row>
    <row r="83" spans="1:24" ht="14.25">
      <c r="A83" s="168"/>
      <c r="B83" s="2096"/>
      <c r="C83" s="2035"/>
      <c r="D83" s="208" t="s">
        <v>470</v>
      </c>
      <c r="E83" s="208">
        <v>1</v>
      </c>
      <c r="F83" s="209">
        <f>'Stationary Energy - Summary'!E27</f>
        <v>0</v>
      </c>
      <c r="G83" s="209">
        <f>'Stationary Energy - Summary'!F22</f>
        <v>0</v>
      </c>
      <c r="H83" s="1167"/>
      <c r="I83" s="1130">
        <f>(F83*'Emission Factors'!$B$126)+(G83)+(H83*'Emission Factors'!$C$126)</f>
        <v>0</v>
      </c>
      <c r="J83" s="1837"/>
      <c r="K83" s="1837"/>
      <c r="L83" s="1838"/>
      <c r="W83" s="28"/>
      <c r="X83" s="29"/>
    </row>
    <row r="84" spans="1:24" ht="14.25">
      <c r="A84" s="168"/>
      <c r="B84" s="2096"/>
      <c r="C84" s="2041"/>
      <c r="D84" s="204" t="s">
        <v>472</v>
      </c>
      <c r="E84" s="204">
        <v>1</v>
      </c>
      <c r="F84" s="366">
        <f>'Stationary Energy - Summary'!S27</f>
        <v>5.6009540160000002</v>
      </c>
      <c r="G84" s="205">
        <f>'Stationary Energy - Summary'!T27</f>
        <v>8323.5914616560003</v>
      </c>
      <c r="H84" s="1167"/>
      <c r="I84" s="1131">
        <f>(F84*'Emission Factors'!$B$126)+(G84)+(H84*'Emission Factors'!$C$126)</f>
        <v>8480.4181741040011</v>
      </c>
      <c r="J84" s="1837"/>
      <c r="K84" s="1837"/>
      <c r="L84" s="1838"/>
      <c r="W84" s="28"/>
      <c r="X84" s="29"/>
    </row>
    <row r="85" spans="1:24" ht="15" thickBot="1">
      <c r="A85" s="168"/>
      <c r="B85" s="2095"/>
      <c r="C85" s="1673" t="s">
        <v>126</v>
      </c>
      <c r="D85" s="1124" t="s">
        <v>472</v>
      </c>
      <c r="E85" s="1124">
        <v>1</v>
      </c>
      <c r="F85" s="1125">
        <f>'Stationary Energy - Summary'!S29</f>
        <v>0</v>
      </c>
      <c r="G85" s="1126">
        <f>'Stationary Energy - Summary'!T29</f>
        <v>0</v>
      </c>
      <c r="H85" s="1168"/>
      <c r="I85" s="1134">
        <f>(F85*'Emission Factors'!$B$126)+(G85)+(H85*'Emission Factors'!$C$126)</f>
        <v>0</v>
      </c>
      <c r="J85" s="168"/>
      <c r="K85" s="168"/>
      <c r="L85" s="29"/>
      <c r="W85" s="28"/>
      <c r="X85" s="29"/>
    </row>
    <row r="86" spans="1:24" ht="14.25">
      <c r="A86" s="168"/>
      <c r="B86" s="2105" t="s">
        <v>442</v>
      </c>
      <c r="C86" s="2089" t="s">
        <v>456</v>
      </c>
      <c r="D86" s="210" t="s">
        <v>473</v>
      </c>
      <c r="E86" s="210">
        <v>1</v>
      </c>
      <c r="F86" s="1174"/>
      <c r="G86" s="360">
        <f>'Transportation - Summary'!I11</f>
        <v>0</v>
      </c>
      <c r="H86" s="1169"/>
      <c r="I86" s="1135">
        <f>(F86*'Emission Factors'!$B$126)+(G86)+(H86*'Emission Factors'!$C$126)</f>
        <v>0</v>
      </c>
      <c r="J86" s="168"/>
      <c r="K86" s="168"/>
      <c r="L86" s="29"/>
      <c r="W86" s="28"/>
      <c r="X86" s="29"/>
    </row>
    <row r="87" spans="1:24" ht="14.25">
      <c r="A87" s="168"/>
      <c r="B87" s="2043"/>
      <c r="C87" s="2090"/>
      <c r="D87" s="211" t="s">
        <v>373</v>
      </c>
      <c r="E87" s="211">
        <v>1</v>
      </c>
      <c r="F87" s="368">
        <f>'Transportation - Summary'!H12</f>
        <v>0.11723856596159464</v>
      </c>
      <c r="G87" s="361">
        <f>'Transportation - Summary'!I12</f>
        <v>1983.7320805684376</v>
      </c>
      <c r="H87" s="368">
        <f>'Transportation - Summary'!J12</f>
        <v>7.0819235276293219E-2</v>
      </c>
      <c r="I87" s="1135">
        <f>(F87*'Emission Factors'!$B$126)+(G87)+(H87*'Emission Factors'!$C$126)</f>
        <v>2005.7818577635799</v>
      </c>
      <c r="J87" s="168"/>
      <c r="K87" s="168"/>
      <c r="L87" s="29"/>
      <c r="W87" s="28"/>
      <c r="X87" s="29"/>
    </row>
    <row r="88" spans="1:24" ht="14.25">
      <c r="A88" s="168"/>
      <c r="B88" s="2043"/>
      <c r="C88" s="2090"/>
      <c r="D88" s="211" t="s">
        <v>467</v>
      </c>
      <c r="E88" s="211">
        <v>2</v>
      </c>
      <c r="F88" s="369">
        <f>'Transportation - Summary'!H13</f>
        <v>3.5083729495348606E-4</v>
      </c>
      <c r="G88" s="361">
        <f>'Transportation - Summary'!I13</f>
        <v>4.0527756486006146</v>
      </c>
      <c r="H88" s="369">
        <f>'Transportation - Summary'!J13</f>
        <v>4.8391351028067038E-5</v>
      </c>
      <c r="I88" s="1135">
        <f>(F88*'Emission Factors'!$B$126)+(G88)+(H88*'Emission Factors'!$C$126)</f>
        <v>4.0754228008817499</v>
      </c>
      <c r="J88" s="168"/>
      <c r="K88" s="168"/>
      <c r="L88" s="29"/>
      <c r="W88" s="28"/>
      <c r="X88" s="29"/>
    </row>
    <row r="89" spans="1:24" ht="14.25">
      <c r="A89" s="168"/>
      <c r="B89" s="2043"/>
      <c r="C89" s="2090"/>
      <c r="D89" s="211" t="s">
        <v>468</v>
      </c>
      <c r="E89" s="211">
        <v>3</v>
      </c>
      <c r="F89" s="370">
        <f>'Transportation - Summary'!H14</f>
        <v>1.7187598646822323E-5</v>
      </c>
      <c r="G89" s="361">
        <f>'Transportation - Summary'!I14</f>
        <v>0.19854639816156819</v>
      </c>
      <c r="H89" s="370">
        <f>'Transportation - Summary'!J14</f>
        <v>2.3707032616306655E-6</v>
      </c>
      <c r="I89" s="1135">
        <f>(F89*'Emission Factors'!$B$126)+(G89)+(H89*'Emission Factors'!$C$126)</f>
        <v>0.19965588728801134</v>
      </c>
      <c r="J89" s="168"/>
      <c r="K89" s="168"/>
      <c r="L89" s="29"/>
      <c r="W89" s="28"/>
      <c r="X89" s="29"/>
    </row>
    <row r="90" spans="1:24" ht="14.25">
      <c r="A90" s="168"/>
      <c r="B90" s="2043"/>
      <c r="C90" s="2041"/>
      <c r="D90" s="212" t="s">
        <v>375</v>
      </c>
      <c r="E90" s="212">
        <v>1</v>
      </c>
      <c r="F90" s="371">
        <f>'Transportation - Summary'!H15</f>
        <v>2.192876995539665</v>
      </c>
      <c r="G90" s="362">
        <f>'Transportation - Summary'!I15</f>
        <v>37104.517691026485</v>
      </c>
      <c r="H90" s="371">
        <f>'Transportation - Summary'!J15</f>
        <v>1.3246312815696453</v>
      </c>
      <c r="I90" s="1136">
        <f>(F90*'Emission Factors'!$B$126)+(G90)+(H90*'Emission Factors'!$C$126)</f>
        <v>37516.945536517553</v>
      </c>
      <c r="J90" s="168"/>
      <c r="K90" s="168"/>
      <c r="L90" s="29"/>
      <c r="W90" s="28"/>
      <c r="X90" s="29"/>
    </row>
    <row r="91" spans="1:24" ht="14.25">
      <c r="A91" s="168"/>
      <c r="B91" s="2043"/>
      <c r="C91" s="2091" t="s">
        <v>474</v>
      </c>
      <c r="D91" s="213" t="s">
        <v>373</v>
      </c>
      <c r="E91" s="213">
        <v>1</v>
      </c>
      <c r="F91" s="372">
        <f>'Transportation - Summary'!H17</f>
        <v>0</v>
      </c>
      <c r="G91" s="372">
        <f>'Transportation - Summary'!I17</f>
        <v>0</v>
      </c>
      <c r="H91" s="372">
        <f>'Transportation - Summary'!J17</f>
        <v>0</v>
      </c>
      <c r="I91" s="1135">
        <f>(F91*'Emission Factors'!$B$126)+(G91)+(H91*'Emission Factors'!$C$126)</f>
        <v>0</v>
      </c>
      <c r="J91" s="168"/>
      <c r="K91" s="168"/>
      <c r="L91" s="29"/>
      <c r="W91" s="28"/>
      <c r="X91" s="29"/>
    </row>
    <row r="92" spans="1:24" ht="14.25">
      <c r="A92" s="168"/>
      <c r="B92" s="2043"/>
      <c r="C92" s="2090"/>
      <c r="D92" s="211" t="s">
        <v>467</v>
      </c>
      <c r="E92" s="211">
        <v>2</v>
      </c>
      <c r="F92" s="368">
        <f>'Transportation - Summary'!H18</f>
        <v>0</v>
      </c>
      <c r="G92" s="361">
        <f>'Transportation - Summary'!I18</f>
        <v>0</v>
      </c>
      <c r="H92" s="368">
        <f>'Transportation - Summary'!J18</f>
        <v>0</v>
      </c>
      <c r="I92" s="1137">
        <f>(F92*'Emission Factors'!$B$126)+(G92)+(H92*'Emission Factors'!$C$126)</f>
        <v>0</v>
      </c>
      <c r="J92" s="168"/>
      <c r="K92" s="168"/>
      <c r="L92" s="29"/>
      <c r="W92" s="28"/>
      <c r="X92" s="29"/>
    </row>
    <row r="93" spans="1:24" ht="15" thickBot="1">
      <c r="A93" s="168"/>
      <c r="B93" s="2098"/>
      <c r="C93" s="2041"/>
      <c r="D93" s="212" t="s">
        <v>468</v>
      </c>
      <c r="E93" s="212">
        <v>3</v>
      </c>
      <c r="F93" s="373">
        <f>'Transportation - Summary'!H19</f>
        <v>0</v>
      </c>
      <c r="G93" s="362">
        <f>'Transportation - Summary'!I19</f>
        <v>0</v>
      </c>
      <c r="H93" s="373">
        <f>'Transportation - Summary'!J19</f>
        <v>0</v>
      </c>
      <c r="I93" s="1138">
        <f>(F93*'Emission Factors'!$B$126)+(G93)+(H93*'Emission Factors'!$C$126)</f>
        <v>0</v>
      </c>
      <c r="J93" s="168"/>
      <c r="K93" s="168"/>
      <c r="L93" s="29"/>
      <c r="W93" s="28"/>
      <c r="X93" s="29"/>
    </row>
    <row r="94" spans="1:24" ht="14.25">
      <c r="A94" s="168"/>
      <c r="B94" s="2102" t="s">
        <v>443</v>
      </c>
      <c r="C94" s="216" t="s">
        <v>475</v>
      </c>
      <c r="D94" s="217" t="s">
        <v>476</v>
      </c>
      <c r="E94" s="217">
        <v>3</v>
      </c>
      <c r="F94" s="363">
        <f>'Waste - Summary'!G11</f>
        <v>0</v>
      </c>
      <c r="G94" s="1171"/>
      <c r="H94" s="1172"/>
      <c r="I94" s="1139">
        <f>(F94*'Emission Factors'!$B$126)+(G94)+(H94*'Emission Factors'!$C$126)</f>
        <v>0</v>
      </c>
      <c r="J94" s="168"/>
      <c r="K94" s="168"/>
      <c r="L94" s="29"/>
      <c r="W94" s="28"/>
      <c r="X94" s="29"/>
    </row>
    <row r="95" spans="1:24" ht="14.25">
      <c r="A95" s="168"/>
      <c r="B95" s="2103"/>
      <c r="C95" s="1127" t="s">
        <v>459</v>
      </c>
      <c r="D95" s="359" t="s">
        <v>477</v>
      </c>
      <c r="E95" s="359">
        <v>3</v>
      </c>
      <c r="F95" s="364">
        <f>'Waste - Summary'!G12</f>
        <v>91.605757048541989</v>
      </c>
      <c r="G95" s="1173"/>
      <c r="H95" s="374">
        <f>'Waste - Summary'!I12</f>
        <v>6.8704317786406488</v>
      </c>
      <c r="I95" s="1140">
        <f>(F95*'Emission Factors'!$B$126)+(G95)+(H95*'Emission Factors'!$C$126)</f>
        <v>4385.6256186989476</v>
      </c>
      <c r="J95" s="168"/>
      <c r="K95" s="168"/>
      <c r="L95" s="29"/>
      <c r="W95" s="28"/>
      <c r="X95" s="29"/>
    </row>
    <row r="96" spans="1:24" ht="14.25">
      <c r="A96" s="168"/>
      <c r="B96" s="2103"/>
      <c r="C96" s="1141" t="s">
        <v>460</v>
      </c>
      <c r="D96" s="359" t="s">
        <v>189</v>
      </c>
      <c r="E96" s="359">
        <v>3</v>
      </c>
      <c r="F96" s="375">
        <f>'Waste - Summary'!G13</f>
        <v>0</v>
      </c>
      <c r="G96" s="364">
        <f>'Waste - Summary'!H13</f>
        <v>0</v>
      </c>
      <c r="H96" s="374">
        <f>'Waste - Summary'!I13</f>
        <v>0</v>
      </c>
      <c r="I96" s="1140">
        <f>(F96*'Emission Factors'!$B$126)+(G96)+(H96*'Emission Factors'!$C$126)</f>
        <v>0</v>
      </c>
      <c r="J96" s="168"/>
      <c r="K96" s="168"/>
      <c r="L96" s="29"/>
      <c r="W96" s="28"/>
      <c r="X96" s="29"/>
    </row>
    <row r="97" spans="1:24" ht="15" thickBot="1">
      <c r="A97" s="168"/>
      <c r="B97" s="2104"/>
      <c r="C97" s="1675" t="s">
        <v>461</v>
      </c>
      <c r="D97" s="1676" t="s">
        <v>478</v>
      </c>
      <c r="E97" s="1676">
        <v>3</v>
      </c>
      <c r="F97" s="1678">
        <f>'Waste - Summary'!G14</f>
        <v>55.089449999999999</v>
      </c>
      <c r="G97" s="1679"/>
      <c r="H97" s="1680">
        <f>'Waste - Summary'!I14</f>
        <v>1.2398207887999999</v>
      </c>
      <c r="I97" s="1681">
        <f>(F97*'Emission Factors'!$B$126)+(G97)+(H97*'Emission Factors'!$C$126)</f>
        <v>1871.057109032</v>
      </c>
      <c r="J97" s="168"/>
      <c r="K97" s="168"/>
      <c r="L97" s="29"/>
      <c r="W97" s="28"/>
      <c r="X97" s="29"/>
    </row>
    <row r="98" spans="1:24" ht="15" thickBot="1">
      <c r="A98" s="168"/>
      <c r="B98" s="2044" t="s">
        <v>479</v>
      </c>
      <c r="C98" s="2045"/>
      <c r="D98" s="2045"/>
      <c r="E98" s="2046"/>
      <c r="F98" s="365">
        <f>SUM(F72:F97)</f>
        <v>160.19352404608736</v>
      </c>
      <c r="G98" s="365">
        <f>SUM(G72:G97)</f>
        <v>134246.37068262236</v>
      </c>
      <c r="H98" s="376">
        <f>SUM(H72:H97)</f>
        <v>10.384243908176064</v>
      </c>
      <c r="I98" s="1142">
        <f>SUM(I72:I97)</f>
        <v>141483.61399157951</v>
      </c>
      <c r="J98" s="168"/>
      <c r="K98" s="168"/>
      <c r="L98" s="29"/>
      <c r="W98" s="28"/>
      <c r="X98" s="29"/>
    </row>
    <row r="99" spans="1:24" ht="15" thickBot="1">
      <c r="A99" s="168"/>
      <c r="B99" s="169"/>
      <c r="C99" s="169"/>
      <c r="D99" s="169"/>
      <c r="E99" s="169"/>
      <c r="F99" s="1224"/>
      <c r="G99" s="1224"/>
      <c r="H99" s="1225"/>
      <c r="I99" s="226"/>
      <c r="J99" s="168"/>
      <c r="K99" s="168"/>
      <c r="L99" s="29"/>
      <c r="W99" s="28"/>
      <c r="X99" s="29"/>
    </row>
    <row r="100" spans="1:24" ht="15.75" thickBot="1">
      <c r="A100" s="168"/>
      <c r="B100" s="2013" t="s">
        <v>485</v>
      </c>
      <c r="C100" s="2053"/>
      <c r="D100" s="2053"/>
      <c r="E100" s="2053"/>
      <c r="F100" s="2054"/>
      <c r="G100" s="168"/>
      <c r="H100" s="168"/>
      <c r="I100" s="168"/>
      <c r="J100" s="168"/>
      <c r="K100" s="168"/>
      <c r="L100" s="29"/>
      <c r="M100" s="29"/>
    </row>
    <row r="101" spans="1:24" ht="26.25" thickBot="1">
      <c r="A101" s="168"/>
      <c r="B101" s="1867" t="s">
        <v>453</v>
      </c>
      <c r="C101" s="385" t="s">
        <v>464</v>
      </c>
      <c r="D101" s="1866" t="s">
        <v>486</v>
      </c>
      <c r="E101" s="1866" t="s">
        <v>487</v>
      </c>
      <c r="F101" s="246" t="s">
        <v>488</v>
      </c>
      <c r="G101" s="168"/>
      <c r="H101" s="168"/>
      <c r="I101" s="168"/>
      <c r="J101" s="168"/>
      <c r="K101" s="168"/>
      <c r="L101" s="29"/>
      <c r="M101" s="29"/>
    </row>
    <row r="102" spans="1:24" ht="14.25">
      <c r="A102" s="168"/>
      <c r="B102" s="2050" t="s">
        <v>454</v>
      </c>
      <c r="C102" s="1175" t="s">
        <v>489</v>
      </c>
      <c r="D102" s="1176">
        <f>('Stationary Energy - Summary'!G18)*'Emission Factors'!D140</f>
        <v>390680.3031044646</v>
      </c>
      <c r="E102" s="1176">
        <f>'All Emissions - Summary'!I72</f>
        <v>25787.297056177093</v>
      </c>
      <c r="F102" s="1177">
        <f>E102/(SUM($E$102:$E$109))</f>
        <v>0.30218278976114626</v>
      </c>
      <c r="G102" s="1842"/>
      <c r="H102" s="1843"/>
      <c r="I102" s="169"/>
      <c r="J102" s="169"/>
      <c r="K102" s="218"/>
      <c r="L102" s="29"/>
      <c r="M102" s="29"/>
    </row>
    <row r="103" spans="1:24" ht="14.25">
      <c r="A103" s="168"/>
      <c r="B103" s="2051"/>
      <c r="C103" s="1178" t="s">
        <v>490</v>
      </c>
      <c r="D103" s="1184">
        <f>('Stationary Energy - Summary'!D18-'Stationary Energy - Summary'!D14)*'Emission Factors'!D148</f>
        <v>0</v>
      </c>
      <c r="E103" s="1184">
        <f>'All Emissions - Summary'!I76</f>
        <v>0</v>
      </c>
      <c r="F103" s="1574">
        <f>E103/(SUM($E$102:$E$109))</f>
        <v>0</v>
      </c>
      <c r="G103" s="1844"/>
      <c r="H103" s="1843"/>
      <c r="I103" s="169"/>
      <c r="J103" s="169"/>
      <c r="K103" s="218"/>
      <c r="L103" s="29"/>
      <c r="M103" s="29"/>
    </row>
    <row r="104" spans="1:24" ht="14.25">
      <c r="A104" s="168"/>
      <c r="B104" s="2051"/>
      <c r="C104" s="1178" t="s">
        <v>491</v>
      </c>
      <c r="D104" s="1575">
        <f>'Stationary Energy - Propane'!H14</f>
        <v>486308.63037600002</v>
      </c>
      <c r="E104" s="1575">
        <f>I74</f>
        <v>30527.549406780003</v>
      </c>
      <c r="F104" s="1180">
        <f>E104/(SUM($E$102:$E$109))</f>
        <v>0.35773039819628061</v>
      </c>
      <c r="G104" s="1844"/>
      <c r="H104" s="1843"/>
      <c r="I104" s="169"/>
      <c r="J104" s="169"/>
      <c r="K104" s="218"/>
      <c r="L104" s="29"/>
      <c r="M104" s="29"/>
    </row>
    <row r="105" spans="1:24" ht="14.25">
      <c r="A105" s="168"/>
      <c r="B105" s="2052"/>
      <c r="C105" s="1179" t="s">
        <v>492</v>
      </c>
      <c r="D105" s="1575">
        <f>'Stationary Energy - Summary'!O18*'Emission Factors'!D137</f>
        <v>138005.91967552414</v>
      </c>
      <c r="E105" s="1575">
        <f>'All Emissions - Summary'!I75</f>
        <v>10240.453257682917</v>
      </c>
      <c r="F105" s="1180">
        <f>E105/(SUM($E$102:$E$109))</f>
        <v>0.12000050750119187</v>
      </c>
      <c r="G105" s="1842"/>
      <c r="H105" s="1843"/>
      <c r="I105" s="169"/>
      <c r="J105" s="169"/>
      <c r="K105" s="218"/>
      <c r="L105" s="29"/>
      <c r="M105" s="29"/>
    </row>
    <row r="106" spans="1:24" ht="14.25">
      <c r="A106" s="168"/>
      <c r="B106" s="2050" t="s">
        <v>493</v>
      </c>
      <c r="C106" s="1175" t="s">
        <v>494</v>
      </c>
      <c r="D106" s="1176">
        <f>('Stationary Energy - Summary'!G27+'Stationary Energy - Summary'!G29)*'Emission Factors'!D140</f>
        <v>198213.70312737339</v>
      </c>
      <c r="E106" s="1176">
        <f>'All Emissions - Summary'!I78</f>
        <v>12987.166024269358</v>
      </c>
      <c r="F106" s="1177">
        <f>E106/(SUM($E$102:$E$109))</f>
        <v>0.15218725916700193</v>
      </c>
      <c r="G106" s="1842"/>
      <c r="H106" s="1843"/>
      <c r="I106" s="201"/>
      <c r="J106" s="201"/>
      <c r="K106" s="218"/>
      <c r="L106" s="29"/>
      <c r="M106" s="29"/>
    </row>
    <row r="107" spans="1:24" ht="14.25">
      <c r="A107" s="168"/>
      <c r="B107" s="2051"/>
      <c r="C107" s="1178" t="s">
        <v>495</v>
      </c>
      <c r="D107" s="1184">
        <f>('Stationary Energy - Summary'!D27-'Stationary Energy - Summary'!D22)*'Emission Factors'!D148</f>
        <v>0</v>
      </c>
      <c r="E107" s="1184">
        <f>'All Emissions - Summary'!I82</f>
        <v>0</v>
      </c>
      <c r="F107" s="1574">
        <f>E107/(SUM($E$102:$E$109))</f>
        <v>0</v>
      </c>
      <c r="G107" s="1844"/>
      <c r="H107" s="1843"/>
      <c r="I107" s="169"/>
      <c r="J107" s="169"/>
      <c r="K107" s="218"/>
      <c r="L107" s="29"/>
      <c r="M107" s="29"/>
    </row>
    <row r="108" spans="1:24" ht="14.25">
      <c r="A108" s="168"/>
      <c r="B108" s="2051"/>
      <c r="C108" s="1178" t="s">
        <v>496</v>
      </c>
      <c r="D108" s="1575">
        <f>'Stationary Energy - Propane'!H15</f>
        <v>4879.6043640000007</v>
      </c>
      <c r="E108" s="1575">
        <f>I80</f>
        <v>306.31239917000005</v>
      </c>
      <c r="F108" s="1180">
        <f>E108/(SUM($E$102:$E$109))</f>
        <v>3.5894547271850671E-3</v>
      </c>
      <c r="G108" s="1844"/>
      <c r="H108" s="1843"/>
      <c r="I108" s="169"/>
      <c r="J108" s="169"/>
      <c r="K108" s="218"/>
      <c r="L108" s="29"/>
      <c r="M108" s="29"/>
    </row>
    <row r="109" spans="1:24" ht="18.75" customHeight="1">
      <c r="A109" s="168"/>
      <c r="B109" s="2052"/>
      <c r="C109" s="1181" t="s">
        <v>497</v>
      </c>
      <c r="D109" s="1682">
        <f>('Stationary Energy - Summary'!O27)*'Emission Factors'!D137</f>
        <v>73958.888891652212</v>
      </c>
      <c r="E109" s="1682">
        <f>'All Emissions - Summary'!I81</f>
        <v>5487.9714324272672</v>
      </c>
      <c r="F109" s="1683">
        <f>E109/(SUM($E$102:$E$109))</f>
        <v>6.4309590647194229E-2</v>
      </c>
      <c r="G109" s="1842"/>
      <c r="H109" s="1843"/>
      <c r="I109" s="169"/>
      <c r="J109" s="169"/>
      <c r="K109" s="218"/>
      <c r="L109" s="29"/>
      <c r="M109" s="29"/>
    </row>
    <row r="110" spans="1:24" ht="14.25">
      <c r="A110" s="168"/>
      <c r="B110" s="2050" t="s">
        <v>498</v>
      </c>
      <c r="C110" s="1182" t="s">
        <v>467</v>
      </c>
      <c r="D110" s="1176">
        <f>SUM(D102,D106)</f>
        <v>588894.00623183802</v>
      </c>
      <c r="E110" s="1176">
        <f>SUM(E102,E106)</f>
        <v>38774.463080446454</v>
      </c>
      <c r="F110" s="1177">
        <f>E110/(SUM($E$102:$E$109))</f>
        <v>0.4543700489281482</v>
      </c>
      <c r="G110" s="1842"/>
      <c r="H110" s="1843"/>
      <c r="I110" s="169"/>
      <c r="J110" s="169"/>
      <c r="K110" s="218"/>
      <c r="L110" s="29"/>
      <c r="M110" s="29"/>
    </row>
    <row r="111" spans="1:24" ht="14.25">
      <c r="A111" s="168"/>
      <c r="B111" s="2051"/>
      <c r="C111" s="1183" t="s">
        <v>302</v>
      </c>
      <c r="D111" s="1184">
        <f>SUM(D103,D107)</f>
        <v>0</v>
      </c>
      <c r="E111" s="1184">
        <f>SUM(E103,E107)</f>
        <v>0</v>
      </c>
      <c r="F111" s="1574">
        <f>E111/(SUM($E$102:$E$109))</f>
        <v>0</v>
      </c>
      <c r="G111" s="1844"/>
      <c r="H111" s="1843"/>
      <c r="I111" s="169"/>
      <c r="J111" s="169"/>
      <c r="K111" s="218"/>
      <c r="L111" s="29"/>
      <c r="M111" s="29"/>
    </row>
    <row r="112" spans="1:24" ht="14.25">
      <c r="A112" s="168"/>
      <c r="B112" s="2051"/>
      <c r="C112" s="1860" t="s">
        <v>291</v>
      </c>
      <c r="D112" s="1575">
        <f>SUM(D104,D108)</f>
        <v>491188.23474000004</v>
      </c>
      <c r="E112" s="1575">
        <f>SUM(E104,E108)</f>
        <v>30833.861805950004</v>
      </c>
      <c r="F112" s="1180">
        <f>'All Emissions - Summary'!E112/SUM('All Emissions - Summary'!E110:E113)</f>
        <v>0.36131985292346569</v>
      </c>
      <c r="G112" s="1844"/>
      <c r="H112" s="1843"/>
      <c r="I112" s="169"/>
      <c r="J112" s="169"/>
      <c r="K112" s="218"/>
      <c r="L112" s="29"/>
      <c r="M112" s="29"/>
    </row>
    <row r="113" spans="1:24" ht="15" thickBot="1">
      <c r="A113" s="168"/>
      <c r="B113" s="2052"/>
      <c r="C113" s="1185" t="s">
        <v>469</v>
      </c>
      <c r="D113" s="1682">
        <f>SUM(D105,D109)</f>
        <v>211964.80856717634</v>
      </c>
      <c r="E113" s="1682">
        <f t="shared" ref="E113" si="4">SUM(E105,E109)</f>
        <v>15728.424690110183</v>
      </c>
      <c r="F113" s="1683">
        <f>E113/(SUM($E$102:$E$109))</f>
        <v>0.18431009814838609</v>
      </c>
      <c r="G113" s="1842"/>
      <c r="H113" s="1843"/>
      <c r="I113" s="169"/>
      <c r="J113" s="169"/>
      <c r="K113" s="218"/>
      <c r="L113" s="29"/>
      <c r="M113" s="29"/>
    </row>
    <row r="114" spans="1:24" ht="30" customHeight="1" thickBot="1">
      <c r="A114" s="168"/>
      <c r="B114" s="2047" t="s">
        <v>499</v>
      </c>
      <c r="C114" s="2048"/>
      <c r="D114" s="2048"/>
      <c r="E114" s="2049"/>
      <c r="F114" s="169"/>
      <c r="G114" s="219"/>
      <c r="H114" s="169"/>
      <c r="I114" s="169"/>
      <c r="J114" s="169"/>
      <c r="K114" s="218"/>
      <c r="L114" s="29"/>
      <c r="M114" s="29"/>
    </row>
    <row r="115" spans="1:24" ht="15" thickBot="1">
      <c r="A115" s="168"/>
      <c r="B115" s="169"/>
      <c r="C115" s="169"/>
      <c r="D115" s="169"/>
      <c r="E115" s="169"/>
      <c r="F115" s="201"/>
      <c r="G115" s="219"/>
      <c r="H115" s="169"/>
      <c r="I115" s="169"/>
      <c r="J115" s="169"/>
      <c r="K115" s="218"/>
      <c r="L115" s="29"/>
      <c r="M115" s="29"/>
    </row>
    <row r="116" spans="1:24" ht="21.75" customHeight="1" thickBot="1">
      <c r="A116" s="168"/>
      <c r="B116" s="2013" t="s">
        <v>500</v>
      </c>
      <c r="C116" s="1908"/>
      <c r="D116" s="1908"/>
      <c r="E116" s="1909"/>
      <c r="F116" s="168"/>
      <c r="G116" s="168"/>
      <c r="H116" s="218"/>
      <c r="I116" s="168"/>
      <c r="J116" s="29"/>
      <c r="K116" s="29"/>
      <c r="L116" s="29"/>
      <c r="M116" s="29"/>
      <c r="N116" s="29"/>
      <c r="O116" s="29"/>
      <c r="P116" s="29"/>
      <c r="Q116" s="29"/>
      <c r="R116" s="29"/>
      <c r="S116" s="29"/>
      <c r="T116" s="29"/>
      <c r="U116" s="29"/>
      <c r="V116" s="29"/>
      <c r="W116" s="29"/>
      <c r="X116" s="29"/>
    </row>
    <row r="117" spans="1:24" ht="32.25" customHeight="1">
      <c r="A117" s="168"/>
      <c r="B117" s="1161" t="s">
        <v>453</v>
      </c>
      <c r="C117" s="1162" t="s">
        <v>464</v>
      </c>
      <c r="D117" s="1162" t="s">
        <v>465</v>
      </c>
      <c r="E117" s="1163" t="s">
        <v>501</v>
      </c>
      <c r="G117" s="168"/>
      <c r="H117" s="218"/>
      <c r="I117" s="168"/>
      <c r="J117" s="29"/>
      <c r="K117" s="29"/>
      <c r="L117" s="29"/>
      <c r="M117" s="29"/>
      <c r="N117" s="29"/>
      <c r="O117" s="29"/>
      <c r="P117" s="29"/>
      <c r="Q117" s="29"/>
      <c r="R117" s="29"/>
      <c r="S117" s="29"/>
      <c r="T117" s="29"/>
      <c r="U117" s="29"/>
      <c r="V117" s="29"/>
      <c r="W117" s="29"/>
      <c r="X117" s="29"/>
    </row>
    <row r="118" spans="1:24" ht="15.75">
      <c r="A118" s="168"/>
      <c r="B118" s="1164" t="s">
        <v>502</v>
      </c>
      <c r="C118" s="1165" t="s">
        <v>503</v>
      </c>
      <c r="D118" s="1165">
        <v>1</v>
      </c>
      <c r="E118" s="1166">
        <f>'Stationary Energy - Summary'!E34</f>
        <v>0</v>
      </c>
      <c r="H118" s="29"/>
      <c r="I118" s="29"/>
      <c r="J118" s="29"/>
      <c r="K118" s="29"/>
      <c r="L118" s="29"/>
      <c r="M118" s="29"/>
      <c r="N118" s="29"/>
      <c r="O118" s="29"/>
      <c r="P118" s="29"/>
      <c r="Q118" s="29"/>
      <c r="R118" s="29"/>
      <c r="S118" s="29"/>
      <c r="T118" s="29"/>
      <c r="U118" s="29"/>
      <c r="V118" s="29"/>
      <c r="W118" s="29"/>
      <c r="X118" s="29"/>
    </row>
    <row r="119" spans="1:24" ht="131.25" customHeight="1" thickBot="1">
      <c r="A119" s="168"/>
      <c r="B119" s="2099" t="s">
        <v>504</v>
      </c>
      <c r="C119" s="2100"/>
      <c r="D119" s="2100"/>
      <c r="E119" s="2101"/>
      <c r="G119" s="168"/>
      <c r="H119" s="218"/>
      <c r="I119" s="168"/>
      <c r="J119" s="29"/>
      <c r="K119" s="29"/>
      <c r="L119" s="29"/>
      <c r="M119" s="29"/>
      <c r="N119" s="29"/>
      <c r="O119" s="29"/>
      <c r="P119" s="29"/>
      <c r="Q119" s="29"/>
      <c r="R119" s="29"/>
      <c r="S119" s="29"/>
      <c r="T119" s="29"/>
      <c r="U119" s="29"/>
      <c r="V119" s="29"/>
      <c r="W119" s="29"/>
      <c r="X119" s="29"/>
    </row>
    <row r="120" spans="1:24" ht="15" thickBot="1">
      <c r="A120" s="168"/>
      <c r="F120" s="168"/>
      <c r="G120" s="169"/>
      <c r="H120" s="169"/>
      <c r="I120" s="29"/>
      <c r="P120" s="28"/>
      <c r="Q120" s="29"/>
      <c r="R120" s="29"/>
      <c r="S120" s="29"/>
      <c r="T120" s="29"/>
      <c r="U120" s="29"/>
      <c r="V120" s="29"/>
      <c r="W120" s="29"/>
      <c r="X120" s="29"/>
    </row>
    <row r="121" spans="1:24" ht="15.75" thickBot="1">
      <c r="A121" s="168"/>
      <c r="B121" s="2013" t="s">
        <v>505</v>
      </c>
      <c r="C121" s="1909"/>
      <c r="D121" s="168"/>
      <c r="E121" s="168"/>
      <c r="F121" s="169"/>
      <c r="G121" s="169"/>
      <c r="H121" s="29"/>
      <c r="O121" s="28"/>
      <c r="P121" s="29"/>
      <c r="Q121" s="29"/>
      <c r="R121" s="29"/>
      <c r="S121" s="29"/>
      <c r="T121" s="29"/>
      <c r="U121" s="29"/>
      <c r="V121" s="29"/>
      <c r="W121" s="29"/>
      <c r="X121" s="29"/>
    </row>
    <row r="122" spans="1:24" ht="14.25">
      <c r="A122" s="168"/>
      <c r="B122" s="1154" t="s">
        <v>454</v>
      </c>
      <c r="C122" s="1155">
        <f t="shared" ref="C122:C130" si="5">D28/$D$37</f>
        <v>0.47923790781597575</v>
      </c>
      <c r="E122" s="168"/>
      <c r="F122" s="220"/>
      <c r="G122" s="220"/>
      <c r="H122" s="31"/>
      <c r="I122" s="31"/>
      <c r="L122" s="29"/>
      <c r="S122" s="28"/>
      <c r="T122" s="29"/>
      <c r="U122" s="29"/>
      <c r="V122" s="29"/>
      <c r="W122" s="29"/>
      <c r="X122" s="29"/>
    </row>
    <row r="123" spans="1:24" ht="14.25">
      <c r="A123" s="168"/>
      <c r="B123" s="1156" t="s">
        <v>455</v>
      </c>
      <c r="C123" s="1157">
        <f t="shared" si="5"/>
        <v>0.19716500621034316</v>
      </c>
      <c r="D123" s="220"/>
      <c r="E123" s="168"/>
      <c r="F123" s="168"/>
      <c r="G123" s="168"/>
      <c r="H123" s="168"/>
      <c r="I123" s="220"/>
      <c r="J123" s="31"/>
      <c r="K123" s="31"/>
      <c r="L123" s="31"/>
      <c r="V123" s="28"/>
      <c r="W123" s="29"/>
      <c r="X123" s="29"/>
    </row>
    <row r="124" spans="1:24" ht="14.25">
      <c r="A124" s="168"/>
      <c r="B124" s="1156" t="s">
        <v>126</v>
      </c>
      <c r="C124" s="1157">
        <f t="shared" si="5"/>
        <v>0</v>
      </c>
      <c r="D124" s="168"/>
      <c r="E124" s="220"/>
      <c r="F124" s="220"/>
      <c r="G124" s="220"/>
      <c r="H124" s="169"/>
      <c r="I124" s="169"/>
      <c r="L124" s="29"/>
      <c r="M124" s="29"/>
      <c r="N124" s="29"/>
      <c r="O124" s="29"/>
      <c r="P124" s="29"/>
      <c r="Q124" s="29"/>
      <c r="R124" s="29"/>
      <c r="S124" s="29"/>
      <c r="T124" s="29"/>
      <c r="U124" s="29"/>
      <c r="V124" s="29"/>
      <c r="W124" s="29"/>
      <c r="X124" s="29"/>
    </row>
    <row r="125" spans="1:24" ht="14.25">
      <c r="A125" s="168"/>
      <c r="B125" s="1158" t="s">
        <v>456</v>
      </c>
      <c r="C125" s="1157">
        <f t="shared" si="5"/>
        <v>0.27937512590908081</v>
      </c>
      <c r="D125" s="168"/>
      <c r="E125" s="169"/>
      <c r="F125" s="169"/>
      <c r="G125" s="169"/>
      <c r="H125" s="169"/>
      <c r="I125" s="169"/>
      <c r="L125" s="29"/>
      <c r="M125" s="29"/>
      <c r="V125" s="28"/>
      <c r="W125" s="29"/>
      <c r="X125" s="29"/>
    </row>
    <row r="126" spans="1:24" ht="14.25">
      <c r="A126" s="168"/>
      <c r="B126" s="1159" t="s">
        <v>457</v>
      </c>
      <c r="C126" s="1157">
        <f t="shared" si="5"/>
        <v>0</v>
      </c>
      <c r="D126" s="168"/>
      <c r="E126" s="168"/>
      <c r="F126" s="169"/>
      <c r="G126" s="169"/>
      <c r="H126" s="169"/>
      <c r="I126" s="169"/>
      <c r="M126" s="29"/>
      <c r="V126" s="28"/>
      <c r="W126" s="29"/>
      <c r="X126" s="29"/>
    </row>
    <row r="127" spans="1:24" ht="14.25">
      <c r="A127" s="168"/>
      <c r="B127" s="1160" t="s">
        <v>458</v>
      </c>
      <c r="C127" s="1157">
        <f t="shared" si="5"/>
        <v>0</v>
      </c>
      <c r="D127" s="168"/>
      <c r="E127" s="168"/>
      <c r="F127" s="169"/>
      <c r="G127" s="169"/>
      <c r="H127" s="169"/>
      <c r="I127" s="169"/>
      <c r="V127" s="28"/>
      <c r="W127" s="29"/>
      <c r="X127" s="29"/>
    </row>
    <row r="128" spans="1:24" ht="14.25">
      <c r="A128" s="168"/>
      <c r="B128" s="1160" t="s">
        <v>459</v>
      </c>
      <c r="C128" s="1157">
        <f t="shared" si="5"/>
        <v>3.0997410194511726E-2</v>
      </c>
      <c r="D128" s="168"/>
      <c r="E128" s="168"/>
      <c r="F128" s="169"/>
      <c r="G128" s="169"/>
      <c r="H128" s="169"/>
      <c r="I128" s="169"/>
      <c r="V128" s="28"/>
      <c r="W128" s="29"/>
      <c r="X128" s="29"/>
    </row>
    <row r="129" spans="1:24" ht="14.25">
      <c r="A129" s="168"/>
      <c r="B129" s="1160" t="s">
        <v>460</v>
      </c>
      <c r="C129" s="1157">
        <f t="shared" si="5"/>
        <v>0</v>
      </c>
      <c r="D129" s="168"/>
      <c r="E129" s="168"/>
      <c r="F129" s="169"/>
      <c r="G129" s="169"/>
      <c r="H129" s="169"/>
      <c r="I129" s="169"/>
      <c r="V129" s="28"/>
      <c r="W129" s="29"/>
      <c r="X129" s="29"/>
    </row>
    <row r="130" spans="1:24" ht="15" thickBot="1">
      <c r="A130" s="168"/>
      <c r="B130" s="1186" t="s">
        <v>461</v>
      </c>
      <c r="C130" s="1684">
        <f t="shared" si="5"/>
        <v>1.3224549870088543E-2</v>
      </c>
      <c r="D130" s="168"/>
      <c r="E130" s="168"/>
      <c r="F130" s="169"/>
      <c r="G130" s="169"/>
      <c r="H130" s="169"/>
      <c r="I130" s="169"/>
      <c r="V130" s="28"/>
      <c r="W130" s="29"/>
      <c r="X130" s="29"/>
    </row>
    <row r="131" spans="1:24" ht="15" thickBot="1">
      <c r="A131" s="168"/>
      <c r="B131" s="168"/>
      <c r="C131" s="168"/>
      <c r="D131" s="168"/>
      <c r="E131" s="168"/>
      <c r="F131" s="169"/>
      <c r="G131" s="169"/>
      <c r="H131" s="169"/>
      <c r="I131" s="169"/>
      <c r="V131" s="28"/>
      <c r="W131" s="29"/>
      <c r="X131" s="29"/>
    </row>
    <row r="132" spans="1:24" ht="57" customHeight="1">
      <c r="A132" s="168"/>
      <c r="B132" s="2016" t="s">
        <v>506</v>
      </c>
      <c r="C132" s="2017"/>
      <c r="D132" s="2018"/>
      <c r="E132" s="24"/>
      <c r="F132" s="24"/>
      <c r="G132" s="24"/>
      <c r="H132" s="169"/>
      <c r="I132" s="169"/>
      <c r="V132" s="28"/>
      <c r="W132" s="29"/>
      <c r="X132" s="29"/>
    </row>
    <row r="133" spans="1:24" ht="24" customHeight="1">
      <c r="A133" s="38"/>
      <c r="B133" s="1868" t="s">
        <v>38</v>
      </c>
      <c r="C133" s="176" t="s">
        <v>453</v>
      </c>
      <c r="D133" s="177" t="s">
        <v>437</v>
      </c>
      <c r="E133" s="177" t="s">
        <v>507</v>
      </c>
      <c r="F133" s="39"/>
      <c r="G133" s="27"/>
      <c r="S133" s="28"/>
      <c r="T133" s="29"/>
      <c r="U133" s="29"/>
      <c r="V133" s="29"/>
      <c r="W133" s="29"/>
      <c r="X133" s="29"/>
    </row>
    <row r="134" spans="1:24" ht="15">
      <c r="A134" s="38"/>
      <c r="B134" s="2019" t="s">
        <v>441</v>
      </c>
      <c r="C134" s="178" t="s">
        <v>454</v>
      </c>
      <c r="D134" s="1463">
        <f>D28</f>
        <v>67804.31115956766</v>
      </c>
      <c r="E134" s="1885">
        <f>(D134/SUM(D134:D146))</f>
        <v>0.47923790781597564</v>
      </c>
      <c r="F134" s="39"/>
      <c r="G134" s="39"/>
      <c r="T134" s="28"/>
      <c r="U134" s="29"/>
      <c r="V134" s="29"/>
      <c r="W134" s="29"/>
      <c r="X134" s="29"/>
    </row>
    <row r="135" spans="1:24" ht="15">
      <c r="A135" s="38"/>
      <c r="B135" s="2020"/>
      <c r="C135" s="182" t="s">
        <v>508</v>
      </c>
      <c r="D135" s="1464">
        <f>D29-D136</f>
        <v>23064.904441513856</v>
      </c>
      <c r="E135" s="1885">
        <f>(D135/SUM(D134:D146))</f>
        <v>0.16302173651633312</v>
      </c>
      <c r="F135" s="39"/>
      <c r="G135" s="39"/>
      <c r="T135" s="28"/>
      <c r="U135" s="29"/>
      <c r="V135" s="29"/>
      <c r="W135" s="29"/>
      <c r="X135" s="29"/>
    </row>
    <row r="136" spans="1:24" ht="15">
      <c r="A136" s="38"/>
      <c r="B136" s="2020"/>
      <c r="C136" s="182" t="s">
        <v>509</v>
      </c>
      <c r="D136" s="1464">
        <f>D19</f>
        <v>4830.713189797706</v>
      </c>
      <c r="E136" s="1885">
        <f>(D136/SUM(D134:D146))</f>
        <v>3.4143269694009999E-2</v>
      </c>
      <c r="F136" s="39"/>
      <c r="G136" s="39"/>
      <c r="T136" s="28"/>
      <c r="U136" s="29"/>
      <c r="V136" s="29"/>
      <c r="W136" s="29"/>
      <c r="X136" s="29"/>
    </row>
    <row r="137" spans="1:24" ht="15">
      <c r="A137" s="38"/>
      <c r="B137" s="2020"/>
      <c r="C137" s="182" t="s">
        <v>126</v>
      </c>
      <c r="D137" s="1464">
        <f>D30</f>
        <v>0</v>
      </c>
      <c r="E137" s="1885">
        <f>(D137/SUM(D134:D146))</f>
        <v>0</v>
      </c>
      <c r="F137" s="39"/>
      <c r="G137" s="39"/>
      <c r="T137" s="28"/>
      <c r="U137" s="29"/>
      <c r="V137" s="29"/>
      <c r="W137" s="29"/>
      <c r="X137" s="29"/>
    </row>
    <row r="138" spans="1:24" ht="15">
      <c r="A138" s="38"/>
      <c r="B138" s="2021" t="s">
        <v>442</v>
      </c>
      <c r="C138" s="186" t="s">
        <v>135</v>
      </c>
      <c r="D138" s="188">
        <f>SUM('Transportation - On Road'!Q39:Q43)+'Transportation - On Road'!I96</f>
        <v>33244.15931556798</v>
      </c>
      <c r="E138" s="1885">
        <f>(D138/SUM(D134:D146))</f>
        <v>0.23496826507093979</v>
      </c>
      <c r="F138" s="39"/>
      <c r="G138" s="39"/>
      <c r="H138" s="39"/>
      <c r="U138" s="28"/>
      <c r="V138" s="29"/>
      <c r="W138" s="29"/>
      <c r="X138" s="29"/>
    </row>
    <row r="139" spans="1:24" ht="15">
      <c r="A139" s="38"/>
      <c r="B139" s="2022"/>
      <c r="C139" s="1456" t="s">
        <v>145</v>
      </c>
      <c r="D139" s="1457">
        <f>SUM('Transportation - On Road'!Q50:Q54)+'Transportation - On Road'!I97-D140</f>
        <v>4320.5663155579223</v>
      </c>
      <c r="E139" s="1885">
        <f>(D139/SUM(D134:D146))</f>
        <v>3.0537573883397295E-2</v>
      </c>
      <c r="F139" s="39"/>
      <c r="G139" s="39"/>
      <c r="H139" s="39"/>
      <c r="U139" s="28"/>
      <c r="V139" s="29"/>
      <c r="W139" s="29"/>
      <c r="X139" s="29"/>
    </row>
    <row r="140" spans="1:24" ht="15">
      <c r="A140" s="38"/>
      <c r="B140" s="2022"/>
      <c r="C140" s="1458" t="s">
        <v>510</v>
      </c>
      <c r="D140" s="1460">
        <f>D20</f>
        <v>1259.9526357821519</v>
      </c>
      <c r="E140" s="1885">
        <f>(D140/SUM(D134:D146))</f>
        <v>8.9052901621324062E-3</v>
      </c>
      <c r="F140" s="39"/>
      <c r="G140" s="39"/>
      <c r="H140" s="39"/>
      <c r="U140" s="28"/>
      <c r="V140" s="29"/>
      <c r="W140" s="29"/>
      <c r="X140" s="29"/>
    </row>
    <row r="141" spans="1:24" ht="15">
      <c r="A141" s="38"/>
      <c r="B141" s="2022"/>
      <c r="C141" s="1459" t="s">
        <v>511</v>
      </c>
      <c r="D141" s="1461">
        <f>D31-(SUM(D138:D140))</f>
        <v>702.32420606124651</v>
      </c>
      <c r="E141" s="1885">
        <f>(D141/SUM(D134:D146))</f>
        <v>4.9639967926112336E-3</v>
      </c>
      <c r="F141" s="39"/>
      <c r="G141" s="39"/>
      <c r="H141" s="39"/>
      <c r="U141" s="28"/>
      <c r="V141" s="29"/>
      <c r="W141" s="29"/>
      <c r="X141" s="29"/>
    </row>
    <row r="142" spans="1:24" ht="15">
      <c r="A142" s="38"/>
      <c r="B142" s="2023"/>
      <c r="C142" s="189" t="s">
        <v>457</v>
      </c>
      <c r="D142" s="191">
        <f>D32</f>
        <v>0</v>
      </c>
      <c r="E142" s="1885">
        <f>(D142/SUM(D134:D146))</f>
        <v>0</v>
      </c>
      <c r="F142" s="39"/>
      <c r="G142" s="39"/>
      <c r="H142" s="39"/>
      <c r="U142" s="28"/>
      <c r="V142" s="29"/>
      <c r="W142" s="29"/>
      <c r="X142" s="29"/>
    </row>
    <row r="143" spans="1:24">
      <c r="B143" s="2024" t="s">
        <v>443</v>
      </c>
      <c r="C143" s="192" t="s">
        <v>458</v>
      </c>
      <c r="D143" s="194">
        <f>D33</f>
        <v>0</v>
      </c>
      <c r="E143" s="1885">
        <f>(D143/SUM(D134:D146))</f>
        <v>0</v>
      </c>
      <c r="F143" s="27"/>
      <c r="G143" s="27"/>
      <c r="U143" s="28"/>
      <c r="V143" s="29"/>
      <c r="W143" s="29"/>
      <c r="X143" s="29"/>
    </row>
    <row r="144" spans="1:24">
      <c r="B144" s="2025"/>
      <c r="C144" s="1151" t="s">
        <v>459</v>
      </c>
      <c r="D144" s="1153">
        <f t="shared" ref="D144:D146" si="6">D34</f>
        <v>4385.6256186989476</v>
      </c>
      <c r="E144" s="1885">
        <f>(D144/SUM(D134:D146))</f>
        <v>3.0997410194511719E-2</v>
      </c>
      <c r="F144" s="27"/>
      <c r="G144" s="27"/>
      <c r="U144" s="28"/>
      <c r="V144" s="29"/>
      <c r="W144" s="29"/>
      <c r="X144" s="29"/>
    </row>
    <row r="145" spans="2:24">
      <c r="B145" s="2026"/>
      <c r="C145" s="195" t="s">
        <v>460</v>
      </c>
      <c r="D145" s="197">
        <f t="shared" si="6"/>
        <v>0</v>
      </c>
      <c r="E145" s="1885">
        <f>(D145/SUM(D134:D146))</f>
        <v>0</v>
      </c>
      <c r="F145" s="27"/>
      <c r="G145" s="27"/>
      <c r="U145" s="28"/>
      <c r="V145" s="29"/>
      <c r="W145" s="29"/>
      <c r="X145" s="29"/>
    </row>
    <row r="146" spans="2:24">
      <c r="B146" s="2027"/>
      <c r="C146" s="198" t="s">
        <v>461</v>
      </c>
      <c r="D146" s="174">
        <f t="shared" si="6"/>
        <v>1871.057109032</v>
      </c>
      <c r="E146" s="1886">
        <f>(D146/SUM(D134:D146))</f>
        <v>1.322454987008854E-2</v>
      </c>
      <c r="F146" s="27"/>
      <c r="G146" s="27"/>
      <c r="U146" s="28"/>
      <c r="V146" s="29"/>
      <c r="W146" s="29"/>
      <c r="X146" s="29"/>
    </row>
    <row r="147" spans="2:24">
      <c r="B147" s="2028" t="s">
        <v>462</v>
      </c>
      <c r="C147" s="2029"/>
      <c r="D147" s="1672">
        <f>SUM(D134:D146)</f>
        <v>141483.61399157951</v>
      </c>
      <c r="E147" s="27"/>
      <c r="F147" s="27"/>
      <c r="G147" s="27"/>
      <c r="U147" s="28"/>
      <c r="V147" s="29"/>
      <c r="W147" s="29"/>
      <c r="X147" s="29"/>
    </row>
    <row r="148" spans="2:24">
      <c r="B148" s="2014" t="s">
        <v>512</v>
      </c>
      <c r="C148" s="2014"/>
      <c r="D148" s="2014"/>
      <c r="E148" s="2015"/>
      <c r="F148" s="2015"/>
      <c r="G148" s="2015"/>
    </row>
    <row r="149" spans="2:24" ht="13.5" thickBot="1"/>
    <row r="150" spans="2:24" ht="33" customHeight="1" thickBot="1">
      <c r="B150" s="2013" t="s">
        <v>513</v>
      </c>
      <c r="C150" s="1909"/>
    </row>
    <row r="151" spans="2:24">
      <c r="B151" s="1154" t="s">
        <v>454</v>
      </c>
      <c r="C151" s="1155">
        <f>D134/$D$147</f>
        <v>0.47923790781597564</v>
      </c>
    </row>
    <row r="152" spans="2:24">
      <c r="B152" s="1156" t="s">
        <v>455</v>
      </c>
      <c r="C152" s="1157">
        <f t="shared" ref="C152:C157" si="7">D135/$D$147</f>
        <v>0.16302173651633312</v>
      </c>
    </row>
    <row r="153" spans="2:24">
      <c r="B153" s="1156" t="s">
        <v>509</v>
      </c>
      <c r="C153" s="1157">
        <f t="shared" si="7"/>
        <v>3.4143269694009999E-2</v>
      </c>
    </row>
    <row r="154" spans="2:24">
      <c r="B154" s="1156" t="s">
        <v>126</v>
      </c>
      <c r="C154" s="1157">
        <f t="shared" si="7"/>
        <v>0</v>
      </c>
    </row>
    <row r="155" spans="2:24">
      <c r="B155" s="1158" t="s">
        <v>135</v>
      </c>
      <c r="C155" s="1157">
        <f t="shared" si="7"/>
        <v>0.23496826507093979</v>
      </c>
    </row>
    <row r="156" spans="2:24">
      <c r="B156" s="1158" t="s">
        <v>145</v>
      </c>
      <c r="C156" s="1157">
        <f t="shared" si="7"/>
        <v>3.0537573883397295E-2</v>
      </c>
    </row>
    <row r="157" spans="2:24">
      <c r="B157" s="1158" t="s">
        <v>510</v>
      </c>
      <c r="C157" s="1157">
        <f t="shared" si="7"/>
        <v>8.9052901621324062E-3</v>
      </c>
    </row>
    <row r="158" spans="2:24" ht="25.5">
      <c r="B158" s="1501" t="s">
        <v>514</v>
      </c>
      <c r="C158" s="1157">
        <f>(D141+D142)/$D$147</f>
        <v>4.9639967926112336E-3</v>
      </c>
    </row>
    <row r="159" spans="2:24" ht="25.5">
      <c r="B159" s="1500" t="s">
        <v>515</v>
      </c>
      <c r="C159" s="1157">
        <f>(SUM(D143:D145))/$D$147</f>
        <v>3.0997410194511719E-2</v>
      </c>
    </row>
    <row r="160" spans="2:24" ht="13.5" thickBot="1">
      <c r="B160" s="1186" t="s">
        <v>461</v>
      </c>
      <c r="C160" s="1684">
        <f>D146/$D$147</f>
        <v>1.322454987008854E-2</v>
      </c>
    </row>
    <row r="161" spans="2:2">
      <c r="B161" s="29" t="s">
        <v>516</v>
      </c>
    </row>
  </sheetData>
  <mergeCells count="63">
    <mergeCell ref="B121:C121"/>
    <mergeCell ref="C72:C77"/>
    <mergeCell ref="C78:C84"/>
    <mergeCell ref="B72:B85"/>
    <mergeCell ref="C55:C59"/>
    <mergeCell ref="C60:C62"/>
    <mergeCell ref="B55:B62"/>
    <mergeCell ref="B119:E119"/>
    <mergeCell ref="B63:B66"/>
    <mergeCell ref="B67:E67"/>
    <mergeCell ref="B116:E116"/>
    <mergeCell ref="B69:I69"/>
    <mergeCell ref="E70:E71"/>
    <mergeCell ref="D70:D71"/>
    <mergeCell ref="B86:B93"/>
    <mergeCell ref="B94:B97"/>
    <mergeCell ref="C86:C90"/>
    <mergeCell ref="C91:C93"/>
    <mergeCell ref="C70:C71"/>
    <mergeCell ref="B70:B71"/>
    <mergeCell ref="F70:F71"/>
    <mergeCell ref="B2:F2"/>
    <mergeCell ref="C3:F3"/>
    <mergeCell ref="C4:F4"/>
    <mergeCell ref="B26:G26"/>
    <mergeCell ref="B12:C12"/>
    <mergeCell ref="B13:C13"/>
    <mergeCell ref="B14:C14"/>
    <mergeCell ref="B15:C15"/>
    <mergeCell ref="B8:F8"/>
    <mergeCell ref="B10:G10"/>
    <mergeCell ref="B11:C11"/>
    <mergeCell ref="B7:F7"/>
    <mergeCell ref="C5:F5"/>
    <mergeCell ref="B17:G17"/>
    <mergeCell ref="B18:C18"/>
    <mergeCell ref="B19:C19"/>
    <mergeCell ref="B98:E98"/>
    <mergeCell ref="B114:E114"/>
    <mergeCell ref="B106:B109"/>
    <mergeCell ref="B100:F100"/>
    <mergeCell ref="B110:B113"/>
    <mergeCell ref="B102:B105"/>
    <mergeCell ref="B20:C20"/>
    <mergeCell ref="B21:C21"/>
    <mergeCell ref="C47:C53"/>
    <mergeCell ref="B28:B30"/>
    <mergeCell ref="B31:B32"/>
    <mergeCell ref="B33:B36"/>
    <mergeCell ref="B37:C37"/>
    <mergeCell ref="B41:B54"/>
    <mergeCell ref="G70:G71"/>
    <mergeCell ref="H70:H71"/>
    <mergeCell ref="I70:I71"/>
    <mergeCell ref="B39:F39"/>
    <mergeCell ref="C41:C46"/>
    <mergeCell ref="B150:C150"/>
    <mergeCell ref="B148:G148"/>
    <mergeCell ref="B132:D132"/>
    <mergeCell ref="B134:B137"/>
    <mergeCell ref="B138:B142"/>
    <mergeCell ref="B143:B146"/>
    <mergeCell ref="B147:C147"/>
  </mergeCells>
  <pageMargins left="0.7" right="0.7" top="0.75" bottom="0.75" header="0.3" footer="0.3"/>
  <pageSetup orientation="portrait" r:id="rId1"/>
  <ignoredErrors>
    <ignoredError sqref="E105 E107 D34 G34 E10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X41"/>
  <sheetViews>
    <sheetView showGridLines="0" zoomScaleNormal="100" workbookViewId="0">
      <selection activeCell="H20" sqref="H20"/>
    </sheetView>
  </sheetViews>
  <sheetFormatPr defaultRowHeight="12.75"/>
  <cols>
    <col min="1" max="1" width="2.7109375" style="29" customWidth="1"/>
    <col min="2" max="2" width="36.42578125" style="29" customWidth="1"/>
    <col min="3" max="3" width="37.5703125" style="29" customWidth="1"/>
    <col min="4" max="7" width="20.7109375" style="29" customWidth="1"/>
    <col min="8" max="8" width="20.7109375" style="27" customWidth="1"/>
    <col min="9" max="9" width="34.42578125" style="27" customWidth="1"/>
    <col min="10" max="10" width="20.7109375" style="27" customWidth="1"/>
    <col min="11" max="13" width="12" style="27" customWidth="1"/>
    <col min="14" max="14" width="19" style="27" customWidth="1"/>
    <col min="15" max="15" width="11.7109375" style="27" customWidth="1"/>
    <col min="16" max="16" width="11.28515625" style="27" customWidth="1"/>
    <col min="17" max="17" width="13.42578125" style="27" customWidth="1"/>
    <col min="18" max="18" width="14.85546875" style="27" customWidth="1"/>
    <col min="19" max="20" width="10.5703125" style="27" customWidth="1"/>
    <col min="21" max="21" width="10.42578125" style="27" customWidth="1"/>
    <col min="22" max="22" width="9.28515625" style="27" bestFit="1" customWidth="1"/>
    <col min="23" max="23" width="17.7109375" style="27" customWidth="1"/>
    <col min="24" max="24" width="11.42578125" style="28" customWidth="1"/>
    <col min="25" max="25" width="9.28515625" style="29" bestFit="1" customWidth="1"/>
    <col min="26" max="26" width="18.7109375" style="29" customWidth="1"/>
    <col min="27" max="16384" width="9.140625" style="29"/>
  </cols>
  <sheetData>
    <row r="1" spans="1:24" ht="13.5" thickBot="1"/>
    <row r="2" spans="1:24" ht="24" customHeight="1" thickBot="1">
      <c r="A2" s="168"/>
      <c r="B2" s="2055" t="s">
        <v>517</v>
      </c>
      <c r="C2" s="2056"/>
      <c r="D2" s="2056"/>
      <c r="E2" s="2056"/>
      <c r="F2" s="2057"/>
      <c r="G2" s="169"/>
      <c r="H2" s="221"/>
      <c r="K2" s="169"/>
    </row>
    <row r="3" spans="1:24" ht="15">
      <c r="A3" s="168"/>
      <c r="B3" s="165" t="s">
        <v>430</v>
      </c>
      <c r="C3" s="2058" t="s">
        <v>431</v>
      </c>
      <c r="D3" s="2059"/>
      <c r="E3" s="2059"/>
      <c r="F3" s="2060"/>
      <c r="G3" s="170"/>
      <c r="H3" s="170"/>
      <c r="I3" s="170"/>
      <c r="J3" s="169"/>
      <c r="K3" s="169"/>
    </row>
    <row r="4" spans="1:24" ht="15">
      <c r="A4" s="168"/>
      <c r="B4" s="1230" t="s">
        <v>432</v>
      </c>
      <c r="C4" s="2061" t="s">
        <v>433</v>
      </c>
      <c r="D4" s="2062"/>
      <c r="E4" s="2062"/>
      <c r="F4" s="2063"/>
      <c r="G4" s="170"/>
      <c r="H4" s="170"/>
      <c r="I4" s="170"/>
      <c r="J4" s="169"/>
      <c r="K4" s="169"/>
    </row>
    <row r="5" spans="1:24" ht="14.25" customHeight="1" thickBot="1">
      <c r="A5" s="168"/>
      <c r="B5" s="1231" t="s">
        <v>24</v>
      </c>
      <c r="C5" s="2081" t="s">
        <v>518</v>
      </c>
      <c r="D5" s="2082"/>
      <c r="E5" s="2082"/>
      <c r="F5" s="2083"/>
      <c r="G5" s="170"/>
      <c r="H5" s="170"/>
      <c r="I5" s="170"/>
      <c r="J5" s="169"/>
      <c r="K5" s="169"/>
    </row>
    <row r="6" spans="1:24" ht="12" customHeight="1" thickBot="1">
      <c r="A6" s="168"/>
      <c r="B6" s="167"/>
      <c r="C6" s="171"/>
      <c r="D6" s="171"/>
      <c r="E6" s="171"/>
      <c r="F6" s="171"/>
      <c r="G6" s="170"/>
      <c r="H6" s="170"/>
      <c r="I6" s="170"/>
      <c r="J6" s="169"/>
      <c r="K6" s="169"/>
    </row>
    <row r="7" spans="1:24" ht="15.75" thickBot="1">
      <c r="A7" s="168"/>
      <c r="B7" s="2078" t="s">
        <v>434</v>
      </c>
      <c r="C7" s="2079"/>
      <c r="D7" s="2079"/>
      <c r="E7" s="2079"/>
      <c r="F7" s="2080"/>
      <c r="G7" s="170"/>
      <c r="H7" s="170"/>
      <c r="I7" s="170"/>
      <c r="J7" s="169"/>
      <c r="K7" s="169"/>
    </row>
    <row r="8" spans="1:24" ht="71.25" customHeight="1" thickBot="1">
      <c r="A8" s="168"/>
      <c r="B8" s="2070" t="s">
        <v>519</v>
      </c>
      <c r="C8" s="2071"/>
      <c r="D8" s="2071"/>
      <c r="E8" s="2071"/>
      <c r="F8" s="2072"/>
      <c r="G8" s="62"/>
      <c r="H8" s="62"/>
      <c r="I8" s="62"/>
      <c r="J8" s="169"/>
      <c r="K8" s="169"/>
    </row>
    <row r="9" spans="1:24" ht="14.25">
      <c r="A9" s="168"/>
      <c r="B9" s="62"/>
      <c r="C9" s="62"/>
      <c r="D9" s="62"/>
      <c r="E9" s="62"/>
      <c r="F9" s="169"/>
      <c r="G9" s="62"/>
      <c r="H9" s="62"/>
      <c r="I9" s="62"/>
      <c r="J9" s="169"/>
      <c r="K9" s="169"/>
      <c r="N9" s="224"/>
    </row>
    <row r="10" spans="1:24" ht="15" thickBot="1">
      <c r="A10" s="168"/>
      <c r="B10" s="62"/>
      <c r="C10" s="62"/>
      <c r="D10" s="62"/>
      <c r="E10" s="62"/>
      <c r="F10" s="169"/>
      <c r="G10" s="62"/>
      <c r="H10" s="62"/>
      <c r="I10" s="62"/>
      <c r="J10" s="169"/>
      <c r="K10" s="169"/>
      <c r="N10" s="224"/>
    </row>
    <row r="11" spans="1:24" ht="15.75" customHeight="1" thickBot="1">
      <c r="A11" s="168"/>
      <c r="B11" s="2106" t="s">
        <v>520</v>
      </c>
      <c r="C11" s="2107"/>
      <c r="D11" s="2107"/>
      <c r="E11" s="2107"/>
      <c r="F11" s="2107"/>
      <c r="G11" s="2107"/>
      <c r="H11" s="2108"/>
      <c r="I11" s="172"/>
      <c r="J11" s="172"/>
      <c r="K11" s="30"/>
      <c r="L11" s="30"/>
      <c r="N11" s="224"/>
      <c r="W11" s="28"/>
      <c r="X11" s="29"/>
    </row>
    <row r="12" spans="1:24" ht="26.25" thickBot="1">
      <c r="A12" s="168"/>
      <c r="B12" s="2076" t="s">
        <v>38</v>
      </c>
      <c r="C12" s="2077"/>
      <c r="D12" s="1869" t="s">
        <v>521</v>
      </c>
      <c r="E12" s="1869" t="s">
        <v>522</v>
      </c>
      <c r="F12" s="1869" t="s">
        <v>522</v>
      </c>
      <c r="G12" s="1869" t="s">
        <v>523</v>
      </c>
      <c r="H12" s="177" t="s">
        <v>524</v>
      </c>
      <c r="I12" s="172"/>
      <c r="J12" s="30"/>
      <c r="K12" s="30"/>
      <c r="N12" s="224"/>
      <c r="V12" s="28"/>
      <c r="W12" s="29"/>
      <c r="X12" s="29"/>
    </row>
    <row r="13" spans="1:24" ht="14.25">
      <c r="A13" s="168"/>
      <c r="B13" s="2109" t="s">
        <v>441</v>
      </c>
      <c r="C13" s="2110"/>
      <c r="D13" s="222"/>
      <c r="E13" s="222"/>
      <c r="F13" s="222"/>
      <c r="G13" s="222">
        <f>'All Emissions - Summary'!D12</f>
        <v>95699.928790879218</v>
      </c>
      <c r="H13" s="1237"/>
      <c r="I13" s="172"/>
      <c r="J13" s="30"/>
      <c r="K13" s="30"/>
      <c r="N13" s="224"/>
      <c r="V13" s="28"/>
      <c r="W13" s="29"/>
      <c r="X13" s="29"/>
    </row>
    <row r="14" spans="1:24" ht="14.25">
      <c r="A14" s="168"/>
      <c r="B14" s="2036" t="s">
        <v>442</v>
      </c>
      <c r="C14" s="2037"/>
      <c r="D14" s="1238"/>
      <c r="E14" s="1238"/>
      <c r="F14" s="1238"/>
      <c r="G14" s="1238">
        <f>'All Emissions - Summary'!D13</f>
        <v>39527.002472969303</v>
      </c>
      <c r="H14" s="1239"/>
      <c r="I14" s="172"/>
      <c r="J14" s="30"/>
      <c r="K14" s="30"/>
      <c r="N14" s="224"/>
      <c r="V14" s="28"/>
      <c r="W14" s="29"/>
      <c r="X14" s="29"/>
    </row>
    <row r="15" spans="1:24" ht="14.25">
      <c r="A15" s="168"/>
      <c r="B15" s="2068" t="s">
        <v>443</v>
      </c>
      <c r="C15" s="2069"/>
      <c r="D15" s="1240"/>
      <c r="E15" s="1240"/>
      <c r="F15" s="1240"/>
      <c r="G15" s="1240">
        <f>'All Emissions - Summary'!D14</f>
        <v>6256.6827277309476</v>
      </c>
      <c r="H15" s="1241"/>
      <c r="I15" s="172"/>
      <c r="J15" s="30"/>
      <c r="K15" s="30"/>
      <c r="N15" s="224"/>
      <c r="V15" s="28"/>
      <c r="W15" s="29"/>
      <c r="X15" s="29"/>
    </row>
    <row r="16" spans="1:24" ht="15" thickBot="1">
      <c r="A16" s="168"/>
      <c r="B16" s="2038" t="s">
        <v>444</v>
      </c>
      <c r="C16" s="2039"/>
      <c r="D16" s="1671">
        <f>SUM(D13:D15)</f>
        <v>0</v>
      </c>
      <c r="E16" s="1671">
        <f>SUM(E13:E15)</f>
        <v>0</v>
      </c>
      <c r="F16" s="1671">
        <f>SUM(F13:F15)</f>
        <v>0</v>
      </c>
      <c r="G16" s="1671">
        <f>SUM(G13:G15)</f>
        <v>141483.61399157948</v>
      </c>
      <c r="H16" s="1685"/>
      <c r="I16" s="172"/>
      <c r="J16" s="172"/>
      <c r="K16" s="30"/>
      <c r="L16" s="30"/>
      <c r="N16" s="224"/>
      <c r="O16" s="225"/>
      <c r="W16" s="28"/>
      <c r="X16" s="29"/>
    </row>
    <row r="17" spans="1:24" ht="15" thickBot="1">
      <c r="A17" s="168"/>
      <c r="B17" s="1286"/>
      <c r="C17" s="1286"/>
      <c r="D17" s="1287"/>
      <c r="E17" s="1287"/>
      <c r="F17" s="1287"/>
      <c r="G17" s="1287"/>
      <c r="H17" s="1288"/>
      <c r="I17" s="172"/>
      <c r="J17" s="172"/>
      <c r="K17" s="30"/>
      <c r="L17" s="30"/>
      <c r="N17" s="224"/>
      <c r="O17" s="225"/>
      <c r="W17" s="28"/>
      <c r="X17" s="29"/>
    </row>
    <row r="18" spans="1:24" ht="15.75" thickBot="1">
      <c r="A18" s="168"/>
      <c r="B18" s="2111" t="s">
        <v>525</v>
      </c>
      <c r="C18" s="2112"/>
      <c r="D18" s="2112"/>
      <c r="E18" s="2112"/>
      <c r="F18" s="2112"/>
      <c r="G18" s="2112"/>
      <c r="H18" s="2113"/>
      <c r="I18" s="172"/>
      <c r="J18" s="172"/>
      <c r="K18" s="30"/>
      <c r="L18" s="30"/>
      <c r="N18" s="224"/>
      <c r="O18" s="225"/>
      <c r="W18" s="28"/>
      <c r="X18" s="29"/>
    </row>
    <row r="19" spans="1:24" ht="26.25" thickBot="1">
      <c r="A19" s="168"/>
      <c r="B19" s="2087" t="s">
        <v>38</v>
      </c>
      <c r="C19" s="2088"/>
      <c r="D19" s="1870" t="s">
        <v>521</v>
      </c>
      <c r="E19" s="1870" t="s">
        <v>522</v>
      </c>
      <c r="F19" s="1870" t="s">
        <v>522</v>
      </c>
      <c r="G19" s="1870" t="s">
        <v>523</v>
      </c>
      <c r="H19" s="1255" t="s">
        <v>524</v>
      </c>
      <c r="I19" s="172"/>
      <c r="J19" s="172"/>
      <c r="K19" s="30"/>
      <c r="L19" s="30"/>
      <c r="N19" s="224"/>
      <c r="O19" s="225"/>
      <c r="W19" s="28"/>
      <c r="X19" s="29"/>
    </row>
    <row r="20" spans="1:24" ht="14.25">
      <c r="A20" s="168"/>
      <c r="B20" s="2109" t="s">
        <v>441</v>
      </c>
      <c r="C20" s="2110"/>
      <c r="D20" s="222"/>
      <c r="E20" s="222"/>
      <c r="F20" s="222"/>
      <c r="G20" s="222">
        <f>'All Emissions - Summary'!D19</f>
        <v>4830.713189797706</v>
      </c>
      <c r="H20" s="1237"/>
      <c r="I20" s="172"/>
      <c r="J20" s="172"/>
      <c r="K20" s="30"/>
      <c r="L20" s="30"/>
      <c r="N20" s="224"/>
      <c r="O20" s="225"/>
      <c r="W20" s="28"/>
      <c r="X20" s="29"/>
    </row>
    <row r="21" spans="1:24" ht="14.25">
      <c r="A21" s="168"/>
      <c r="B21" s="2036" t="s">
        <v>442</v>
      </c>
      <c r="C21" s="2037"/>
      <c r="D21" s="1238"/>
      <c r="E21" s="1238"/>
      <c r="F21" s="1238"/>
      <c r="G21" s="1238">
        <f>'All Emissions - Summary'!D20</f>
        <v>1259.9526357821519</v>
      </c>
      <c r="H21" s="1239"/>
      <c r="I21" s="172"/>
      <c r="J21" s="172"/>
      <c r="K21" s="30"/>
      <c r="L21" s="30"/>
      <c r="N21" s="224"/>
      <c r="O21" s="225"/>
      <c r="W21" s="28"/>
      <c r="X21" s="29"/>
    </row>
    <row r="22" spans="1:24" ht="15" thickBot="1">
      <c r="A22" s="168"/>
      <c r="B22" s="2038" t="s">
        <v>444</v>
      </c>
      <c r="C22" s="2039"/>
      <c r="D22" s="1671">
        <f>SUM(D20:D21)</f>
        <v>0</v>
      </c>
      <c r="E22" s="1671">
        <f>SUM(E20:E21)</f>
        <v>0</v>
      </c>
      <c r="F22" s="1671">
        <f>SUM(F20:F21)</f>
        <v>0</v>
      </c>
      <c r="G22" s="1671">
        <f>SUM(G20:G21)</f>
        <v>6090.6658255798575</v>
      </c>
      <c r="H22" s="1685"/>
      <c r="I22" s="172"/>
      <c r="J22" s="172"/>
      <c r="K22" s="30"/>
      <c r="L22" s="30"/>
      <c r="N22" s="224"/>
      <c r="O22" s="225"/>
      <c r="W22" s="28"/>
      <c r="X22" s="29"/>
    </row>
    <row r="23" spans="1:24" ht="15" thickBot="1">
      <c r="A23" s="168"/>
      <c r="B23" s="1286"/>
      <c r="C23" s="1286"/>
      <c r="D23" s="1287"/>
      <c r="E23" s="1287"/>
      <c r="F23" s="1287"/>
      <c r="G23" s="1287"/>
      <c r="H23" s="1288"/>
      <c r="I23" s="172"/>
      <c r="J23" s="172"/>
      <c r="K23" s="30"/>
      <c r="L23" s="30"/>
      <c r="N23" s="224"/>
      <c r="O23" s="225"/>
      <c r="W23" s="28"/>
      <c r="X23" s="29"/>
    </row>
    <row r="24" spans="1:24" ht="15.75" thickBot="1">
      <c r="A24" s="168"/>
      <c r="B24" s="2013" t="s">
        <v>526</v>
      </c>
      <c r="C24" s="2064"/>
      <c r="D24" s="2064"/>
      <c r="E24" s="2064"/>
      <c r="F24" s="2064"/>
      <c r="G24" s="2064"/>
      <c r="H24" s="1909"/>
      <c r="I24" s="172"/>
      <c r="J24" s="172"/>
      <c r="K24" s="30"/>
      <c r="L24" s="30"/>
      <c r="N24" s="224"/>
      <c r="W24" s="28"/>
      <c r="X24" s="29"/>
    </row>
    <row r="25" spans="1:24" ht="26.25" thickBot="1">
      <c r="A25" s="168"/>
      <c r="B25" s="1868" t="s">
        <v>38</v>
      </c>
      <c r="C25" s="176" t="s">
        <v>453</v>
      </c>
      <c r="D25" s="1869" t="s">
        <v>521</v>
      </c>
      <c r="E25" s="1869" t="s">
        <v>522</v>
      </c>
      <c r="F25" s="1869" t="s">
        <v>522</v>
      </c>
      <c r="G25" s="1869" t="s">
        <v>527</v>
      </c>
      <c r="H25" s="177" t="s">
        <v>524</v>
      </c>
      <c r="I25" s="172"/>
      <c r="J25" s="172"/>
      <c r="K25" s="30"/>
      <c r="L25" s="30"/>
      <c r="N25" s="223"/>
      <c r="W25" s="28"/>
      <c r="X25" s="29"/>
    </row>
    <row r="26" spans="1:24" ht="14.25">
      <c r="A26" s="168"/>
      <c r="B26" s="2019" t="s">
        <v>441</v>
      </c>
      <c r="C26" s="178" t="s">
        <v>454</v>
      </c>
      <c r="D26" s="179"/>
      <c r="E26" s="180"/>
      <c r="F26" s="180"/>
      <c r="G26" s="180">
        <f>'All Emissions - Summary'!D28</f>
        <v>67804.31115956766</v>
      </c>
      <c r="H26" s="1242"/>
      <c r="T26" s="28"/>
      <c r="U26" s="29"/>
      <c r="V26" s="29"/>
      <c r="W26" s="29"/>
      <c r="X26" s="29"/>
    </row>
    <row r="27" spans="1:24" ht="14.25">
      <c r="A27" s="168"/>
      <c r="B27" s="2020"/>
      <c r="C27" s="182" t="s">
        <v>455</v>
      </c>
      <c r="D27" s="183"/>
      <c r="E27" s="184"/>
      <c r="F27" s="184"/>
      <c r="G27" s="184">
        <f>'All Emissions - Summary'!D29</f>
        <v>27895.617631311561</v>
      </c>
      <c r="H27" s="1243"/>
      <c r="T27" s="28"/>
      <c r="U27" s="29"/>
      <c r="V27" s="29"/>
      <c r="W27" s="29"/>
      <c r="X27" s="29"/>
    </row>
    <row r="28" spans="1:24" ht="14.25">
      <c r="A28" s="168"/>
      <c r="B28" s="2020"/>
      <c r="C28" s="182" t="s">
        <v>126</v>
      </c>
      <c r="D28" s="183"/>
      <c r="E28" s="184"/>
      <c r="F28" s="184"/>
      <c r="G28" s="184">
        <f>'All Emissions - Summary'!D30</f>
        <v>0</v>
      </c>
      <c r="H28" s="1243"/>
      <c r="T28" s="28"/>
      <c r="U28" s="29"/>
      <c r="V28" s="29"/>
      <c r="W28" s="29"/>
      <c r="X28" s="29"/>
    </row>
    <row r="29" spans="1:24" ht="14.25">
      <c r="A29" s="168"/>
      <c r="B29" s="2021" t="s">
        <v>442</v>
      </c>
      <c r="C29" s="186" t="s">
        <v>456</v>
      </c>
      <c r="D29" s="187"/>
      <c r="E29" s="187"/>
      <c r="F29" s="187"/>
      <c r="G29" s="187">
        <f>'All Emissions - Summary'!D31</f>
        <v>39527.002472969303</v>
      </c>
      <c r="H29" s="1244"/>
      <c r="I29" s="29"/>
      <c r="J29" s="29"/>
      <c r="K29" s="29"/>
      <c r="T29" s="28"/>
      <c r="U29" s="29"/>
      <c r="V29" s="29"/>
      <c r="W29" s="29"/>
      <c r="X29" s="29"/>
    </row>
    <row r="30" spans="1:24" ht="14.25">
      <c r="A30" s="168"/>
      <c r="B30" s="2023"/>
      <c r="C30" s="189" t="s">
        <v>457</v>
      </c>
      <c r="D30" s="190"/>
      <c r="E30" s="190"/>
      <c r="F30" s="190"/>
      <c r="G30" s="190">
        <f>'All Emissions - Summary'!D32</f>
        <v>0</v>
      </c>
      <c r="H30" s="1245"/>
      <c r="I30" s="29"/>
      <c r="J30" s="29"/>
      <c r="K30" s="29"/>
      <c r="T30" s="28"/>
      <c r="U30" s="29"/>
      <c r="V30" s="29"/>
      <c r="W30" s="29"/>
      <c r="X30" s="29"/>
    </row>
    <row r="31" spans="1:24" ht="14.25">
      <c r="A31" s="168"/>
      <c r="B31" s="2024" t="s">
        <v>443</v>
      </c>
      <c r="C31" s="192" t="s">
        <v>458</v>
      </c>
      <c r="D31" s="193"/>
      <c r="E31" s="193"/>
      <c r="F31" s="193"/>
      <c r="G31" s="193">
        <f>'All Emissions - Summary'!D33</f>
        <v>0</v>
      </c>
      <c r="H31" s="1246"/>
      <c r="I31" s="29"/>
      <c r="J31" s="29"/>
      <c r="K31" s="29"/>
      <c r="T31" s="28"/>
      <c r="U31" s="29"/>
      <c r="V31" s="29"/>
      <c r="W31" s="29"/>
      <c r="X31" s="29"/>
    </row>
    <row r="32" spans="1:24" ht="14.25">
      <c r="A32" s="168"/>
      <c r="B32" s="2025"/>
      <c r="C32" s="1151" t="s">
        <v>459</v>
      </c>
      <c r="D32" s="1152"/>
      <c r="E32" s="1152"/>
      <c r="F32" s="1152"/>
      <c r="G32" s="1152">
        <f>'All Emissions - Summary'!D34</f>
        <v>4385.6256186989476</v>
      </c>
      <c r="H32" s="1247"/>
      <c r="I32" s="29"/>
      <c r="J32" s="29"/>
      <c r="K32" s="29"/>
      <c r="T32" s="28"/>
      <c r="U32" s="29"/>
      <c r="V32" s="29"/>
      <c r="W32" s="29"/>
      <c r="X32" s="29"/>
    </row>
    <row r="33" spans="1:24" ht="14.25">
      <c r="A33" s="168"/>
      <c r="B33" s="2026"/>
      <c r="C33" s="195" t="s">
        <v>460</v>
      </c>
      <c r="D33" s="196"/>
      <c r="E33" s="196"/>
      <c r="F33" s="196"/>
      <c r="G33" s="196">
        <f>'All Emissions - Summary'!D35</f>
        <v>0</v>
      </c>
      <c r="H33" s="1248"/>
      <c r="I33" s="29"/>
      <c r="J33" s="29"/>
      <c r="K33" s="29"/>
      <c r="T33" s="28"/>
      <c r="U33" s="29"/>
      <c r="V33" s="29"/>
      <c r="W33" s="29"/>
      <c r="X33" s="29"/>
    </row>
    <row r="34" spans="1:24" ht="14.25">
      <c r="A34" s="168"/>
      <c r="B34" s="2027"/>
      <c r="C34" s="198" t="s">
        <v>461</v>
      </c>
      <c r="D34" s="173"/>
      <c r="E34" s="173"/>
      <c r="F34" s="173"/>
      <c r="G34" s="173">
        <f>'All Emissions - Summary'!D36</f>
        <v>1871.057109032</v>
      </c>
      <c r="H34" s="1249"/>
      <c r="I34" s="29"/>
      <c r="J34" s="29"/>
      <c r="K34" s="29"/>
      <c r="T34" s="28"/>
      <c r="U34" s="29"/>
      <c r="V34" s="29"/>
      <c r="W34" s="29"/>
      <c r="X34" s="29"/>
    </row>
    <row r="35" spans="1:24" ht="15" thickBot="1">
      <c r="A35" s="168"/>
      <c r="B35" s="2028" t="s">
        <v>462</v>
      </c>
      <c r="C35" s="2029"/>
      <c r="D35" s="1671">
        <f>SUM(D26:D34)</f>
        <v>0</v>
      </c>
      <c r="E35" s="1671">
        <f>SUM(E26:E34)</f>
        <v>0</v>
      </c>
      <c r="F35" s="1671">
        <f>SUM(F26:F34)</f>
        <v>0</v>
      </c>
      <c r="G35" s="1671">
        <f>SUM(G26:G34)</f>
        <v>141483.61399157948</v>
      </c>
      <c r="H35" s="1250"/>
      <c r="I35" s="29"/>
      <c r="J35" s="29"/>
      <c r="K35" s="29"/>
      <c r="L35" s="30"/>
      <c r="W35" s="28"/>
      <c r="X35" s="29"/>
    </row>
    <row r="36" spans="1:24" ht="14.25">
      <c r="A36" s="168"/>
      <c r="B36" s="168"/>
      <c r="C36" s="175"/>
      <c r="D36" s="175"/>
      <c r="E36" s="175"/>
      <c r="F36" s="175"/>
      <c r="G36" s="172"/>
      <c r="H36" s="172"/>
      <c r="I36" s="172"/>
      <c r="J36" s="172"/>
      <c r="K36" s="30"/>
      <c r="L36" s="30"/>
      <c r="W36" s="28"/>
      <c r="X36" s="29"/>
    </row>
    <row r="37" spans="1:24" ht="15">
      <c r="A37" s="38"/>
      <c r="B37" s="38"/>
      <c r="C37" s="38"/>
      <c r="D37" s="38"/>
      <c r="E37" s="38"/>
      <c r="F37" s="38"/>
      <c r="G37" s="39"/>
      <c r="H37" s="39"/>
      <c r="I37" s="39"/>
      <c r="J37" s="39"/>
      <c r="W37" s="28"/>
      <c r="X37" s="29"/>
    </row>
    <row r="38" spans="1:24" ht="15">
      <c r="A38" s="38"/>
      <c r="B38" s="38"/>
      <c r="C38" s="38"/>
      <c r="D38" s="38"/>
      <c r="E38" s="38"/>
      <c r="F38" s="38"/>
      <c r="G38" s="39"/>
      <c r="H38" s="39"/>
      <c r="I38" s="39"/>
      <c r="J38" s="39"/>
      <c r="W38" s="28"/>
      <c r="X38" s="29"/>
    </row>
    <row r="39" spans="1:24" ht="15">
      <c r="A39" s="38"/>
      <c r="B39" s="38"/>
      <c r="C39" s="38"/>
      <c r="D39" s="38"/>
      <c r="E39" s="38"/>
      <c r="F39" s="38"/>
      <c r="G39" s="39"/>
      <c r="H39" s="39"/>
      <c r="I39" s="39"/>
      <c r="J39" s="39"/>
      <c r="W39" s="28"/>
      <c r="X39" s="29"/>
    </row>
    <row r="40" spans="1:24" ht="15">
      <c r="A40" s="38"/>
      <c r="B40" s="38"/>
      <c r="C40" s="38"/>
      <c r="D40" s="38"/>
      <c r="E40" s="38"/>
      <c r="F40" s="38"/>
      <c r="G40" s="38"/>
      <c r="H40" s="39"/>
      <c r="I40" s="39"/>
      <c r="J40" s="39"/>
      <c r="K40" s="39"/>
    </row>
    <row r="41" spans="1:24" ht="15">
      <c r="A41" s="38"/>
      <c r="B41" s="38"/>
      <c r="C41" s="38"/>
      <c r="D41" s="38"/>
      <c r="E41" s="38"/>
      <c r="F41" s="38"/>
      <c r="G41" s="38"/>
      <c r="H41" s="39"/>
      <c r="I41" s="39"/>
      <c r="J41" s="39"/>
      <c r="K41" s="39"/>
    </row>
  </sheetData>
  <mergeCells count="22">
    <mergeCell ref="B11:H11"/>
    <mergeCell ref="B26:B28"/>
    <mergeCell ref="B29:B30"/>
    <mergeCell ref="B31:B34"/>
    <mergeCell ref="B35:C35"/>
    <mergeCell ref="B12:C12"/>
    <mergeCell ref="B13:C13"/>
    <mergeCell ref="B14:C14"/>
    <mergeCell ref="B15:C15"/>
    <mergeCell ref="B16:C16"/>
    <mergeCell ref="B24:H24"/>
    <mergeCell ref="B18:H18"/>
    <mergeCell ref="B19:C19"/>
    <mergeCell ref="B20:C20"/>
    <mergeCell ref="B21:C21"/>
    <mergeCell ref="B22:C22"/>
    <mergeCell ref="B8:F8"/>
    <mergeCell ref="B2:F2"/>
    <mergeCell ref="C3:F3"/>
    <mergeCell ref="C4:F4"/>
    <mergeCell ref="C5:F5"/>
    <mergeCell ref="B7:F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V50"/>
  <sheetViews>
    <sheetView showGridLines="0" zoomScaleNormal="100" workbookViewId="0">
      <selection activeCell="X23" sqref="X23"/>
    </sheetView>
  </sheetViews>
  <sheetFormatPr defaultRowHeight="12.75"/>
  <sheetData>
    <row r="1" spans="1:22" s="23" customFormat="1"/>
    <row r="2" spans="1:22" s="23" customFormat="1"/>
    <row r="3" spans="1:22" s="23" customFormat="1"/>
    <row r="4" spans="1:22" s="23" customFormat="1" ht="22.5">
      <c r="A4" s="448" t="s">
        <v>528</v>
      </c>
    </row>
    <row r="6" spans="1:22">
      <c r="A6" s="447"/>
      <c r="B6" s="23"/>
      <c r="C6" s="23"/>
      <c r="D6" s="23"/>
      <c r="E6" s="23"/>
      <c r="F6" s="23"/>
      <c r="G6" s="23"/>
      <c r="H6" s="23"/>
      <c r="I6" s="23"/>
      <c r="J6" s="23"/>
      <c r="K6" s="23"/>
      <c r="L6" s="23"/>
      <c r="M6" s="23"/>
      <c r="N6" s="23"/>
      <c r="O6" s="23"/>
      <c r="P6" s="23"/>
      <c r="Q6" s="23"/>
      <c r="R6" s="23"/>
      <c r="S6" s="23"/>
      <c r="T6" s="23"/>
      <c r="U6" s="23"/>
      <c r="V6" s="447"/>
    </row>
    <row r="50" spans="12:12">
      <c r="L50" s="447"/>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M356"/>
  <sheetViews>
    <sheetView showGridLines="0" workbookViewId="0">
      <selection activeCell="C13" sqref="C13"/>
    </sheetView>
  </sheetViews>
  <sheetFormatPr defaultRowHeight="12.75"/>
  <cols>
    <col min="1" max="1" width="37.7109375" customWidth="1"/>
    <col min="2" max="2" width="36" customWidth="1"/>
    <col min="3" max="3" width="23.7109375" customWidth="1"/>
    <col min="4" max="4" width="35" customWidth="1"/>
    <col min="5" max="5" width="29.42578125" customWidth="1"/>
    <col min="6" max="6" width="33.5703125" customWidth="1"/>
    <col min="7" max="7" width="17.28515625" customWidth="1"/>
    <col min="8" max="8" width="21" customWidth="1"/>
    <col min="9" max="13" width="17.28515625" customWidth="1"/>
  </cols>
  <sheetData>
    <row r="1" spans="1:13" s="23" customFormat="1">
      <c r="A1" s="1301" t="s">
        <v>529</v>
      </c>
      <c r="B1" s="1301" t="s">
        <v>530</v>
      </c>
      <c r="C1" s="1301" t="s">
        <v>531</v>
      </c>
      <c r="D1" s="1301" t="s">
        <v>532</v>
      </c>
      <c r="E1" s="1301" t="s">
        <v>533</v>
      </c>
      <c r="F1" s="1301" t="s">
        <v>534</v>
      </c>
      <c r="G1" s="1301" t="s">
        <v>535</v>
      </c>
      <c r="H1" s="1301" t="s">
        <v>536</v>
      </c>
      <c r="I1" s="1301" t="s">
        <v>537</v>
      </c>
    </row>
    <row r="2" spans="1:13" ht="28.5" customHeight="1">
      <c r="A2" s="609" t="s">
        <v>62</v>
      </c>
      <c r="B2" s="609" t="s">
        <v>538</v>
      </c>
      <c r="C2" s="609" t="s">
        <v>539</v>
      </c>
      <c r="D2" s="609" t="s">
        <v>29</v>
      </c>
      <c r="E2" s="610" t="s">
        <v>540</v>
      </c>
      <c r="F2" s="609" t="s">
        <v>541</v>
      </c>
      <c r="G2" s="609" t="s">
        <v>51</v>
      </c>
      <c r="H2" s="610">
        <f>'Emission Factors'!J38</f>
        <v>2.2151618911999999E-4</v>
      </c>
      <c r="I2" s="1320" t="s">
        <v>542</v>
      </c>
      <c r="J2" s="610"/>
      <c r="K2" s="610"/>
      <c r="L2" s="610"/>
      <c r="M2" s="610"/>
    </row>
    <row r="3" spans="1:13" s="23" customFormat="1">
      <c r="A3" s="609" t="s">
        <v>59</v>
      </c>
      <c r="B3" s="609" t="s">
        <v>62</v>
      </c>
      <c r="C3" s="610" t="s">
        <v>543</v>
      </c>
      <c r="D3" s="609" t="s">
        <v>544</v>
      </c>
      <c r="E3" s="610" t="s">
        <v>545</v>
      </c>
      <c r="F3" s="609" t="s">
        <v>546</v>
      </c>
      <c r="G3" s="609" t="s">
        <v>212</v>
      </c>
      <c r="H3" s="610">
        <f>'Emission Factors'!L68</f>
        <v>2.6308335999999997E-4</v>
      </c>
      <c r="I3" s="1320" t="s">
        <v>547</v>
      </c>
      <c r="J3" s="610"/>
      <c r="K3" s="610"/>
      <c r="L3" s="610"/>
      <c r="M3" s="610"/>
    </row>
    <row r="4" spans="1:13" s="23" customFormat="1" ht="28.5" customHeight="1">
      <c r="A4" s="610"/>
      <c r="B4" s="609" t="s">
        <v>59</v>
      </c>
      <c r="C4" s="610" t="s">
        <v>548</v>
      </c>
      <c r="D4" s="610" t="s">
        <v>320</v>
      </c>
      <c r="E4" s="610" t="s">
        <v>549</v>
      </c>
      <c r="F4" s="609" t="s">
        <v>550</v>
      </c>
      <c r="G4" s="609" t="s">
        <v>551</v>
      </c>
      <c r="H4" s="610">
        <f>'Emission Factors'!E33/2204600</f>
        <v>2.6308627415404153E-4</v>
      </c>
      <c r="I4" s="1320" t="s">
        <v>552</v>
      </c>
      <c r="J4" s="610"/>
      <c r="K4" s="610"/>
      <c r="L4" s="610"/>
      <c r="M4" s="610"/>
    </row>
    <row r="5" spans="1:13" s="23" customFormat="1" ht="12.75" customHeight="1">
      <c r="A5" s="610"/>
      <c r="B5" s="610"/>
      <c r="C5" s="610" t="s">
        <v>27</v>
      </c>
      <c r="D5" s="610" t="s">
        <v>321</v>
      </c>
      <c r="E5" s="610" t="s">
        <v>553</v>
      </c>
      <c r="F5" s="609" t="s">
        <v>554</v>
      </c>
      <c r="G5" s="610"/>
      <c r="H5" s="610"/>
      <c r="I5" s="1320" t="s">
        <v>555</v>
      </c>
      <c r="J5" s="610"/>
      <c r="K5" s="610"/>
      <c r="L5" s="610"/>
      <c r="M5" s="610"/>
    </row>
    <row r="6" spans="1:13" s="23" customFormat="1" ht="12.75" customHeight="1">
      <c r="A6" s="611"/>
      <c r="B6" s="610"/>
      <c r="C6" s="610" t="s">
        <v>556</v>
      </c>
      <c r="D6" s="610" t="s">
        <v>322</v>
      </c>
      <c r="E6" s="610" t="s">
        <v>557</v>
      </c>
      <c r="F6" s="609" t="s">
        <v>558</v>
      </c>
      <c r="G6" s="610"/>
      <c r="H6" s="610"/>
      <c r="I6" s="1320" t="s">
        <v>559</v>
      </c>
      <c r="J6" s="610"/>
      <c r="K6" s="610"/>
      <c r="L6" s="610"/>
      <c r="M6" s="610"/>
    </row>
    <row r="7" spans="1:13" s="23" customFormat="1" ht="12.75" customHeight="1">
      <c r="A7" s="610"/>
      <c r="B7" s="610"/>
      <c r="C7" s="610" t="s">
        <v>560</v>
      </c>
      <c r="D7" s="610" t="s">
        <v>323</v>
      </c>
      <c r="E7" s="610" t="s">
        <v>561</v>
      </c>
      <c r="F7" s="609" t="s">
        <v>216</v>
      </c>
      <c r="G7" s="610"/>
      <c r="H7" s="610"/>
      <c r="I7" s="1320" t="s">
        <v>562</v>
      </c>
      <c r="J7" s="610"/>
      <c r="K7" s="610"/>
      <c r="L7" s="610"/>
      <c r="M7" s="610"/>
    </row>
    <row r="8" spans="1:13" s="23" customFormat="1">
      <c r="A8" s="610"/>
      <c r="B8" s="610"/>
      <c r="C8" s="610"/>
      <c r="D8" s="610" t="s">
        <v>324</v>
      </c>
      <c r="E8" s="610" t="s">
        <v>563</v>
      </c>
      <c r="F8" s="610"/>
      <c r="G8" s="610"/>
      <c r="H8" s="610"/>
      <c r="I8" s="1320" t="s">
        <v>564</v>
      </c>
      <c r="J8" s="610"/>
      <c r="K8" s="610"/>
      <c r="L8" s="610"/>
      <c r="M8" s="610"/>
    </row>
    <row r="9" spans="1:13" s="23" customFormat="1">
      <c r="A9" s="610"/>
      <c r="B9" s="610"/>
      <c r="C9" s="610"/>
      <c r="D9" s="610" t="s">
        <v>325</v>
      </c>
      <c r="E9" s="610" t="s">
        <v>565</v>
      </c>
      <c r="F9" s="610"/>
      <c r="G9" s="610"/>
      <c r="H9" s="610"/>
      <c r="I9" s="1320" t="s">
        <v>566</v>
      </c>
      <c r="J9" s="610"/>
      <c r="K9" s="610"/>
      <c r="L9" s="610"/>
      <c r="M9" s="610"/>
    </row>
    <row r="10" spans="1:13" s="23" customFormat="1" ht="28.5" customHeight="1">
      <c r="A10" s="611"/>
      <c r="B10" s="610"/>
      <c r="C10" s="610"/>
      <c r="D10" s="610" t="s">
        <v>326</v>
      </c>
      <c r="E10" s="610" t="s">
        <v>567</v>
      </c>
      <c r="F10" s="610"/>
      <c r="G10" s="610"/>
      <c r="H10" s="610"/>
      <c r="I10" s="1320" t="s">
        <v>568</v>
      </c>
      <c r="J10" s="610"/>
      <c r="K10" s="610"/>
      <c r="L10" s="610"/>
      <c r="M10" s="610"/>
    </row>
    <row r="11" spans="1:13" s="23" customFormat="1" ht="12.75" customHeight="1">
      <c r="A11" s="611"/>
      <c r="B11" s="610"/>
      <c r="C11" s="610"/>
      <c r="D11" s="610" t="s">
        <v>327</v>
      </c>
      <c r="E11" s="610" t="s">
        <v>569</v>
      </c>
      <c r="F11" s="610"/>
      <c r="G11" s="610"/>
      <c r="H11" s="610"/>
      <c r="I11" s="1320" t="s">
        <v>23</v>
      </c>
      <c r="J11" s="610"/>
      <c r="K11" s="610"/>
      <c r="L11" s="610"/>
      <c r="M11" s="610"/>
    </row>
    <row r="12" spans="1:13" s="23" customFormat="1" ht="12.75" customHeight="1">
      <c r="A12" s="611"/>
      <c r="B12" s="610"/>
      <c r="C12" s="610"/>
      <c r="D12" s="610" t="s">
        <v>328</v>
      </c>
      <c r="E12" s="610" t="s">
        <v>570</v>
      </c>
      <c r="F12" s="610"/>
      <c r="G12" s="610"/>
      <c r="H12" s="610"/>
      <c r="I12" s="1320" t="s">
        <v>571</v>
      </c>
      <c r="J12" s="610"/>
      <c r="K12" s="610"/>
      <c r="L12" s="610"/>
      <c r="M12" s="610"/>
    </row>
    <row r="13" spans="1:13" ht="12.75" customHeight="1">
      <c r="A13" s="610"/>
      <c r="B13" s="610"/>
      <c r="C13" s="610"/>
      <c r="D13" s="610" t="s">
        <v>329</v>
      </c>
      <c r="E13" s="610" t="s">
        <v>572</v>
      </c>
      <c r="F13" s="610"/>
      <c r="G13" s="610"/>
      <c r="H13" s="610"/>
      <c r="I13" s="1320" t="s">
        <v>573</v>
      </c>
      <c r="J13" s="610"/>
      <c r="K13" s="610"/>
      <c r="L13" s="610"/>
      <c r="M13" s="610"/>
    </row>
    <row r="14" spans="1:13">
      <c r="A14" s="610"/>
      <c r="B14" s="610"/>
      <c r="C14" s="610"/>
      <c r="D14" s="610" t="s">
        <v>330</v>
      </c>
      <c r="E14" s="610" t="s">
        <v>574</v>
      </c>
      <c r="F14" s="610"/>
      <c r="G14" s="610"/>
      <c r="H14" s="610"/>
      <c r="I14" s="1320" t="s">
        <v>575</v>
      </c>
      <c r="J14" s="610"/>
      <c r="K14" s="610"/>
      <c r="L14" s="610"/>
      <c r="M14" s="610"/>
    </row>
    <row r="15" spans="1:13">
      <c r="A15" s="610"/>
      <c r="B15" s="610"/>
      <c r="C15" s="610"/>
      <c r="D15" s="610" t="s">
        <v>331</v>
      </c>
      <c r="E15" s="610" t="s">
        <v>576</v>
      </c>
      <c r="F15" s="610"/>
      <c r="G15" s="610"/>
      <c r="H15" s="610"/>
      <c r="I15" s="1320" t="s">
        <v>577</v>
      </c>
      <c r="J15" s="610"/>
      <c r="K15" s="610"/>
      <c r="L15" s="610"/>
      <c r="M15" s="610"/>
    </row>
    <row r="16" spans="1:13" ht="28.5" customHeight="1">
      <c r="A16" s="610"/>
      <c r="B16" s="610"/>
      <c r="C16" s="610"/>
      <c r="D16" s="610" t="s">
        <v>332</v>
      </c>
      <c r="E16" s="610" t="s">
        <v>578</v>
      </c>
      <c r="F16" s="610"/>
      <c r="G16" s="610"/>
      <c r="H16" s="610"/>
      <c r="I16" s="610"/>
      <c r="J16" s="610"/>
      <c r="K16" s="610"/>
      <c r="L16" s="610"/>
      <c r="M16" s="610"/>
    </row>
    <row r="17" spans="1:13" ht="12.75" customHeight="1">
      <c r="A17" s="610"/>
      <c r="B17" s="610"/>
      <c r="C17" s="610"/>
      <c r="D17" s="610" t="s">
        <v>333</v>
      </c>
      <c r="E17" s="610" t="s">
        <v>579</v>
      </c>
      <c r="F17" s="610"/>
      <c r="G17" s="610"/>
      <c r="H17" s="610"/>
      <c r="I17" s="610"/>
      <c r="J17" s="610"/>
      <c r="K17" s="610"/>
      <c r="L17" s="610"/>
      <c r="M17" s="610"/>
    </row>
    <row r="18" spans="1:13" ht="12.75" customHeight="1">
      <c r="A18" s="610"/>
      <c r="B18" s="610"/>
      <c r="C18" s="610"/>
      <c r="D18" s="610" t="s">
        <v>334</v>
      </c>
      <c r="E18" s="610" t="s">
        <v>580</v>
      </c>
      <c r="F18" s="610"/>
      <c r="G18" s="610"/>
      <c r="H18" s="610"/>
      <c r="I18" s="610"/>
      <c r="J18" s="610"/>
      <c r="K18" s="610"/>
      <c r="L18" s="610"/>
      <c r="M18" s="610"/>
    </row>
    <row r="19" spans="1:13" ht="12.75" customHeight="1">
      <c r="A19" s="610"/>
      <c r="B19" s="610"/>
      <c r="C19" s="610"/>
      <c r="D19" s="610" t="s">
        <v>335</v>
      </c>
      <c r="E19" s="610" t="s">
        <v>581</v>
      </c>
      <c r="F19" s="610"/>
      <c r="G19" s="610"/>
      <c r="H19" s="610"/>
      <c r="I19" s="610"/>
      <c r="J19" s="610"/>
      <c r="K19" s="610"/>
      <c r="L19" s="610"/>
      <c r="M19" s="610"/>
    </row>
    <row r="20" spans="1:13">
      <c r="A20" s="610"/>
      <c r="B20" s="610"/>
      <c r="C20" s="610"/>
      <c r="D20" s="610" t="s">
        <v>336</v>
      </c>
      <c r="E20" s="610" t="s">
        <v>582</v>
      </c>
      <c r="F20" s="610"/>
      <c r="G20" s="610"/>
      <c r="H20" s="610"/>
      <c r="I20" s="610"/>
      <c r="J20" s="610"/>
      <c r="K20" s="610"/>
      <c r="L20" s="610"/>
      <c r="M20" s="610"/>
    </row>
    <row r="21" spans="1:13">
      <c r="A21" s="610"/>
      <c r="B21" s="610"/>
      <c r="C21" s="610"/>
      <c r="D21" s="610" t="s">
        <v>337</v>
      </c>
      <c r="E21" s="610" t="s">
        <v>583</v>
      </c>
      <c r="F21" s="610"/>
      <c r="G21" s="610"/>
      <c r="H21" s="610"/>
      <c r="I21" s="610"/>
      <c r="J21" s="610"/>
      <c r="K21" s="610"/>
      <c r="L21" s="610"/>
      <c r="M21" s="610"/>
    </row>
    <row r="22" spans="1:13" ht="28.5" customHeight="1">
      <c r="A22" s="610"/>
      <c r="B22" s="610"/>
      <c r="C22" s="610"/>
      <c r="D22" s="610" t="s">
        <v>338</v>
      </c>
      <c r="E22" s="610" t="s">
        <v>542</v>
      </c>
      <c r="F22" s="610"/>
      <c r="G22" s="610"/>
      <c r="H22" s="610"/>
      <c r="I22" s="610"/>
      <c r="J22" s="610"/>
      <c r="K22" s="610"/>
      <c r="L22" s="610"/>
      <c r="M22" s="610"/>
    </row>
    <row r="23" spans="1:13">
      <c r="A23" s="610"/>
      <c r="B23" s="610"/>
      <c r="C23" s="610"/>
      <c r="D23" s="610" t="s">
        <v>339</v>
      </c>
      <c r="E23" s="610" t="s">
        <v>584</v>
      </c>
      <c r="F23" s="610"/>
      <c r="G23" s="610"/>
      <c r="H23" s="610"/>
      <c r="I23" s="610"/>
      <c r="J23" s="610"/>
      <c r="K23" s="610"/>
      <c r="L23" s="610"/>
      <c r="M23" s="610"/>
    </row>
    <row r="24" spans="1:13">
      <c r="A24" s="610"/>
      <c r="B24" s="610"/>
      <c r="C24" s="610"/>
      <c r="D24" s="610" t="s">
        <v>340</v>
      </c>
      <c r="E24" s="610" t="s">
        <v>585</v>
      </c>
      <c r="F24" s="610"/>
      <c r="G24" s="610"/>
      <c r="H24" s="610"/>
      <c r="I24" s="610"/>
      <c r="J24" s="610"/>
      <c r="K24" s="610"/>
      <c r="L24" s="610"/>
      <c r="M24" s="610"/>
    </row>
    <row r="25" spans="1:13">
      <c r="A25" s="610"/>
      <c r="B25" s="610"/>
      <c r="C25" s="610"/>
      <c r="D25" s="610" t="s">
        <v>341</v>
      </c>
      <c r="E25" s="610" t="s">
        <v>586</v>
      </c>
      <c r="F25" s="610"/>
      <c r="G25" s="610"/>
      <c r="H25" s="610"/>
      <c r="I25" s="610"/>
      <c r="J25" s="610"/>
      <c r="K25" s="610"/>
      <c r="L25" s="610"/>
      <c r="M25" s="610"/>
    </row>
    <row r="26" spans="1:13">
      <c r="A26" s="610"/>
      <c r="B26" s="610"/>
      <c r="C26" s="610"/>
      <c r="D26" s="610" t="s">
        <v>342</v>
      </c>
      <c r="E26" s="610" t="s">
        <v>587</v>
      </c>
      <c r="F26" s="610"/>
      <c r="G26" s="610"/>
      <c r="H26" s="610"/>
      <c r="I26" s="610"/>
      <c r="J26" s="610"/>
      <c r="K26" s="610"/>
      <c r="L26" s="610"/>
      <c r="M26" s="610"/>
    </row>
    <row r="27" spans="1:13">
      <c r="A27" s="610"/>
      <c r="B27" s="610"/>
      <c r="C27" s="610"/>
      <c r="D27" s="610" t="s">
        <v>343</v>
      </c>
      <c r="E27" s="610" t="s">
        <v>588</v>
      </c>
      <c r="F27" s="610"/>
      <c r="G27" s="610"/>
      <c r="H27" s="610"/>
      <c r="I27" s="610"/>
      <c r="J27" s="610"/>
      <c r="K27" s="610"/>
      <c r="L27" s="610"/>
      <c r="M27" s="610"/>
    </row>
    <row r="28" spans="1:13" ht="28.5" customHeight="1">
      <c r="A28" s="610"/>
      <c r="B28" s="610"/>
      <c r="C28" s="610"/>
      <c r="D28" s="610" t="s">
        <v>344</v>
      </c>
      <c r="E28" s="610" t="s">
        <v>589</v>
      </c>
      <c r="F28" s="610"/>
      <c r="G28" s="610"/>
      <c r="H28" s="610"/>
      <c r="I28" s="610"/>
      <c r="J28" s="610"/>
      <c r="K28" s="610"/>
      <c r="L28" s="610"/>
      <c r="M28" s="610"/>
    </row>
    <row r="29" spans="1:13" ht="12.75" customHeight="1">
      <c r="A29" s="610"/>
      <c r="B29" s="610"/>
      <c r="C29" s="610"/>
      <c r="D29" s="610" t="s">
        <v>345</v>
      </c>
      <c r="E29" s="610" t="s">
        <v>590</v>
      </c>
      <c r="F29" s="610"/>
      <c r="G29" s="610"/>
      <c r="H29" s="610"/>
      <c r="I29" s="610"/>
      <c r="J29" s="610"/>
      <c r="K29" s="610"/>
      <c r="L29" s="610"/>
      <c r="M29" s="610"/>
    </row>
    <row r="30" spans="1:13" ht="12.75" customHeight="1">
      <c r="A30" s="610"/>
      <c r="B30" s="610"/>
      <c r="C30" s="610"/>
      <c r="D30" s="610" t="s">
        <v>346</v>
      </c>
      <c r="E30" s="610" t="s">
        <v>591</v>
      </c>
      <c r="F30" s="610"/>
      <c r="G30" s="610"/>
      <c r="H30" s="610"/>
      <c r="I30" s="610"/>
      <c r="J30" s="610"/>
      <c r="K30" s="610"/>
      <c r="L30" s="610"/>
      <c r="M30" s="610"/>
    </row>
    <row r="31" spans="1:13" ht="12.75" customHeight="1">
      <c r="A31" s="610"/>
      <c r="B31" s="610"/>
      <c r="C31" s="610"/>
      <c r="D31" s="610" t="s">
        <v>347</v>
      </c>
      <c r="E31" s="610" t="s">
        <v>592</v>
      </c>
      <c r="F31" s="610"/>
      <c r="G31" s="610"/>
      <c r="H31" s="610"/>
      <c r="I31" s="610"/>
      <c r="J31" s="610"/>
      <c r="K31" s="610"/>
      <c r="L31" s="610"/>
      <c r="M31" s="610"/>
    </row>
    <row r="32" spans="1:13">
      <c r="A32" s="610"/>
      <c r="B32" s="610"/>
      <c r="C32" s="610"/>
      <c r="D32" s="610" t="s">
        <v>348</v>
      </c>
      <c r="E32" s="610" t="s">
        <v>593</v>
      </c>
      <c r="F32" s="610"/>
      <c r="G32" s="610"/>
      <c r="H32" s="610"/>
      <c r="I32" s="610"/>
      <c r="J32" s="610"/>
      <c r="K32" s="610"/>
      <c r="L32" s="610"/>
      <c r="M32" s="610"/>
    </row>
    <row r="33" spans="1:13">
      <c r="A33" s="610"/>
      <c r="B33" s="610"/>
      <c r="C33" s="610"/>
      <c r="D33" s="610" t="s">
        <v>349</v>
      </c>
      <c r="E33" s="610" t="s">
        <v>594</v>
      </c>
      <c r="F33" s="610"/>
      <c r="G33" s="610"/>
      <c r="H33" s="610"/>
      <c r="I33" s="610"/>
      <c r="J33" s="610"/>
      <c r="K33" s="610"/>
      <c r="L33" s="610"/>
      <c r="M33" s="610"/>
    </row>
    <row r="34" spans="1:13" ht="28.5" customHeight="1">
      <c r="A34" s="610"/>
      <c r="B34" s="610"/>
      <c r="C34" s="610"/>
      <c r="D34" s="610" t="s">
        <v>350</v>
      </c>
      <c r="E34" s="610" t="s">
        <v>595</v>
      </c>
      <c r="F34" s="610"/>
      <c r="G34" s="610"/>
      <c r="H34" s="610"/>
      <c r="I34" s="610"/>
      <c r="J34" s="610"/>
      <c r="K34" s="610"/>
      <c r="L34" s="610"/>
      <c r="M34" s="610"/>
    </row>
    <row r="35" spans="1:13" ht="12.75" customHeight="1">
      <c r="A35" s="610"/>
      <c r="B35" s="610"/>
      <c r="C35" s="610"/>
      <c r="D35" s="610" t="s">
        <v>351</v>
      </c>
      <c r="E35" s="610" t="s">
        <v>596</v>
      </c>
      <c r="F35" s="610"/>
      <c r="G35" s="610"/>
      <c r="H35" s="610"/>
      <c r="I35" s="610"/>
      <c r="J35" s="610"/>
      <c r="K35" s="610"/>
      <c r="L35" s="610"/>
      <c r="M35" s="610"/>
    </row>
    <row r="36" spans="1:13" ht="12.75" customHeight="1">
      <c r="A36" s="610"/>
      <c r="B36" s="610"/>
      <c r="C36" s="610"/>
      <c r="D36" s="610" t="s">
        <v>352</v>
      </c>
      <c r="E36" s="610" t="s">
        <v>597</v>
      </c>
      <c r="F36" s="610"/>
      <c r="G36" s="610"/>
      <c r="H36" s="610"/>
      <c r="I36" s="610"/>
      <c r="J36" s="610"/>
      <c r="K36" s="610"/>
      <c r="L36" s="610"/>
      <c r="M36" s="610"/>
    </row>
    <row r="37" spans="1:13" ht="12.75" customHeight="1">
      <c r="A37" s="610"/>
      <c r="B37" s="610"/>
      <c r="C37" s="610"/>
      <c r="D37" s="610" t="s">
        <v>353</v>
      </c>
      <c r="E37" s="610" t="s">
        <v>598</v>
      </c>
      <c r="F37" s="610"/>
      <c r="G37" s="610"/>
      <c r="H37" s="610"/>
      <c r="I37" s="610"/>
      <c r="J37" s="610"/>
      <c r="K37" s="610"/>
      <c r="L37" s="610"/>
      <c r="M37" s="610"/>
    </row>
    <row r="38" spans="1:13">
      <c r="A38" s="610"/>
      <c r="B38" s="610"/>
      <c r="C38" s="610"/>
      <c r="D38" s="610" t="s">
        <v>354</v>
      </c>
      <c r="E38" s="610" t="s">
        <v>599</v>
      </c>
      <c r="F38" s="610"/>
      <c r="G38" s="610"/>
      <c r="H38" s="610"/>
      <c r="I38" s="610"/>
      <c r="J38" s="610"/>
      <c r="K38" s="610"/>
      <c r="L38" s="610"/>
      <c r="M38" s="610"/>
    </row>
    <row r="39" spans="1:13">
      <c r="A39" s="610"/>
      <c r="B39" s="610"/>
      <c r="C39" s="610"/>
      <c r="D39" s="610" t="s">
        <v>355</v>
      </c>
      <c r="E39" s="610" t="s">
        <v>600</v>
      </c>
      <c r="F39" s="610"/>
      <c r="G39" s="610"/>
      <c r="H39" s="610"/>
      <c r="I39" s="610"/>
      <c r="J39" s="610"/>
      <c r="K39" s="610"/>
      <c r="L39" s="610"/>
      <c r="M39" s="610"/>
    </row>
    <row r="40" spans="1:13" ht="28.5" customHeight="1">
      <c r="A40" s="610"/>
      <c r="B40" s="610"/>
      <c r="C40" s="610"/>
      <c r="D40" s="610" t="s">
        <v>356</v>
      </c>
      <c r="E40" s="610" t="s">
        <v>601</v>
      </c>
      <c r="F40" s="610"/>
      <c r="G40" s="610"/>
      <c r="H40" s="610"/>
      <c r="I40" s="610"/>
      <c r="J40" s="610"/>
      <c r="K40" s="610"/>
      <c r="L40" s="610"/>
      <c r="M40" s="610"/>
    </row>
    <row r="41" spans="1:13" ht="12.75" customHeight="1">
      <c r="A41" s="610"/>
      <c r="B41" s="610"/>
      <c r="C41" s="610"/>
      <c r="D41" s="610" t="s">
        <v>357</v>
      </c>
      <c r="E41" s="610" t="s">
        <v>602</v>
      </c>
      <c r="F41" s="610"/>
      <c r="G41" s="610"/>
      <c r="H41" s="610"/>
      <c r="I41" s="610"/>
      <c r="J41" s="610"/>
      <c r="K41" s="610"/>
      <c r="L41" s="610"/>
      <c r="M41" s="610"/>
    </row>
    <row r="42" spans="1:13" ht="12.75" customHeight="1">
      <c r="A42" s="610"/>
      <c r="B42" s="610"/>
      <c r="C42" s="610"/>
      <c r="D42" s="610" t="s">
        <v>358</v>
      </c>
      <c r="E42" s="610" t="s">
        <v>603</v>
      </c>
      <c r="F42" s="610"/>
      <c r="G42" s="610"/>
      <c r="H42" s="610"/>
      <c r="I42" s="610"/>
      <c r="J42" s="610"/>
      <c r="K42" s="610"/>
      <c r="L42" s="610"/>
      <c r="M42" s="610"/>
    </row>
    <row r="43" spans="1:13" ht="12.75" customHeight="1">
      <c r="A43" s="610"/>
      <c r="B43" s="610"/>
      <c r="C43" s="610"/>
      <c r="D43" s="610" t="s">
        <v>359</v>
      </c>
      <c r="E43" s="610" t="s">
        <v>604</v>
      </c>
      <c r="F43" s="610"/>
      <c r="G43" s="610"/>
      <c r="H43" s="610"/>
      <c r="I43" s="610"/>
      <c r="J43" s="610"/>
      <c r="K43" s="610"/>
      <c r="L43" s="610"/>
      <c r="M43" s="610"/>
    </row>
    <row r="44" spans="1:13">
      <c r="A44" s="610"/>
      <c r="B44" s="610"/>
      <c r="C44" s="610"/>
      <c r="D44" s="610"/>
      <c r="E44" s="610" t="s">
        <v>605</v>
      </c>
      <c r="F44" s="610"/>
      <c r="G44" s="610"/>
      <c r="H44" s="610"/>
      <c r="I44" s="610"/>
      <c r="J44" s="610"/>
      <c r="K44" s="610"/>
      <c r="L44" s="610"/>
      <c r="M44" s="610"/>
    </row>
    <row r="45" spans="1:13">
      <c r="A45" s="610"/>
      <c r="B45" s="610"/>
      <c r="C45" s="610"/>
      <c r="D45" s="610"/>
      <c r="E45" s="610" t="s">
        <v>606</v>
      </c>
      <c r="F45" s="610"/>
      <c r="G45" s="610"/>
      <c r="H45" s="610"/>
      <c r="I45" s="610"/>
      <c r="J45" s="610"/>
      <c r="K45" s="610"/>
      <c r="L45" s="610"/>
      <c r="M45" s="610"/>
    </row>
    <row r="46" spans="1:13" ht="28.5" customHeight="1">
      <c r="A46" s="610"/>
      <c r="B46" s="610"/>
      <c r="C46" s="610"/>
      <c r="D46" s="610"/>
      <c r="E46" s="610" t="s">
        <v>607</v>
      </c>
      <c r="F46" s="610"/>
      <c r="G46" s="610"/>
      <c r="H46" s="610"/>
      <c r="I46" s="610"/>
      <c r="J46" s="610"/>
      <c r="K46" s="610"/>
      <c r="L46" s="610"/>
      <c r="M46" s="610"/>
    </row>
    <row r="47" spans="1:13">
      <c r="A47" s="610"/>
      <c r="B47" s="610"/>
      <c r="C47" s="610"/>
      <c r="D47" s="610"/>
      <c r="E47" s="610" t="s">
        <v>608</v>
      </c>
      <c r="F47" s="610"/>
      <c r="G47" s="610"/>
      <c r="H47" s="610"/>
      <c r="I47" s="610"/>
      <c r="J47" s="610"/>
      <c r="K47" s="610"/>
      <c r="L47" s="610"/>
      <c r="M47" s="610"/>
    </row>
    <row r="48" spans="1:13">
      <c r="A48" s="610"/>
      <c r="B48" s="610"/>
      <c r="C48" s="610"/>
      <c r="D48" s="610"/>
      <c r="E48" s="610" t="s">
        <v>609</v>
      </c>
      <c r="F48" s="610"/>
      <c r="G48" s="610"/>
      <c r="H48" s="610"/>
      <c r="I48" s="610"/>
      <c r="J48" s="610"/>
      <c r="K48" s="610"/>
      <c r="L48" s="610"/>
      <c r="M48" s="610"/>
    </row>
    <row r="49" spans="1:13">
      <c r="A49" s="610"/>
      <c r="B49" s="610"/>
      <c r="C49" s="610"/>
      <c r="D49" s="610"/>
      <c r="E49" s="610" t="s">
        <v>610</v>
      </c>
      <c r="F49" s="610"/>
      <c r="G49" s="610"/>
      <c r="H49" s="610"/>
      <c r="I49" s="610"/>
      <c r="J49" s="610"/>
      <c r="K49" s="610"/>
      <c r="L49" s="610"/>
      <c r="M49" s="610"/>
    </row>
    <row r="50" spans="1:13">
      <c r="A50" s="610"/>
      <c r="B50" s="610"/>
      <c r="C50" s="610"/>
      <c r="D50" s="610"/>
      <c r="E50" s="610" t="s">
        <v>611</v>
      </c>
      <c r="F50" s="610"/>
      <c r="G50" s="610"/>
      <c r="H50" s="610"/>
      <c r="I50" s="610"/>
      <c r="J50" s="610"/>
      <c r="K50" s="610"/>
      <c r="L50" s="610"/>
      <c r="M50" s="610"/>
    </row>
    <row r="51" spans="1:13">
      <c r="A51" s="610"/>
      <c r="B51" s="610"/>
      <c r="C51" s="610"/>
      <c r="D51" s="610"/>
      <c r="E51" s="610" t="s">
        <v>612</v>
      </c>
      <c r="F51" s="610"/>
      <c r="G51" s="610"/>
      <c r="H51" s="610"/>
      <c r="I51" s="610"/>
      <c r="J51" s="610"/>
      <c r="K51" s="610"/>
      <c r="L51" s="610"/>
      <c r="M51" s="610"/>
    </row>
    <row r="52" spans="1:13" ht="14.25" customHeight="1">
      <c r="A52" s="610"/>
      <c r="B52" s="610"/>
      <c r="C52" s="610"/>
      <c r="D52" s="610"/>
      <c r="E52" s="610" t="s">
        <v>613</v>
      </c>
      <c r="F52" s="610"/>
      <c r="G52" s="610"/>
      <c r="H52" s="610"/>
      <c r="I52" s="610"/>
      <c r="J52" s="610"/>
      <c r="K52" s="610"/>
      <c r="L52" s="610"/>
      <c r="M52" s="610"/>
    </row>
    <row r="53" spans="1:13" ht="12.75" customHeight="1">
      <c r="A53" s="610"/>
      <c r="B53" s="610"/>
      <c r="C53" s="610"/>
      <c r="D53" s="610"/>
      <c r="E53" s="610" t="s">
        <v>614</v>
      </c>
      <c r="F53" s="610"/>
      <c r="G53" s="610"/>
      <c r="H53" s="610"/>
      <c r="I53" s="610"/>
      <c r="J53" s="610"/>
      <c r="K53" s="610"/>
      <c r="L53" s="610"/>
      <c r="M53" s="610"/>
    </row>
    <row r="54" spans="1:13" ht="12.75" customHeight="1">
      <c r="A54" s="610"/>
      <c r="B54" s="610"/>
      <c r="C54" s="610"/>
      <c r="D54" s="610"/>
      <c r="E54" s="610" t="s">
        <v>615</v>
      </c>
      <c r="F54" s="610"/>
      <c r="G54" s="610"/>
      <c r="H54" s="610"/>
      <c r="I54" s="610"/>
      <c r="J54" s="610"/>
      <c r="K54" s="610"/>
      <c r="L54" s="610"/>
      <c r="M54" s="610"/>
    </row>
    <row r="55" spans="1:13" ht="12.75" customHeight="1">
      <c r="A55" s="610"/>
      <c r="B55" s="610"/>
      <c r="C55" s="610"/>
      <c r="D55" s="610"/>
      <c r="E55" s="610" t="s">
        <v>616</v>
      </c>
      <c r="F55" s="610"/>
      <c r="G55" s="610"/>
      <c r="H55" s="610"/>
      <c r="I55" s="610"/>
      <c r="J55" s="610"/>
      <c r="K55" s="610"/>
      <c r="L55" s="610"/>
      <c r="M55" s="610"/>
    </row>
    <row r="56" spans="1:13">
      <c r="A56" s="610"/>
      <c r="B56" s="610"/>
      <c r="C56" s="610"/>
      <c r="D56" s="610"/>
      <c r="E56" s="610" t="s">
        <v>617</v>
      </c>
      <c r="F56" s="610"/>
      <c r="G56" s="610"/>
      <c r="H56" s="610"/>
      <c r="I56" s="610"/>
      <c r="J56" s="610"/>
      <c r="K56" s="610"/>
      <c r="L56" s="610"/>
      <c r="M56" s="610"/>
    </row>
    <row r="57" spans="1:13">
      <c r="A57" s="610"/>
      <c r="B57" s="610"/>
      <c r="C57" s="610"/>
      <c r="D57" s="610"/>
      <c r="E57" s="610" t="s">
        <v>618</v>
      </c>
      <c r="F57" s="610"/>
      <c r="G57" s="610"/>
      <c r="H57" s="610"/>
      <c r="I57" s="610"/>
      <c r="J57" s="610"/>
      <c r="K57" s="610"/>
      <c r="L57" s="610"/>
      <c r="M57" s="610"/>
    </row>
    <row r="58" spans="1:13" ht="28.5" customHeight="1">
      <c r="A58" s="610"/>
      <c r="B58" s="610"/>
      <c r="C58" s="610"/>
      <c r="D58" s="610"/>
      <c r="E58" s="610" t="s">
        <v>619</v>
      </c>
      <c r="F58" s="610"/>
      <c r="G58" s="610"/>
      <c r="H58" s="610"/>
      <c r="I58" s="610"/>
      <c r="J58" s="610"/>
      <c r="K58" s="610"/>
      <c r="L58" s="610"/>
      <c r="M58" s="610"/>
    </row>
    <row r="59" spans="1:13" ht="12.75" customHeight="1">
      <c r="A59" s="610"/>
      <c r="B59" s="610"/>
      <c r="C59" s="610"/>
      <c r="D59" s="610"/>
      <c r="E59" s="610" t="s">
        <v>620</v>
      </c>
      <c r="F59" s="610"/>
      <c r="G59" s="610"/>
      <c r="H59" s="610"/>
      <c r="I59" s="610"/>
      <c r="J59" s="610"/>
      <c r="K59" s="610"/>
      <c r="L59" s="610"/>
      <c r="M59" s="610"/>
    </row>
    <row r="60" spans="1:13" ht="12.75" customHeight="1">
      <c r="A60" s="610"/>
      <c r="B60" s="610"/>
      <c r="C60" s="610"/>
      <c r="D60" s="610"/>
      <c r="E60" s="610" t="s">
        <v>621</v>
      </c>
      <c r="F60" s="610"/>
      <c r="G60" s="610"/>
      <c r="H60" s="610"/>
      <c r="I60" s="610"/>
      <c r="J60" s="610"/>
      <c r="K60" s="610"/>
      <c r="L60" s="610"/>
      <c r="M60" s="610"/>
    </row>
    <row r="61" spans="1:13" ht="12.75" customHeight="1">
      <c r="A61" s="610"/>
      <c r="B61" s="610"/>
      <c r="C61" s="610"/>
      <c r="D61" s="610"/>
      <c r="E61" s="610" t="s">
        <v>622</v>
      </c>
      <c r="F61" s="610"/>
      <c r="G61" s="610"/>
      <c r="H61" s="610"/>
      <c r="I61" s="610"/>
      <c r="J61" s="610"/>
      <c r="K61" s="610"/>
      <c r="L61" s="610"/>
      <c r="M61" s="610"/>
    </row>
    <row r="62" spans="1:13">
      <c r="A62" s="610"/>
      <c r="B62" s="610"/>
      <c r="C62" s="610"/>
      <c r="D62" s="610"/>
      <c r="E62" s="610" t="s">
        <v>623</v>
      </c>
      <c r="F62" s="610"/>
      <c r="G62" s="610"/>
      <c r="H62" s="610"/>
      <c r="I62" s="610"/>
      <c r="J62" s="610"/>
      <c r="K62" s="610"/>
      <c r="L62" s="610"/>
      <c r="M62" s="610"/>
    </row>
    <row r="63" spans="1:13">
      <c r="A63" s="610"/>
      <c r="B63" s="610"/>
      <c r="C63" s="610"/>
      <c r="D63" s="610"/>
      <c r="E63" s="610" t="s">
        <v>624</v>
      </c>
      <c r="F63" s="610"/>
      <c r="G63" s="610"/>
      <c r="H63" s="610"/>
      <c r="I63" s="610"/>
      <c r="J63" s="610"/>
      <c r="K63" s="610"/>
      <c r="L63" s="610"/>
      <c r="M63" s="610"/>
    </row>
    <row r="64" spans="1:13" ht="28.5" customHeight="1">
      <c r="A64" s="610"/>
      <c r="B64" s="610"/>
      <c r="C64" s="610"/>
      <c r="D64" s="610"/>
      <c r="E64" s="610" t="s">
        <v>625</v>
      </c>
      <c r="F64" s="610"/>
      <c r="G64" s="610"/>
      <c r="H64" s="610"/>
      <c r="I64" s="610"/>
      <c r="J64" s="610"/>
      <c r="K64" s="610"/>
      <c r="L64" s="610"/>
      <c r="M64" s="610"/>
    </row>
    <row r="65" spans="1:13">
      <c r="A65" s="610"/>
      <c r="B65" s="610"/>
      <c r="C65" s="610"/>
      <c r="D65" s="610"/>
      <c r="E65" s="610" t="s">
        <v>626</v>
      </c>
      <c r="F65" s="610"/>
      <c r="G65" s="610"/>
      <c r="H65" s="610"/>
      <c r="I65" s="610"/>
      <c r="J65" s="610"/>
      <c r="K65" s="610"/>
      <c r="L65" s="610"/>
      <c r="M65" s="610"/>
    </row>
    <row r="66" spans="1:13">
      <c r="A66" s="610"/>
      <c r="B66" s="610"/>
      <c r="C66" s="610"/>
      <c r="D66" s="610"/>
      <c r="E66" s="610" t="s">
        <v>627</v>
      </c>
      <c r="F66" s="610"/>
      <c r="G66" s="610"/>
      <c r="H66" s="610"/>
      <c r="I66" s="610"/>
      <c r="J66" s="610"/>
      <c r="K66" s="610"/>
      <c r="L66" s="610"/>
      <c r="M66" s="610"/>
    </row>
    <row r="67" spans="1:13">
      <c r="A67" s="610"/>
      <c r="B67" s="610"/>
      <c r="C67" s="610"/>
      <c r="D67" s="610"/>
      <c r="E67" s="610" t="s">
        <v>628</v>
      </c>
      <c r="F67" s="610"/>
      <c r="G67" s="610"/>
      <c r="H67" s="610"/>
      <c r="I67" s="610"/>
      <c r="J67" s="610"/>
      <c r="K67" s="610"/>
      <c r="L67" s="610"/>
      <c r="M67" s="610"/>
    </row>
    <row r="68" spans="1:13">
      <c r="A68" s="610"/>
      <c r="B68" s="610"/>
      <c r="C68" s="610"/>
      <c r="D68" s="610"/>
      <c r="E68" s="610" t="s">
        <v>629</v>
      </c>
      <c r="F68" s="610"/>
      <c r="G68" s="610"/>
      <c r="H68" s="610"/>
      <c r="I68" s="610"/>
      <c r="J68" s="610"/>
      <c r="K68" s="610"/>
      <c r="L68" s="610"/>
      <c r="M68" s="610"/>
    </row>
    <row r="69" spans="1:13">
      <c r="A69" s="610"/>
      <c r="B69" s="610"/>
      <c r="C69" s="610"/>
      <c r="D69" s="610"/>
      <c r="E69" s="610" t="s">
        <v>630</v>
      </c>
      <c r="F69" s="610"/>
      <c r="G69" s="610"/>
      <c r="H69" s="610"/>
      <c r="I69" s="610"/>
      <c r="J69" s="610"/>
      <c r="K69" s="610"/>
      <c r="L69" s="610"/>
      <c r="M69" s="610"/>
    </row>
    <row r="70" spans="1:13" ht="14.25" customHeight="1">
      <c r="A70" s="610"/>
      <c r="B70" s="610"/>
      <c r="C70" s="610"/>
      <c r="D70" s="610"/>
      <c r="E70" s="610" t="s">
        <v>631</v>
      </c>
      <c r="F70" s="610"/>
      <c r="G70" s="610"/>
      <c r="H70" s="610"/>
      <c r="I70" s="610"/>
      <c r="J70" s="610"/>
      <c r="K70" s="610"/>
      <c r="L70" s="610"/>
      <c r="M70" s="610"/>
    </row>
    <row r="71" spans="1:13" ht="12.75" customHeight="1">
      <c r="A71" s="610"/>
      <c r="B71" s="610"/>
      <c r="C71" s="610"/>
      <c r="D71" s="610"/>
      <c r="E71" s="610" t="s">
        <v>632</v>
      </c>
      <c r="F71" s="610"/>
      <c r="G71" s="610"/>
      <c r="H71" s="610"/>
      <c r="I71" s="610"/>
      <c r="J71" s="610"/>
      <c r="K71" s="610"/>
      <c r="L71" s="610"/>
      <c r="M71" s="610"/>
    </row>
    <row r="72" spans="1:13" ht="12.75" customHeight="1">
      <c r="A72" s="610"/>
      <c r="B72" s="610"/>
      <c r="C72" s="610"/>
      <c r="D72" s="610"/>
      <c r="E72" s="610" t="s">
        <v>633</v>
      </c>
      <c r="F72" s="610"/>
      <c r="G72" s="610"/>
      <c r="H72" s="610"/>
      <c r="I72" s="610"/>
      <c r="J72" s="610"/>
      <c r="K72" s="610"/>
      <c r="L72" s="610"/>
      <c r="M72" s="610"/>
    </row>
    <row r="73" spans="1:13" ht="12.75" customHeight="1">
      <c r="A73" s="610"/>
      <c r="B73" s="610"/>
      <c r="C73" s="610"/>
      <c r="D73" s="610"/>
      <c r="E73" s="610" t="s">
        <v>634</v>
      </c>
      <c r="F73" s="610"/>
      <c r="G73" s="610"/>
      <c r="H73" s="610"/>
      <c r="I73" s="610"/>
      <c r="J73" s="610"/>
      <c r="K73" s="610"/>
      <c r="L73" s="610"/>
      <c r="M73" s="610"/>
    </row>
    <row r="74" spans="1:13">
      <c r="A74" s="610"/>
      <c r="B74" s="610"/>
      <c r="C74" s="610"/>
      <c r="D74" s="610"/>
      <c r="E74" s="610" t="s">
        <v>635</v>
      </c>
      <c r="F74" s="610"/>
      <c r="G74" s="610"/>
      <c r="H74" s="610"/>
      <c r="I74" s="610"/>
      <c r="J74" s="610"/>
      <c r="K74" s="610"/>
      <c r="L74" s="610"/>
      <c r="M74" s="610"/>
    </row>
    <row r="75" spans="1:13">
      <c r="A75" s="610"/>
      <c r="B75" s="610"/>
      <c r="C75" s="610"/>
      <c r="D75" s="610"/>
      <c r="E75" s="610" t="s">
        <v>636</v>
      </c>
      <c r="F75" s="610"/>
      <c r="G75" s="610"/>
      <c r="H75" s="610"/>
      <c r="I75" s="610"/>
      <c r="J75" s="610"/>
      <c r="K75" s="610"/>
      <c r="L75" s="610"/>
      <c r="M75" s="610"/>
    </row>
    <row r="76" spans="1:13">
      <c r="A76" s="610"/>
      <c r="B76" s="610"/>
      <c r="C76" s="610"/>
      <c r="D76" s="610"/>
      <c r="E76" s="610" t="s">
        <v>637</v>
      </c>
      <c r="F76" s="610"/>
      <c r="G76" s="610"/>
      <c r="H76" s="610"/>
      <c r="I76" s="610"/>
      <c r="J76" s="610"/>
      <c r="K76" s="610"/>
      <c r="L76" s="610"/>
      <c r="M76" s="610"/>
    </row>
    <row r="77" spans="1:13">
      <c r="A77" s="610"/>
      <c r="B77" s="610"/>
      <c r="C77" s="610"/>
      <c r="D77" s="610"/>
      <c r="E77" s="610" t="s">
        <v>638</v>
      </c>
      <c r="F77" s="610"/>
      <c r="G77" s="610"/>
      <c r="H77" s="610"/>
      <c r="I77" s="610"/>
      <c r="J77" s="610"/>
      <c r="K77" s="610"/>
      <c r="L77" s="610"/>
      <c r="M77" s="610"/>
    </row>
    <row r="78" spans="1:13">
      <c r="A78" s="610"/>
      <c r="B78" s="610"/>
      <c r="C78" s="610"/>
      <c r="D78" s="610"/>
      <c r="E78" s="610" t="s">
        <v>639</v>
      </c>
      <c r="F78" s="610"/>
      <c r="G78" s="610"/>
      <c r="H78" s="610"/>
      <c r="I78" s="610"/>
      <c r="J78" s="610"/>
      <c r="K78" s="610"/>
      <c r="L78" s="610"/>
      <c r="M78" s="610"/>
    </row>
    <row r="79" spans="1:13">
      <c r="A79" s="610"/>
      <c r="B79" s="610"/>
      <c r="C79" s="610"/>
      <c r="D79" s="610"/>
      <c r="E79" s="610" t="s">
        <v>640</v>
      </c>
      <c r="F79" s="610"/>
      <c r="G79" s="610"/>
      <c r="H79" s="610"/>
      <c r="I79" s="610"/>
      <c r="J79" s="610"/>
      <c r="K79" s="610"/>
      <c r="L79" s="610"/>
      <c r="M79" s="610"/>
    </row>
    <row r="80" spans="1:13">
      <c r="A80" s="610"/>
      <c r="B80" s="610"/>
      <c r="C80" s="610"/>
      <c r="D80" s="610"/>
      <c r="E80" s="610" t="s">
        <v>641</v>
      </c>
      <c r="F80" s="610"/>
      <c r="G80" s="610"/>
      <c r="H80" s="610"/>
      <c r="I80" s="610"/>
      <c r="J80" s="610"/>
      <c r="K80" s="610"/>
      <c r="L80" s="610"/>
      <c r="M80" s="610"/>
    </row>
    <row r="81" spans="1:13">
      <c r="A81" s="610"/>
      <c r="B81" s="610"/>
      <c r="C81" s="610"/>
      <c r="D81" s="610"/>
      <c r="E81" s="610" t="s">
        <v>642</v>
      </c>
      <c r="F81" s="610"/>
      <c r="G81" s="610"/>
      <c r="H81" s="610"/>
      <c r="I81" s="610"/>
      <c r="J81" s="610"/>
      <c r="K81" s="610"/>
      <c r="L81" s="610"/>
      <c r="M81" s="610"/>
    </row>
    <row r="82" spans="1:13">
      <c r="A82" s="610"/>
      <c r="B82" s="610"/>
      <c r="C82" s="610"/>
      <c r="D82" s="610"/>
      <c r="E82" s="610" t="s">
        <v>643</v>
      </c>
      <c r="F82" s="610"/>
      <c r="G82" s="610"/>
      <c r="H82" s="610"/>
      <c r="I82" s="610"/>
      <c r="J82" s="610"/>
      <c r="K82" s="610"/>
      <c r="L82" s="610"/>
      <c r="M82" s="610"/>
    </row>
    <row r="83" spans="1:13">
      <c r="A83" s="610"/>
      <c r="B83" s="610"/>
      <c r="C83" s="610"/>
      <c r="D83" s="610"/>
      <c r="E83" s="610" t="s">
        <v>644</v>
      </c>
      <c r="F83" s="610"/>
      <c r="G83" s="610"/>
      <c r="H83" s="610"/>
      <c r="I83" s="610"/>
      <c r="J83" s="610"/>
      <c r="K83" s="610"/>
      <c r="L83" s="610"/>
      <c r="M83" s="610"/>
    </row>
    <row r="84" spans="1:13">
      <c r="A84" s="610"/>
      <c r="B84" s="610"/>
      <c r="C84" s="610"/>
      <c r="D84" s="610"/>
      <c r="E84" s="610" t="s">
        <v>645</v>
      </c>
      <c r="F84" s="610"/>
      <c r="G84" s="610"/>
      <c r="H84" s="610"/>
      <c r="I84" s="610"/>
      <c r="J84" s="610"/>
      <c r="K84" s="610"/>
      <c r="L84" s="610"/>
      <c r="M84" s="610"/>
    </row>
    <row r="85" spans="1:13">
      <c r="A85" s="610"/>
      <c r="B85" s="610"/>
      <c r="C85" s="610"/>
      <c r="D85" s="610"/>
      <c r="E85" s="610" t="s">
        <v>646</v>
      </c>
      <c r="F85" s="610"/>
      <c r="G85" s="610"/>
      <c r="H85" s="610"/>
      <c r="I85" s="610"/>
      <c r="J85" s="610"/>
      <c r="K85" s="610"/>
      <c r="L85" s="610"/>
      <c r="M85" s="610"/>
    </row>
    <row r="86" spans="1:13">
      <c r="A86" s="610"/>
      <c r="B86" s="610"/>
      <c r="C86" s="610"/>
      <c r="D86" s="610"/>
      <c r="E86" s="610" t="s">
        <v>647</v>
      </c>
      <c r="F86" s="610"/>
      <c r="G86" s="610"/>
      <c r="H86" s="610"/>
      <c r="I86" s="610"/>
      <c r="J86" s="610"/>
      <c r="K86" s="610"/>
      <c r="L86" s="610"/>
      <c r="M86" s="610"/>
    </row>
    <row r="87" spans="1:13">
      <c r="A87" s="610"/>
      <c r="B87" s="610"/>
      <c r="C87" s="610"/>
      <c r="D87" s="610"/>
      <c r="E87" s="610" t="s">
        <v>648</v>
      </c>
      <c r="F87" s="610"/>
      <c r="G87" s="610"/>
      <c r="H87" s="610"/>
      <c r="I87" s="610"/>
      <c r="J87" s="610"/>
      <c r="K87" s="610"/>
      <c r="L87" s="610"/>
      <c r="M87" s="610"/>
    </row>
    <row r="88" spans="1:13">
      <c r="A88" s="610"/>
      <c r="B88" s="610"/>
      <c r="C88" s="610"/>
      <c r="D88" s="610"/>
      <c r="E88" s="610" t="s">
        <v>649</v>
      </c>
      <c r="F88" s="610"/>
      <c r="G88" s="610"/>
      <c r="H88" s="610"/>
      <c r="I88" s="610"/>
      <c r="J88" s="610"/>
      <c r="K88" s="610"/>
      <c r="L88" s="610"/>
      <c r="M88" s="610"/>
    </row>
    <row r="89" spans="1:13">
      <c r="A89" s="610"/>
      <c r="B89" s="610"/>
      <c r="C89" s="610"/>
      <c r="D89" s="610"/>
      <c r="E89" s="610" t="s">
        <v>650</v>
      </c>
      <c r="F89" s="610"/>
      <c r="G89" s="610"/>
      <c r="H89" s="610"/>
      <c r="I89" s="610"/>
      <c r="J89" s="610"/>
      <c r="K89" s="610"/>
      <c r="L89" s="610"/>
      <c r="M89" s="610"/>
    </row>
    <row r="90" spans="1:13">
      <c r="A90" s="610"/>
      <c r="B90" s="610"/>
      <c r="C90" s="610"/>
      <c r="D90" s="610"/>
      <c r="E90" s="610" t="s">
        <v>651</v>
      </c>
      <c r="F90" s="610"/>
      <c r="G90" s="610"/>
      <c r="H90" s="610"/>
      <c r="I90" s="610"/>
      <c r="J90" s="610"/>
      <c r="K90" s="610"/>
      <c r="L90" s="610"/>
      <c r="M90" s="610"/>
    </row>
    <row r="91" spans="1:13">
      <c r="A91" s="610"/>
      <c r="B91" s="610"/>
      <c r="C91" s="610"/>
      <c r="D91" s="610"/>
      <c r="E91" s="610" t="s">
        <v>652</v>
      </c>
      <c r="F91" s="610"/>
      <c r="G91" s="610"/>
      <c r="H91" s="610"/>
      <c r="I91" s="610"/>
      <c r="J91" s="610"/>
      <c r="K91" s="610"/>
      <c r="L91" s="610"/>
      <c r="M91" s="610"/>
    </row>
    <row r="92" spans="1:13">
      <c r="A92" s="610"/>
      <c r="B92" s="610"/>
      <c r="C92" s="610"/>
      <c r="D92" s="610"/>
      <c r="E92" s="610" t="s">
        <v>653</v>
      </c>
      <c r="F92" s="610"/>
      <c r="G92" s="610"/>
      <c r="H92" s="610"/>
      <c r="I92" s="610"/>
      <c r="J92" s="610"/>
      <c r="K92" s="610"/>
      <c r="L92" s="610"/>
      <c r="M92" s="610"/>
    </row>
    <row r="93" spans="1:13">
      <c r="A93" s="610"/>
      <c r="B93" s="610"/>
      <c r="C93" s="610"/>
      <c r="D93" s="610"/>
      <c r="E93" s="610" t="s">
        <v>654</v>
      </c>
      <c r="F93" s="610"/>
      <c r="G93" s="610"/>
      <c r="H93" s="610"/>
      <c r="I93" s="610"/>
      <c r="J93" s="610"/>
      <c r="K93" s="610"/>
      <c r="L93" s="610"/>
      <c r="M93" s="610"/>
    </row>
    <row r="94" spans="1:13">
      <c r="A94" s="610"/>
      <c r="B94" s="610"/>
      <c r="C94" s="610"/>
      <c r="D94" s="610"/>
      <c r="E94" s="610" t="s">
        <v>559</v>
      </c>
      <c r="F94" s="610"/>
      <c r="G94" s="610"/>
      <c r="H94" s="610"/>
      <c r="I94" s="610"/>
      <c r="J94" s="610"/>
      <c r="K94" s="610"/>
      <c r="L94" s="610"/>
      <c r="M94" s="610"/>
    </row>
    <row r="95" spans="1:13">
      <c r="A95" s="610"/>
      <c r="B95" s="610"/>
      <c r="C95" s="610"/>
      <c r="D95" s="610"/>
      <c r="E95" s="610" t="s">
        <v>655</v>
      </c>
      <c r="F95" s="610"/>
      <c r="G95" s="610"/>
      <c r="H95" s="610"/>
      <c r="I95" s="610"/>
      <c r="J95" s="610"/>
      <c r="K95" s="610"/>
      <c r="L95" s="610"/>
      <c r="M95" s="610"/>
    </row>
    <row r="96" spans="1:13">
      <c r="A96" s="610"/>
      <c r="B96" s="610"/>
      <c r="C96" s="610"/>
      <c r="D96" s="610"/>
      <c r="E96" s="610" t="s">
        <v>656</v>
      </c>
      <c r="F96" s="610"/>
      <c r="G96" s="610"/>
      <c r="H96" s="610"/>
      <c r="I96" s="610"/>
      <c r="J96" s="610"/>
      <c r="K96" s="610"/>
      <c r="L96" s="610"/>
      <c r="M96" s="610"/>
    </row>
    <row r="97" spans="1:13">
      <c r="A97" s="610"/>
      <c r="B97" s="610"/>
      <c r="C97" s="610"/>
      <c r="D97" s="610"/>
      <c r="E97" s="610" t="s">
        <v>657</v>
      </c>
      <c r="F97" s="610"/>
      <c r="G97" s="610"/>
      <c r="H97" s="610"/>
      <c r="I97" s="610"/>
      <c r="J97" s="610"/>
      <c r="K97" s="610"/>
      <c r="L97" s="610"/>
      <c r="M97" s="610"/>
    </row>
    <row r="98" spans="1:13">
      <c r="A98" s="610"/>
      <c r="B98" s="610"/>
      <c r="C98" s="610"/>
      <c r="D98" s="610"/>
      <c r="E98" s="610" t="s">
        <v>658</v>
      </c>
      <c r="F98" s="610"/>
      <c r="G98" s="610"/>
      <c r="H98" s="610"/>
      <c r="I98" s="610"/>
      <c r="J98" s="610"/>
      <c r="K98" s="610"/>
      <c r="L98" s="610"/>
      <c r="M98" s="610"/>
    </row>
    <row r="99" spans="1:13">
      <c r="A99" s="610"/>
      <c r="B99" s="610"/>
      <c r="C99" s="610"/>
      <c r="D99" s="610"/>
      <c r="E99" s="610" t="s">
        <v>659</v>
      </c>
      <c r="F99" s="610"/>
      <c r="G99" s="610"/>
      <c r="H99" s="610"/>
      <c r="I99" s="610"/>
      <c r="J99" s="610"/>
      <c r="K99" s="610"/>
      <c r="L99" s="610"/>
      <c r="M99" s="610"/>
    </row>
    <row r="100" spans="1:13">
      <c r="A100" s="610"/>
      <c r="B100" s="610"/>
      <c r="C100" s="610"/>
      <c r="D100" s="610"/>
      <c r="E100" s="610" t="s">
        <v>660</v>
      </c>
      <c r="F100" s="610"/>
      <c r="G100" s="610"/>
      <c r="H100" s="610"/>
      <c r="I100" s="610"/>
      <c r="J100" s="610"/>
      <c r="K100" s="610"/>
      <c r="L100" s="610"/>
      <c r="M100" s="610"/>
    </row>
    <row r="101" spans="1:13">
      <c r="A101" s="610"/>
      <c r="B101" s="610"/>
      <c r="C101" s="610"/>
      <c r="D101" s="610"/>
      <c r="E101" s="610" t="s">
        <v>661</v>
      </c>
      <c r="F101" s="610"/>
      <c r="G101" s="610"/>
      <c r="H101" s="610"/>
      <c r="I101" s="610"/>
      <c r="J101" s="610"/>
      <c r="K101" s="610"/>
      <c r="L101" s="610"/>
      <c r="M101" s="610"/>
    </row>
    <row r="102" spans="1:13">
      <c r="A102" s="610"/>
      <c r="B102" s="610"/>
      <c r="C102" s="610"/>
      <c r="D102" s="610"/>
      <c r="E102" s="610" t="s">
        <v>662</v>
      </c>
      <c r="F102" s="610"/>
      <c r="G102" s="610"/>
      <c r="H102" s="610"/>
      <c r="I102" s="610"/>
      <c r="J102" s="610"/>
      <c r="K102" s="610"/>
      <c r="L102" s="610"/>
      <c r="M102" s="610"/>
    </row>
    <row r="103" spans="1:13">
      <c r="A103" s="610"/>
      <c r="B103" s="610"/>
      <c r="C103" s="610"/>
      <c r="D103" s="610"/>
      <c r="E103" s="610" t="s">
        <v>562</v>
      </c>
      <c r="F103" s="610"/>
      <c r="G103" s="610"/>
      <c r="H103" s="610"/>
      <c r="I103" s="610"/>
      <c r="J103" s="610"/>
      <c r="K103" s="610"/>
      <c r="L103" s="610"/>
      <c r="M103" s="610"/>
    </row>
    <row r="104" spans="1:13">
      <c r="A104" s="610"/>
      <c r="B104" s="610"/>
      <c r="C104" s="610"/>
      <c r="D104" s="610"/>
      <c r="E104" s="610" t="s">
        <v>663</v>
      </c>
      <c r="F104" s="610"/>
      <c r="G104" s="610"/>
      <c r="H104" s="610"/>
      <c r="I104" s="610"/>
      <c r="J104" s="610"/>
      <c r="K104" s="610"/>
      <c r="L104" s="610"/>
      <c r="M104" s="610"/>
    </row>
    <row r="105" spans="1:13">
      <c r="A105" s="610"/>
      <c r="B105" s="610"/>
      <c r="C105" s="610"/>
      <c r="D105" s="610"/>
      <c r="E105" s="610" t="s">
        <v>664</v>
      </c>
      <c r="F105" s="610"/>
      <c r="G105" s="610"/>
      <c r="H105" s="610"/>
      <c r="I105" s="610"/>
      <c r="J105" s="610"/>
      <c r="K105" s="610"/>
      <c r="L105" s="610"/>
      <c r="M105" s="610"/>
    </row>
    <row r="106" spans="1:13">
      <c r="A106" s="610"/>
      <c r="B106" s="610"/>
      <c r="C106" s="610"/>
      <c r="D106" s="610"/>
      <c r="E106" s="610" t="s">
        <v>665</v>
      </c>
      <c r="F106" s="610"/>
      <c r="G106" s="610"/>
      <c r="H106" s="610"/>
      <c r="I106" s="610"/>
      <c r="J106" s="610"/>
      <c r="K106" s="610"/>
      <c r="L106" s="610"/>
      <c r="M106" s="610"/>
    </row>
    <row r="107" spans="1:13">
      <c r="A107" s="610"/>
      <c r="B107" s="610"/>
      <c r="C107" s="610"/>
      <c r="D107" s="610"/>
      <c r="E107" s="610" t="s">
        <v>666</v>
      </c>
      <c r="F107" s="610"/>
      <c r="G107" s="610"/>
      <c r="H107" s="610"/>
      <c r="I107" s="610"/>
      <c r="J107" s="610"/>
      <c r="K107" s="610"/>
      <c r="L107" s="610"/>
      <c r="M107" s="610"/>
    </row>
    <row r="108" spans="1:13">
      <c r="A108" s="610"/>
      <c r="B108" s="610"/>
      <c r="C108" s="610"/>
      <c r="D108" s="610"/>
      <c r="E108" s="610" t="s">
        <v>667</v>
      </c>
      <c r="F108" s="610"/>
      <c r="G108" s="610"/>
      <c r="H108" s="610"/>
      <c r="I108" s="610"/>
      <c r="J108" s="610"/>
      <c r="K108" s="610"/>
      <c r="L108" s="610"/>
      <c r="M108" s="610"/>
    </row>
    <row r="109" spans="1:13">
      <c r="A109" s="610"/>
      <c r="B109" s="610"/>
      <c r="C109" s="610"/>
      <c r="D109" s="610"/>
      <c r="E109" s="610" t="s">
        <v>668</v>
      </c>
      <c r="F109" s="610"/>
      <c r="G109" s="610"/>
      <c r="H109" s="610"/>
      <c r="I109" s="610"/>
      <c r="J109" s="610"/>
      <c r="K109" s="610"/>
      <c r="L109" s="610"/>
      <c r="M109" s="610"/>
    </row>
    <row r="110" spans="1:13">
      <c r="A110" s="610"/>
      <c r="B110" s="610"/>
      <c r="C110" s="610"/>
      <c r="D110" s="610"/>
      <c r="E110" s="610" t="s">
        <v>669</v>
      </c>
      <c r="F110" s="610"/>
      <c r="G110" s="610"/>
      <c r="H110" s="610"/>
      <c r="I110" s="610"/>
      <c r="J110" s="610"/>
      <c r="K110" s="610"/>
      <c r="L110" s="610"/>
      <c r="M110" s="610"/>
    </row>
    <row r="111" spans="1:13">
      <c r="A111" s="610"/>
      <c r="B111" s="610"/>
      <c r="C111" s="610"/>
      <c r="D111" s="610"/>
      <c r="E111" s="610" t="s">
        <v>670</v>
      </c>
      <c r="F111" s="610"/>
      <c r="G111" s="610"/>
      <c r="H111" s="610"/>
      <c r="I111" s="610"/>
      <c r="J111" s="610"/>
      <c r="K111" s="610"/>
      <c r="L111" s="610"/>
      <c r="M111" s="610"/>
    </row>
    <row r="112" spans="1:13">
      <c r="A112" s="610"/>
      <c r="B112" s="610"/>
      <c r="C112" s="610"/>
      <c r="D112" s="610"/>
      <c r="E112" s="610" t="s">
        <v>671</v>
      </c>
      <c r="F112" s="610"/>
      <c r="G112" s="610"/>
      <c r="H112" s="610"/>
      <c r="I112" s="610"/>
      <c r="J112" s="610"/>
      <c r="K112" s="610"/>
      <c r="L112" s="610"/>
      <c r="M112" s="610"/>
    </row>
    <row r="113" spans="1:13">
      <c r="A113" s="610"/>
      <c r="B113" s="610"/>
      <c r="C113" s="610"/>
      <c r="D113" s="610"/>
      <c r="E113" s="610" t="s">
        <v>672</v>
      </c>
      <c r="F113" s="610"/>
      <c r="G113" s="610"/>
      <c r="H113" s="610"/>
      <c r="I113" s="610"/>
      <c r="J113" s="610"/>
      <c r="K113" s="610"/>
      <c r="L113" s="610"/>
      <c r="M113" s="610"/>
    </row>
    <row r="114" spans="1:13">
      <c r="A114" s="610"/>
      <c r="B114" s="610"/>
      <c r="C114" s="610"/>
      <c r="D114" s="610"/>
      <c r="E114" s="610" t="s">
        <v>673</v>
      </c>
      <c r="F114" s="610"/>
      <c r="G114" s="610"/>
      <c r="H114" s="610"/>
      <c r="I114" s="610"/>
      <c r="J114" s="610"/>
      <c r="K114" s="610"/>
      <c r="L114" s="610"/>
      <c r="M114" s="610"/>
    </row>
    <row r="115" spans="1:13">
      <c r="A115" s="610"/>
      <c r="B115" s="610"/>
      <c r="C115" s="610"/>
      <c r="D115" s="610"/>
      <c r="E115" s="610" t="s">
        <v>674</v>
      </c>
      <c r="F115" s="610"/>
      <c r="G115" s="610"/>
      <c r="H115" s="610"/>
      <c r="I115" s="610"/>
      <c r="J115" s="610"/>
      <c r="K115" s="610"/>
      <c r="L115" s="610"/>
      <c r="M115" s="610"/>
    </row>
    <row r="116" spans="1:13">
      <c r="A116" s="610"/>
      <c r="B116" s="610"/>
      <c r="C116" s="610"/>
      <c r="D116" s="610"/>
      <c r="E116" s="610" t="s">
        <v>675</v>
      </c>
      <c r="F116" s="610"/>
      <c r="G116" s="610"/>
      <c r="H116" s="610"/>
      <c r="I116" s="610"/>
      <c r="J116" s="610"/>
      <c r="K116" s="610"/>
      <c r="L116" s="610"/>
      <c r="M116" s="610"/>
    </row>
    <row r="117" spans="1:13">
      <c r="A117" s="610"/>
      <c r="B117" s="610"/>
      <c r="C117" s="610"/>
      <c r="D117" s="610"/>
      <c r="E117" s="610" t="s">
        <v>676</v>
      </c>
      <c r="F117" s="610"/>
      <c r="G117" s="610"/>
      <c r="H117" s="610"/>
      <c r="I117" s="610"/>
      <c r="J117" s="610"/>
      <c r="K117" s="610"/>
      <c r="L117" s="610"/>
      <c r="M117" s="610"/>
    </row>
    <row r="118" spans="1:13">
      <c r="A118" s="610"/>
      <c r="B118" s="610"/>
      <c r="C118" s="610"/>
      <c r="D118" s="610"/>
      <c r="E118" s="610" t="s">
        <v>677</v>
      </c>
      <c r="F118" s="610"/>
      <c r="G118" s="610"/>
      <c r="H118" s="610"/>
      <c r="I118" s="610"/>
      <c r="J118" s="610"/>
      <c r="K118" s="610"/>
      <c r="L118" s="610"/>
      <c r="M118" s="610"/>
    </row>
    <row r="119" spans="1:13">
      <c r="A119" s="610"/>
      <c r="B119" s="610"/>
      <c r="C119" s="610"/>
      <c r="D119" s="610"/>
      <c r="E119" s="610" t="s">
        <v>678</v>
      </c>
      <c r="F119" s="610"/>
      <c r="G119" s="610"/>
      <c r="H119" s="610"/>
      <c r="I119" s="610"/>
      <c r="J119" s="610"/>
      <c r="K119" s="610"/>
      <c r="L119" s="610"/>
      <c r="M119" s="610"/>
    </row>
    <row r="120" spans="1:13">
      <c r="A120" s="610"/>
      <c r="B120" s="610"/>
      <c r="C120" s="610"/>
      <c r="D120" s="610"/>
      <c r="E120" s="610" t="s">
        <v>679</v>
      </c>
      <c r="F120" s="610"/>
      <c r="G120" s="610"/>
      <c r="H120" s="610"/>
      <c r="I120" s="610"/>
      <c r="J120" s="610"/>
      <c r="K120" s="610"/>
      <c r="L120" s="610"/>
      <c r="M120" s="610"/>
    </row>
    <row r="121" spans="1:13">
      <c r="A121" s="610"/>
      <c r="B121" s="610"/>
      <c r="C121" s="610"/>
      <c r="D121" s="610"/>
      <c r="E121" s="610" t="s">
        <v>564</v>
      </c>
      <c r="F121" s="610"/>
      <c r="G121" s="610"/>
      <c r="H121" s="610"/>
      <c r="I121" s="610"/>
      <c r="J121" s="610"/>
      <c r="K121" s="610"/>
      <c r="L121" s="610"/>
      <c r="M121" s="610"/>
    </row>
    <row r="122" spans="1:13">
      <c r="A122" s="610"/>
      <c r="B122" s="610"/>
      <c r="C122" s="610"/>
      <c r="D122" s="610"/>
      <c r="E122" s="610" t="s">
        <v>680</v>
      </c>
      <c r="F122" s="610"/>
      <c r="G122" s="610"/>
      <c r="H122" s="610"/>
      <c r="I122" s="610"/>
      <c r="J122" s="610"/>
      <c r="K122" s="610"/>
      <c r="L122" s="610"/>
      <c r="M122" s="610"/>
    </row>
    <row r="123" spans="1:13">
      <c r="A123" s="610"/>
      <c r="B123" s="610"/>
      <c r="C123" s="610"/>
      <c r="D123" s="610"/>
      <c r="E123" s="610" t="s">
        <v>681</v>
      </c>
      <c r="F123" s="610"/>
      <c r="G123" s="610"/>
      <c r="H123" s="610"/>
      <c r="I123" s="610"/>
      <c r="J123" s="610"/>
      <c r="K123" s="610"/>
      <c r="L123" s="610"/>
      <c r="M123" s="610"/>
    </row>
    <row r="124" spans="1:13">
      <c r="A124" s="610"/>
      <c r="B124" s="610"/>
      <c r="C124" s="610"/>
      <c r="D124" s="610"/>
      <c r="E124" s="610" t="s">
        <v>682</v>
      </c>
      <c r="F124" s="610"/>
      <c r="G124" s="610"/>
      <c r="H124" s="610"/>
      <c r="I124" s="610"/>
      <c r="J124" s="610"/>
      <c r="K124" s="610"/>
      <c r="L124" s="610"/>
      <c r="M124" s="610"/>
    </row>
    <row r="125" spans="1:13">
      <c r="A125" s="610"/>
      <c r="B125" s="610"/>
      <c r="C125" s="610"/>
      <c r="D125" s="610"/>
      <c r="E125" s="610" t="s">
        <v>683</v>
      </c>
      <c r="F125" s="610"/>
      <c r="G125" s="610"/>
      <c r="H125" s="610"/>
      <c r="I125" s="610"/>
      <c r="J125" s="610"/>
      <c r="K125" s="610"/>
      <c r="L125" s="610"/>
      <c r="M125" s="610"/>
    </row>
    <row r="126" spans="1:13">
      <c r="A126" s="610"/>
      <c r="B126" s="610"/>
      <c r="C126" s="610"/>
      <c r="D126" s="610"/>
      <c r="E126" s="610" t="s">
        <v>684</v>
      </c>
      <c r="F126" s="610"/>
      <c r="G126" s="610"/>
      <c r="H126" s="610"/>
      <c r="I126" s="610"/>
      <c r="J126" s="610"/>
      <c r="K126" s="610"/>
      <c r="L126" s="610"/>
      <c r="M126" s="610"/>
    </row>
    <row r="127" spans="1:13">
      <c r="A127" s="610"/>
      <c r="B127" s="610"/>
      <c r="C127" s="610"/>
      <c r="D127" s="610"/>
      <c r="E127" s="610" t="s">
        <v>685</v>
      </c>
      <c r="F127" s="610"/>
      <c r="G127" s="610"/>
      <c r="H127" s="610"/>
      <c r="I127" s="610"/>
      <c r="J127" s="610"/>
      <c r="K127" s="610"/>
      <c r="L127" s="610"/>
      <c r="M127" s="610"/>
    </row>
    <row r="128" spans="1:13">
      <c r="A128" s="610"/>
      <c r="B128" s="610"/>
      <c r="C128" s="610"/>
      <c r="D128" s="610"/>
      <c r="E128" s="610" t="s">
        <v>686</v>
      </c>
      <c r="F128" s="610"/>
      <c r="G128" s="610"/>
      <c r="H128" s="610"/>
      <c r="I128" s="610"/>
      <c r="J128" s="610"/>
      <c r="K128" s="610"/>
      <c r="L128" s="610"/>
      <c r="M128" s="610"/>
    </row>
    <row r="129" spans="1:13">
      <c r="A129" s="610"/>
      <c r="B129" s="610"/>
      <c r="C129" s="610"/>
      <c r="D129" s="610"/>
      <c r="E129" s="610" t="s">
        <v>687</v>
      </c>
      <c r="F129" s="610"/>
      <c r="G129" s="610"/>
      <c r="H129" s="610"/>
      <c r="I129" s="610"/>
      <c r="J129" s="610"/>
      <c r="K129" s="610"/>
      <c r="L129" s="610"/>
      <c r="M129" s="610"/>
    </row>
    <row r="130" spans="1:13">
      <c r="A130" s="610"/>
      <c r="B130" s="610"/>
      <c r="C130" s="610"/>
      <c r="D130" s="610"/>
      <c r="E130" s="610" t="s">
        <v>688</v>
      </c>
      <c r="F130" s="610"/>
      <c r="G130" s="610"/>
      <c r="H130" s="610"/>
      <c r="I130" s="610"/>
      <c r="J130" s="610"/>
      <c r="K130" s="610"/>
      <c r="L130" s="610"/>
      <c r="M130" s="610"/>
    </row>
    <row r="131" spans="1:13">
      <c r="A131" s="610"/>
      <c r="B131" s="610"/>
      <c r="C131" s="610"/>
      <c r="D131" s="610"/>
      <c r="E131" s="610" t="s">
        <v>689</v>
      </c>
      <c r="F131" s="610"/>
      <c r="G131" s="610"/>
      <c r="H131" s="610"/>
      <c r="I131" s="610"/>
      <c r="J131" s="610"/>
      <c r="K131" s="610"/>
      <c r="L131" s="610"/>
      <c r="M131" s="610"/>
    </row>
    <row r="132" spans="1:13">
      <c r="A132" s="610"/>
      <c r="B132" s="610"/>
      <c r="C132" s="610"/>
      <c r="D132" s="610"/>
      <c r="E132" s="610" t="s">
        <v>690</v>
      </c>
      <c r="F132" s="610"/>
      <c r="G132" s="610"/>
      <c r="H132" s="610"/>
      <c r="I132" s="610"/>
      <c r="J132" s="610"/>
      <c r="K132" s="610"/>
      <c r="L132" s="610"/>
      <c r="M132" s="610"/>
    </row>
    <row r="133" spans="1:13">
      <c r="A133" s="610"/>
      <c r="B133" s="610"/>
      <c r="C133" s="610"/>
      <c r="D133" s="610"/>
      <c r="E133" s="610" t="s">
        <v>691</v>
      </c>
      <c r="F133" s="610"/>
      <c r="G133" s="610"/>
      <c r="H133" s="610"/>
      <c r="I133" s="610"/>
      <c r="J133" s="610"/>
      <c r="K133" s="610"/>
      <c r="L133" s="610"/>
      <c r="M133" s="610"/>
    </row>
    <row r="134" spans="1:13">
      <c r="A134" s="610"/>
      <c r="B134" s="610"/>
      <c r="C134" s="610"/>
      <c r="D134" s="610"/>
      <c r="E134" s="610" t="s">
        <v>692</v>
      </c>
      <c r="F134" s="610"/>
      <c r="G134" s="610"/>
      <c r="H134" s="610"/>
      <c r="I134" s="610"/>
      <c r="J134" s="610"/>
      <c r="K134" s="610"/>
      <c r="L134" s="610"/>
      <c r="M134" s="610"/>
    </row>
    <row r="135" spans="1:13">
      <c r="A135" s="610"/>
      <c r="B135" s="610"/>
      <c r="C135" s="610"/>
      <c r="D135" s="610"/>
      <c r="E135" s="610" t="s">
        <v>693</v>
      </c>
      <c r="F135" s="610"/>
      <c r="G135" s="610"/>
      <c r="H135" s="610"/>
      <c r="I135" s="610"/>
      <c r="J135" s="610"/>
      <c r="K135" s="610"/>
      <c r="L135" s="610"/>
      <c r="M135" s="610"/>
    </row>
    <row r="136" spans="1:13">
      <c r="A136" s="610"/>
      <c r="B136" s="610"/>
      <c r="C136" s="610"/>
      <c r="D136" s="610"/>
      <c r="E136" s="610" t="s">
        <v>694</v>
      </c>
      <c r="F136" s="610"/>
      <c r="G136" s="610"/>
      <c r="H136" s="610"/>
      <c r="I136" s="610"/>
      <c r="J136" s="610"/>
      <c r="K136" s="610"/>
      <c r="L136" s="610"/>
      <c r="M136" s="610"/>
    </row>
    <row r="137" spans="1:13">
      <c r="A137" s="610"/>
      <c r="B137" s="610"/>
      <c r="C137" s="610"/>
      <c r="D137" s="610"/>
      <c r="E137" s="610" t="s">
        <v>695</v>
      </c>
      <c r="F137" s="610"/>
      <c r="G137" s="610"/>
      <c r="H137" s="610"/>
      <c r="I137" s="610"/>
      <c r="J137" s="610"/>
      <c r="K137" s="610"/>
      <c r="L137" s="610"/>
      <c r="M137" s="610"/>
    </row>
    <row r="138" spans="1:13">
      <c r="A138" s="610"/>
      <c r="B138" s="610"/>
      <c r="C138" s="610"/>
      <c r="D138" s="610"/>
      <c r="E138" s="610" t="s">
        <v>696</v>
      </c>
      <c r="F138" s="610"/>
      <c r="G138" s="610"/>
      <c r="H138" s="610"/>
      <c r="I138" s="610"/>
      <c r="J138" s="610"/>
      <c r="K138" s="610"/>
      <c r="L138" s="610"/>
      <c r="M138" s="610"/>
    </row>
    <row r="139" spans="1:13">
      <c r="A139" s="610"/>
      <c r="B139" s="610"/>
      <c r="C139" s="610"/>
      <c r="D139" s="610"/>
      <c r="E139" s="610" t="s">
        <v>697</v>
      </c>
      <c r="F139" s="610"/>
      <c r="G139" s="610"/>
      <c r="H139" s="610"/>
      <c r="I139" s="610"/>
      <c r="J139" s="610"/>
      <c r="K139" s="610"/>
      <c r="L139" s="610"/>
      <c r="M139" s="610"/>
    </row>
    <row r="140" spans="1:13">
      <c r="A140" s="610"/>
      <c r="B140" s="610"/>
      <c r="C140" s="610"/>
      <c r="D140" s="610"/>
      <c r="E140" s="610" t="s">
        <v>698</v>
      </c>
      <c r="F140" s="610"/>
      <c r="G140" s="610"/>
      <c r="H140" s="610"/>
      <c r="I140" s="610"/>
      <c r="J140" s="610"/>
      <c r="K140" s="610"/>
      <c r="L140" s="610"/>
      <c r="M140" s="610"/>
    </row>
    <row r="141" spans="1:13">
      <c r="A141" s="610"/>
      <c r="B141" s="610"/>
      <c r="C141" s="610"/>
      <c r="D141" s="610"/>
      <c r="E141" s="610" t="s">
        <v>699</v>
      </c>
      <c r="F141" s="610"/>
      <c r="G141" s="610"/>
      <c r="H141" s="610"/>
      <c r="I141" s="610"/>
      <c r="J141" s="610"/>
      <c r="K141" s="610"/>
      <c r="L141" s="610"/>
      <c r="M141" s="610"/>
    </row>
    <row r="142" spans="1:13">
      <c r="A142" s="610"/>
      <c r="B142" s="610"/>
      <c r="C142" s="610"/>
      <c r="D142" s="610"/>
      <c r="E142" s="610" t="s">
        <v>700</v>
      </c>
      <c r="F142" s="610"/>
      <c r="G142" s="610"/>
      <c r="H142" s="610"/>
      <c r="I142" s="610"/>
      <c r="J142" s="610"/>
      <c r="K142" s="610"/>
      <c r="L142" s="610"/>
      <c r="M142" s="610"/>
    </row>
    <row r="143" spans="1:13">
      <c r="A143" s="610"/>
      <c r="B143" s="610"/>
      <c r="C143" s="610"/>
      <c r="D143" s="610"/>
      <c r="E143" s="610" t="s">
        <v>701</v>
      </c>
      <c r="F143" s="610"/>
      <c r="G143" s="610"/>
      <c r="H143" s="610"/>
      <c r="I143" s="610"/>
      <c r="J143" s="610"/>
      <c r="K143" s="610"/>
      <c r="L143" s="610"/>
      <c r="M143" s="610"/>
    </row>
    <row r="144" spans="1:13">
      <c r="A144" s="610"/>
      <c r="B144" s="610"/>
      <c r="C144" s="610"/>
      <c r="D144" s="610"/>
      <c r="E144" s="610" t="s">
        <v>702</v>
      </c>
      <c r="F144" s="610"/>
      <c r="G144" s="610"/>
      <c r="H144" s="610"/>
      <c r="I144" s="610"/>
      <c r="J144" s="610"/>
      <c r="K144" s="610"/>
      <c r="L144" s="610"/>
      <c r="M144" s="610"/>
    </row>
    <row r="145" spans="1:13">
      <c r="A145" s="610"/>
      <c r="B145" s="610"/>
      <c r="C145" s="610"/>
      <c r="D145" s="610"/>
      <c r="E145" s="610" t="s">
        <v>703</v>
      </c>
      <c r="F145" s="610"/>
      <c r="G145" s="610"/>
      <c r="H145" s="610"/>
      <c r="I145" s="610"/>
      <c r="J145" s="610"/>
      <c r="K145" s="610"/>
      <c r="L145" s="610"/>
      <c r="M145" s="610"/>
    </row>
    <row r="146" spans="1:13">
      <c r="A146" s="610"/>
      <c r="B146" s="610"/>
      <c r="C146" s="610"/>
      <c r="D146" s="610"/>
      <c r="E146" s="610" t="s">
        <v>704</v>
      </c>
      <c r="F146" s="610"/>
      <c r="G146" s="610"/>
      <c r="H146" s="610"/>
      <c r="I146" s="610"/>
      <c r="J146" s="610"/>
      <c r="K146" s="610"/>
      <c r="L146" s="610"/>
      <c r="M146" s="610"/>
    </row>
    <row r="147" spans="1:13">
      <c r="A147" s="610"/>
      <c r="B147" s="610"/>
      <c r="C147" s="610"/>
      <c r="D147" s="610"/>
      <c r="E147" s="610" t="s">
        <v>705</v>
      </c>
      <c r="F147" s="610"/>
      <c r="G147" s="610"/>
      <c r="H147" s="610"/>
      <c r="I147" s="610"/>
      <c r="J147" s="610"/>
      <c r="K147" s="610"/>
      <c r="L147" s="610"/>
      <c r="M147" s="610"/>
    </row>
    <row r="148" spans="1:13">
      <c r="A148" s="610"/>
      <c r="B148" s="610"/>
      <c r="C148" s="610"/>
      <c r="D148" s="610"/>
      <c r="E148" s="610" t="s">
        <v>706</v>
      </c>
      <c r="F148" s="610"/>
      <c r="G148" s="610"/>
      <c r="H148" s="610"/>
      <c r="I148" s="610"/>
      <c r="J148" s="610"/>
      <c r="K148" s="610"/>
      <c r="L148" s="610"/>
      <c r="M148" s="610"/>
    </row>
    <row r="149" spans="1:13">
      <c r="A149" s="610"/>
      <c r="B149" s="610"/>
      <c r="C149" s="610"/>
      <c r="D149" s="610"/>
      <c r="E149" s="610" t="s">
        <v>707</v>
      </c>
      <c r="F149" s="610"/>
      <c r="G149" s="610"/>
      <c r="H149" s="610"/>
      <c r="I149" s="610"/>
      <c r="J149" s="610"/>
      <c r="K149" s="610"/>
      <c r="L149" s="610"/>
      <c r="M149" s="610"/>
    </row>
    <row r="150" spans="1:13">
      <c r="A150" s="610"/>
      <c r="B150" s="610"/>
      <c r="C150" s="610"/>
      <c r="D150" s="610"/>
      <c r="E150" s="610" t="s">
        <v>708</v>
      </c>
      <c r="F150" s="610"/>
      <c r="G150" s="610"/>
      <c r="H150" s="610"/>
      <c r="I150" s="610"/>
      <c r="J150" s="610"/>
      <c r="K150" s="610"/>
      <c r="L150" s="610"/>
      <c r="M150" s="610"/>
    </row>
    <row r="151" spans="1:13">
      <c r="A151" s="610"/>
      <c r="B151" s="610"/>
      <c r="C151" s="610"/>
      <c r="D151" s="610"/>
      <c r="E151" s="610" t="s">
        <v>709</v>
      </c>
      <c r="F151" s="610"/>
      <c r="G151" s="610"/>
      <c r="H151" s="610"/>
      <c r="I151" s="610"/>
      <c r="J151" s="610"/>
      <c r="K151" s="610"/>
      <c r="L151" s="610"/>
      <c r="M151" s="610"/>
    </row>
    <row r="152" spans="1:13">
      <c r="A152" s="610"/>
      <c r="B152" s="610"/>
      <c r="C152" s="610"/>
      <c r="D152" s="610"/>
      <c r="E152" s="610" t="s">
        <v>710</v>
      </c>
      <c r="F152" s="610"/>
      <c r="G152" s="610"/>
      <c r="H152" s="610"/>
      <c r="I152" s="610"/>
      <c r="J152" s="610"/>
      <c r="K152" s="610"/>
      <c r="L152" s="610"/>
      <c r="M152" s="610"/>
    </row>
    <row r="153" spans="1:13">
      <c r="A153" s="610"/>
      <c r="B153" s="610"/>
      <c r="C153" s="610"/>
      <c r="D153" s="610"/>
      <c r="E153" s="610" t="s">
        <v>711</v>
      </c>
      <c r="F153" s="610"/>
      <c r="G153" s="610"/>
      <c r="H153" s="610"/>
      <c r="I153" s="610"/>
      <c r="J153" s="610"/>
      <c r="K153" s="610"/>
      <c r="L153" s="610"/>
      <c r="M153" s="610"/>
    </row>
    <row r="154" spans="1:13">
      <c r="A154" s="610"/>
      <c r="B154" s="610"/>
      <c r="C154" s="610"/>
      <c r="D154" s="610"/>
      <c r="E154" s="610" t="s">
        <v>712</v>
      </c>
      <c r="F154" s="610"/>
      <c r="G154" s="610"/>
      <c r="H154" s="610"/>
      <c r="I154" s="610"/>
      <c r="J154" s="610"/>
      <c r="K154" s="610"/>
      <c r="L154" s="610"/>
      <c r="M154" s="610"/>
    </row>
    <row r="155" spans="1:13">
      <c r="A155" s="610"/>
      <c r="B155" s="610"/>
      <c r="C155" s="610"/>
      <c r="D155" s="610"/>
      <c r="E155" s="610" t="s">
        <v>713</v>
      </c>
      <c r="F155" s="610"/>
      <c r="G155" s="610"/>
      <c r="H155" s="610"/>
      <c r="I155" s="610"/>
      <c r="J155" s="610"/>
      <c r="K155" s="610"/>
      <c r="L155" s="610"/>
      <c r="M155" s="610"/>
    </row>
    <row r="156" spans="1:13">
      <c r="A156" s="610"/>
      <c r="B156" s="610"/>
      <c r="C156" s="610"/>
      <c r="D156" s="610"/>
      <c r="E156" s="610" t="s">
        <v>714</v>
      </c>
      <c r="F156" s="610"/>
      <c r="G156" s="610"/>
      <c r="H156" s="610"/>
      <c r="I156" s="610"/>
      <c r="J156" s="610"/>
      <c r="K156" s="610"/>
      <c r="L156" s="610"/>
      <c r="M156" s="610"/>
    </row>
    <row r="157" spans="1:13">
      <c r="A157" s="610"/>
      <c r="B157" s="610"/>
      <c r="C157" s="610"/>
      <c r="D157" s="610"/>
      <c r="E157" s="610" t="s">
        <v>715</v>
      </c>
      <c r="F157" s="610"/>
      <c r="G157" s="610"/>
      <c r="H157" s="610"/>
      <c r="I157" s="610"/>
      <c r="J157" s="610"/>
      <c r="K157" s="610"/>
      <c r="L157" s="610"/>
      <c r="M157" s="610"/>
    </row>
    <row r="158" spans="1:13">
      <c r="A158" s="610"/>
      <c r="B158" s="610"/>
      <c r="C158" s="610"/>
      <c r="D158" s="610"/>
      <c r="E158" s="610" t="s">
        <v>716</v>
      </c>
      <c r="F158" s="610"/>
      <c r="G158" s="610"/>
      <c r="H158" s="610"/>
      <c r="I158" s="610"/>
      <c r="J158" s="610"/>
      <c r="K158" s="610"/>
      <c r="L158" s="610"/>
      <c r="M158" s="610"/>
    </row>
    <row r="159" spans="1:13">
      <c r="A159" s="610"/>
      <c r="B159" s="610"/>
      <c r="C159" s="610"/>
      <c r="D159" s="610"/>
      <c r="E159" s="610" t="s">
        <v>717</v>
      </c>
      <c r="F159" s="610"/>
      <c r="G159" s="610"/>
      <c r="H159" s="610"/>
      <c r="I159" s="610"/>
      <c r="J159" s="610"/>
      <c r="K159" s="610"/>
      <c r="L159" s="610"/>
      <c r="M159" s="610"/>
    </row>
    <row r="160" spans="1:13">
      <c r="A160" s="610"/>
      <c r="B160" s="610"/>
      <c r="C160" s="610"/>
      <c r="D160" s="610"/>
      <c r="E160" s="610" t="s">
        <v>718</v>
      </c>
      <c r="F160" s="610"/>
      <c r="G160" s="610"/>
      <c r="H160" s="610"/>
      <c r="I160" s="610"/>
      <c r="J160" s="610"/>
      <c r="K160" s="610"/>
      <c r="L160" s="610"/>
      <c r="M160" s="610"/>
    </row>
    <row r="161" spans="1:13">
      <c r="A161" s="610"/>
      <c r="B161" s="610"/>
      <c r="C161" s="610"/>
      <c r="D161" s="610"/>
      <c r="E161" s="610" t="s">
        <v>719</v>
      </c>
      <c r="F161" s="610"/>
      <c r="G161" s="610"/>
      <c r="H161" s="610"/>
      <c r="I161" s="610"/>
      <c r="J161" s="610"/>
      <c r="K161" s="610"/>
      <c r="L161" s="610"/>
      <c r="M161" s="610"/>
    </row>
    <row r="162" spans="1:13">
      <c r="A162" s="610"/>
      <c r="B162" s="610"/>
      <c r="C162" s="610"/>
      <c r="D162" s="610"/>
      <c r="E162" s="610" t="s">
        <v>720</v>
      </c>
      <c r="F162" s="610"/>
      <c r="G162" s="610"/>
      <c r="H162" s="610"/>
      <c r="I162" s="610"/>
      <c r="J162" s="610"/>
      <c r="K162" s="610"/>
      <c r="L162" s="610"/>
      <c r="M162" s="610"/>
    </row>
    <row r="163" spans="1:13">
      <c r="A163" s="610"/>
      <c r="B163" s="610"/>
      <c r="C163" s="610"/>
      <c r="D163" s="610"/>
      <c r="E163" s="610" t="s">
        <v>721</v>
      </c>
      <c r="F163" s="610"/>
      <c r="G163" s="610"/>
      <c r="H163" s="610"/>
      <c r="I163" s="610"/>
      <c r="J163" s="610"/>
      <c r="K163" s="610"/>
      <c r="L163" s="610"/>
      <c r="M163" s="610"/>
    </row>
    <row r="164" spans="1:13">
      <c r="A164" s="610"/>
      <c r="B164" s="610"/>
      <c r="C164" s="610"/>
      <c r="D164" s="610"/>
      <c r="E164" s="610" t="s">
        <v>722</v>
      </c>
      <c r="F164" s="610"/>
      <c r="G164" s="610"/>
      <c r="H164" s="610"/>
      <c r="I164" s="610"/>
      <c r="J164" s="610"/>
      <c r="K164" s="610"/>
      <c r="L164" s="610"/>
      <c r="M164" s="610"/>
    </row>
    <row r="165" spans="1:13">
      <c r="A165" s="610"/>
      <c r="B165" s="610"/>
      <c r="C165" s="610"/>
      <c r="D165" s="610"/>
      <c r="E165" s="610" t="s">
        <v>723</v>
      </c>
      <c r="F165" s="610"/>
      <c r="G165" s="610"/>
      <c r="H165" s="610"/>
      <c r="I165" s="610"/>
      <c r="J165" s="610"/>
      <c r="K165" s="610"/>
      <c r="L165" s="610"/>
      <c r="M165" s="610"/>
    </row>
    <row r="166" spans="1:13">
      <c r="A166" s="610"/>
      <c r="B166" s="610"/>
      <c r="C166" s="610"/>
      <c r="D166" s="610"/>
      <c r="E166" s="610" t="s">
        <v>724</v>
      </c>
      <c r="F166" s="610"/>
      <c r="G166" s="610"/>
      <c r="H166" s="610"/>
      <c r="I166" s="610"/>
      <c r="J166" s="610"/>
      <c r="K166" s="610"/>
      <c r="L166" s="610"/>
      <c r="M166" s="610"/>
    </row>
    <row r="167" spans="1:13">
      <c r="A167" s="610"/>
      <c r="B167" s="610"/>
      <c r="C167" s="610"/>
      <c r="D167" s="610"/>
      <c r="E167" s="610" t="s">
        <v>725</v>
      </c>
      <c r="F167" s="610"/>
      <c r="G167" s="610"/>
      <c r="H167" s="610"/>
      <c r="I167" s="610"/>
      <c r="J167" s="610"/>
      <c r="K167" s="610"/>
      <c r="L167" s="610"/>
      <c r="M167" s="610"/>
    </row>
    <row r="168" spans="1:13">
      <c r="A168" s="610"/>
      <c r="B168" s="610"/>
      <c r="C168" s="610"/>
      <c r="D168" s="610"/>
      <c r="E168" s="610" t="s">
        <v>726</v>
      </c>
      <c r="F168" s="610"/>
      <c r="G168" s="610"/>
      <c r="H168" s="610"/>
      <c r="I168" s="610"/>
      <c r="J168" s="610"/>
      <c r="K168" s="610"/>
      <c r="L168" s="610"/>
      <c r="M168" s="610"/>
    </row>
    <row r="169" spans="1:13">
      <c r="A169" s="610"/>
      <c r="B169" s="610"/>
      <c r="C169" s="610"/>
      <c r="D169" s="610"/>
      <c r="E169" s="610" t="s">
        <v>727</v>
      </c>
      <c r="F169" s="610"/>
      <c r="G169" s="610"/>
      <c r="H169" s="610"/>
      <c r="I169" s="610"/>
      <c r="J169" s="610"/>
      <c r="K169" s="610"/>
      <c r="L169" s="610"/>
      <c r="M169" s="610"/>
    </row>
    <row r="170" spans="1:13">
      <c r="A170" s="610"/>
      <c r="B170" s="610"/>
      <c r="C170" s="610"/>
      <c r="D170" s="610"/>
      <c r="E170" s="610" t="s">
        <v>728</v>
      </c>
      <c r="F170" s="610"/>
      <c r="G170" s="610"/>
      <c r="H170" s="610"/>
      <c r="I170" s="610"/>
      <c r="J170" s="610"/>
      <c r="K170" s="610"/>
      <c r="L170" s="610"/>
      <c r="M170" s="610"/>
    </row>
    <row r="171" spans="1:13">
      <c r="A171" s="610"/>
      <c r="B171" s="610"/>
      <c r="C171" s="610"/>
      <c r="D171" s="610"/>
      <c r="E171" s="610" t="s">
        <v>729</v>
      </c>
      <c r="F171" s="610"/>
      <c r="G171" s="610"/>
      <c r="H171" s="610"/>
      <c r="I171" s="610"/>
      <c r="J171" s="610"/>
      <c r="K171" s="610"/>
      <c r="L171" s="610"/>
      <c r="M171" s="610"/>
    </row>
    <row r="172" spans="1:13">
      <c r="A172" s="610"/>
      <c r="B172" s="610"/>
      <c r="C172" s="610"/>
      <c r="D172" s="610"/>
      <c r="E172" s="610" t="s">
        <v>730</v>
      </c>
      <c r="F172" s="610"/>
      <c r="G172" s="610"/>
      <c r="H172" s="610"/>
      <c r="I172" s="610"/>
      <c r="J172" s="610"/>
      <c r="K172" s="610"/>
      <c r="L172" s="610"/>
      <c r="M172" s="610"/>
    </row>
    <row r="173" spans="1:13">
      <c r="A173" s="610"/>
      <c r="B173" s="610"/>
      <c r="C173" s="610"/>
      <c r="D173" s="610"/>
      <c r="E173" s="610" t="s">
        <v>731</v>
      </c>
      <c r="F173" s="610"/>
      <c r="G173" s="610"/>
      <c r="H173" s="610"/>
      <c r="I173" s="610"/>
      <c r="J173" s="610"/>
      <c r="K173" s="610"/>
      <c r="L173" s="610"/>
      <c r="M173" s="610"/>
    </row>
    <row r="174" spans="1:13">
      <c r="A174" s="610"/>
      <c r="B174" s="610"/>
      <c r="C174" s="610"/>
      <c r="D174" s="610"/>
      <c r="E174" s="610" t="s">
        <v>732</v>
      </c>
      <c r="F174" s="610"/>
      <c r="G174" s="610"/>
      <c r="H174" s="610"/>
      <c r="I174" s="610"/>
      <c r="J174" s="610"/>
      <c r="K174" s="610"/>
      <c r="L174" s="610"/>
      <c r="M174" s="610"/>
    </row>
    <row r="175" spans="1:13">
      <c r="A175" s="610"/>
      <c r="B175" s="610"/>
      <c r="C175" s="610"/>
      <c r="D175" s="610"/>
      <c r="E175" s="610" t="s">
        <v>733</v>
      </c>
      <c r="F175" s="610"/>
      <c r="G175" s="610"/>
      <c r="H175" s="610"/>
      <c r="I175" s="610"/>
      <c r="J175" s="610"/>
      <c r="K175" s="610"/>
      <c r="L175" s="610"/>
      <c r="M175" s="610"/>
    </row>
    <row r="176" spans="1:13">
      <c r="A176" s="610"/>
      <c r="B176" s="610"/>
      <c r="C176" s="610"/>
      <c r="D176" s="610"/>
      <c r="E176" s="610" t="s">
        <v>734</v>
      </c>
      <c r="F176" s="610"/>
      <c r="G176" s="610"/>
      <c r="H176" s="610"/>
      <c r="I176" s="610"/>
      <c r="J176" s="610"/>
      <c r="K176" s="610"/>
      <c r="L176" s="610"/>
      <c r="M176" s="610"/>
    </row>
    <row r="177" spans="1:13">
      <c r="A177" s="610"/>
      <c r="B177" s="610"/>
      <c r="C177" s="610"/>
      <c r="D177" s="610"/>
      <c r="E177" s="610" t="s">
        <v>735</v>
      </c>
      <c r="F177" s="610"/>
      <c r="G177" s="610"/>
      <c r="H177" s="610"/>
      <c r="I177" s="610"/>
      <c r="J177" s="610"/>
      <c r="K177" s="610"/>
      <c r="L177" s="610"/>
      <c r="M177" s="610"/>
    </row>
    <row r="178" spans="1:13">
      <c r="A178" s="610"/>
      <c r="B178" s="610"/>
      <c r="C178" s="610"/>
      <c r="D178" s="610"/>
      <c r="E178" s="610" t="s">
        <v>736</v>
      </c>
      <c r="F178" s="610"/>
      <c r="G178" s="610"/>
      <c r="H178" s="610"/>
      <c r="I178" s="610"/>
      <c r="J178" s="610"/>
      <c r="K178" s="610"/>
      <c r="L178" s="610"/>
      <c r="M178" s="610"/>
    </row>
    <row r="179" spans="1:13">
      <c r="A179" s="610"/>
      <c r="B179" s="610"/>
      <c r="C179" s="610"/>
      <c r="D179" s="610"/>
      <c r="E179" s="610" t="s">
        <v>737</v>
      </c>
      <c r="F179" s="610"/>
      <c r="G179" s="610"/>
      <c r="H179" s="610"/>
      <c r="I179" s="610"/>
      <c r="J179" s="610"/>
      <c r="K179" s="610"/>
      <c r="L179" s="610"/>
      <c r="M179" s="610"/>
    </row>
    <row r="180" spans="1:13">
      <c r="A180" s="610"/>
      <c r="B180" s="610"/>
      <c r="C180" s="610"/>
      <c r="D180" s="610"/>
      <c r="E180" s="610" t="s">
        <v>738</v>
      </c>
      <c r="F180" s="610"/>
      <c r="G180" s="610"/>
      <c r="H180" s="610"/>
      <c r="I180" s="610"/>
      <c r="J180" s="610"/>
      <c r="K180" s="610"/>
      <c r="L180" s="610"/>
      <c r="M180" s="610"/>
    </row>
    <row r="181" spans="1:13">
      <c r="A181" s="610"/>
      <c r="B181" s="610"/>
      <c r="C181" s="610"/>
      <c r="D181" s="610"/>
      <c r="E181" s="610" t="s">
        <v>739</v>
      </c>
      <c r="F181" s="610"/>
      <c r="G181" s="610"/>
      <c r="H181" s="610"/>
      <c r="I181" s="610"/>
      <c r="J181" s="610"/>
      <c r="K181" s="610"/>
      <c r="L181" s="610"/>
      <c r="M181" s="610"/>
    </row>
    <row r="182" spans="1:13">
      <c r="A182" s="610"/>
      <c r="B182" s="610"/>
      <c r="C182" s="610"/>
      <c r="D182" s="610"/>
      <c r="E182" s="610" t="s">
        <v>740</v>
      </c>
      <c r="F182" s="610"/>
      <c r="G182" s="610"/>
      <c r="H182" s="610"/>
      <c r="I182" s="610"/>
      <c r="J182" s="610"/>
      <c r="K182" s="610"/>
      <c r="L182" s="610"/>
      <c r="M182" s="610"/>
    </row>
    <row r="183" spans="1:13">
      <c r="A183" s="610"/>
      <c r="B183" s="610"/>
      <c r="C183" s="610"/>
      <c r="D183" s="610"/>
      <c r="E183" s="610" t="s">
        <v>741</v>
      </c>
      <c r="F183" s="610"/>
      <c r="G183" s="610"/>
      <c r="H183" s="610"/>
      <c r="I183" s="610"/>
      <c r="J183" s="610"/>
      <c r="K183" s="610"/>
      <c r="L183" s="610"/>
      <c r="M183" s="610"/>
    </row>
    <row r="184" spans="1:13">
      <c r="A184" s="610"/>
      <c r="B184" s="610"/>
      <c r="C184" s="610"/>
      <c r="D184" s="610"/>
      <c r="E184" s="610" t="s">
        <v>742</v>
      </c>
      <c r="F184" s="610"/>
      <c r="G184" s="610"/>
      <c r="H184" s="610"/>
      <c r="I184" s="610"/>
      <c r="J184" s="610"/>
      <c r="K184" s="610"/>
      <c r="L184" s="610"/>
      <c r="M184" s="610"/>
    </row>
    <row r="185" spans="1:13">
      <c r="A185" s="610"/>
      <c r="B185" s="610"/>
      <c r="C185" s="610"/>
      <c r="D185" s="610"/>
      <c r="E185" s="610" t="s">
        <v>743</v>
      </c>
      <c r="F185" s="610"/>
      <c r="G185" s="610"/>
      <c r="H185" s="610"/>
      <c r="I185" s="610"/>
      <c r="J185" s="610"/>
      <c r="K185" s="610"/>
      <c r="L185" s="610"/>
      <c r="M185" s="610"/>
    </row>
    <row r="186" spans="1:13">
      <c r="A186" s="610"/>
      <c r="B186" s="610"/>
      <c r="C186" s="610"/>
      <c r="D186" s="610"/>
      <c r="E186" s="610" t="s">
        <v>744</v>
      </c>
      <c r="F186" s="610"/>
      <c r="G186" s="610"/>
      <c r="H186" s="610"/>
      <c r="I186" s="610"/>
      <c r="J186" s="610"/>
      <c r="K186" s="610"/>
      <c r="L186" s="610"/>
      <c r="M186" s="610"/>
    </row>
    <row r="187" spans="1:13">
      <c r="A187" s="610"/>
      <c r="B187" s="610"/>
      <c r="C187" s="610"/>
      <c r="D187" s="610"/>
      <c r="E187" s="610" t="s">
        <v>745</v>
      </c>
      <c r="F187" s="610"/>
      <c r="G187" s="610"/>
      <c r="H187" s="610"/>
      <c r="I187" s="610"/>
      <c r="J187" s="610"/>
      <c r="K187" s="610"/>
      <c r="L187" s="610"/>
      <c r="M187" s="610"/>
    </row>
    <row r="188" spans="1:13">
      <c r="A188" s="610"/>
      <c r="B188" s="610"/>
      <c r="C188" s="610"/>
      <c r="D188" s="610"/>
      <c r="E188" s="610" t="s">
        <v>746</v>
      </c>
      <c r="F188" s="610"/>
      <c r="G188" s="610"/>
      <c r="H188" s="610"/>
      <c r="I188" s="610"/>
      <c r="J188" s="610"/>
      <c r="K188" s="610"/>
      <c r="L188" s="610"/>
      <c r="M188" s="610"/>
    </row>
    <row r="189" spans="1:13">
      <c r="A189" s="610"/>
      <c r="B189" s="610"/>
      <c r="C189" s="610"/>
      <c r="D189" s="610"/>
      <c r="E189" s="610" t="s">
        <v>747</v>
      </c>
      <c r="F189" s="610"/>
      <c r="G189" s="610"/>
      <c r="H189" s="610"/>
      <c r="I189" s="610"/>
      <c r="J189" s="610"/>
      <c r="K189" s="610"/>
      <c r="L189" s="610"/>
      <c r="M189" s="610"/>
    </row>
    <row r="190" spans="1:13">
      <c r="A190" s="610"/>
      <c r="B190" s="610"/>
      <c r="C190" s="610"/>
      <c r="D190" s="610"/>
      <c r="E190" s="610" t="s">
        <v>748</v>
      </c>
      <c r="F190" s="610"/>
      <c r="G190" s="610"/>
      <c r="H190" s="610"/>
      <c r="I190" s="610"/>
      <c r="J190" s="610"/>
      <c r="K190" s="610"/>
      <c r="L190" s="610"/>
      <c r="M190" s="610"/>
    </row>
    <row r="191" spans="1:13">
      <c r="A191" s="610"/>
      <c r="B191" s="610"/>
      <c r="C191" s="610"/>
      <c r="D191" s="610"/>
      <c r="E191" s="610" t="s">
        <v>749</v>
      </c>
      <c r="F191" s="610"/>
      <c r="G191" s="610"/>
      <c r="H191" s="610"/>
      <c r="I191" s="610"/>
      <c r="J191" s="610"/>
      <c r="K191" s="610"/>
      <c r="L191" s="610"/>
      <c r="M191" s="610"/>
    </row>
    <row r="192" spans="1:13">
      <c r="A192" s="610"/>
      <c r="B192" s="610"/>
      <c r="C192" s="610"/>
      <c r="D192" s="610"/>
      <c r="E192" s="610" t="s">
        <v>750</v>
      </c>
      <c r="F192" s="610"/>
      <c r="G192" s="610"/>
      <c r="H192" s="610"/>
      <c r="I192" s="610"/>
      <c r="J192" s="610"/>
      <c r="K192" s="610"/>
      <c r="L192" s="610"/>
      <c r="M192" s="610"/>
    </row>
    <row r="193" spans="1:13">
      <c r="A193" s="610"/>
      <c r="B193" s="610"/>
      <c r="C193" s="610"/>
      <c r="D193" s="610"/>
      <c r="E193" s="610" t="s">
        <v>751</v>
      </c>
      <c r="F193" s="610"/>
      <c r="G193" s="610"/>
      <c r="H193" s="610"/>
      <c r="I193" s="610"/>
      <c r="J193" s="610"/>
      <c r="K193" s="610"/>
      <c r="L193" s="610"/>
      <c r="M193" s="610"/>
    </row>
    <row r="194" spans="1:13">
      <c r="A194" s="610"/>
      <c r="B194" s="610"/>
      <c r="C194" s="610"/>
      <c r="D194" s="610"/>
      <c r="E194" s="610" t="s">
        <v>752</v>
      </c>
      <c r="F194" s="610"/>
      <c r="G194" s="610"/>
      <c r="H194" s="610"/>
      <c r="I194" s="610"/>
      <c r="J194" s="610"/>
      <c r="K194" s="610"/>
      <c r="L194" s="610"/>
      <c r="M194" s="610"/>
    </row>
    <row r="195" spans="1:13">
      <c r="A195" s="610"/>
      <c r="B195" s="610"/>
      <c r="C195" s="610"/>
      <c r="D195" s="610"/>
      <c r="E195" s="610" t="s">
        <v>753</v>
      </c>
      <c r="F195" s="610"/>
      <c r="G195" s="610"/>
      <c r="H195" s="610"/>
      <c r="I195" s="610"/>
      <c r="J195" s="610"/>
      <c r="K195" s="610"/>
      <c r="L195" s="610"/>
      <c r="M195" s="610"/>
    </row>
    <row r="196" spans="1:13">
      <c r="A196" s="610"/>
      <c r="B196" s="610"/>
      <c r="C196" s="610"/>
      <c r="D196" s="610"/>
      <c r="E196" s="610" t="s">
        <v>754</v>
      </c>
      <c r="F196" s="610"/>
      <c r="G196" s="610"/>
      <c r="H196" s="610"/>
      <c r="I196" s="610"/>
      <c r="J196" s="610"/>
      <c r="K196" s="610"/>
      <c r="L196" s="610"/>
      <c r="M196" s="610"/>
    </row>
    <row r="197" spans="1:13">
      <c r="A197" s="610"/>
      <c r="B197" s="610"/>
      <c r="C197" s="610"/>
      <c r="D197" s="610"/>
      <c r="E197" s="610" t="s">
        <v>755</v>
      </c>
      <c r="F197" s="610"/>
      <c r="G197" s="610"/>
      <c r="H197" s="610"/>
      <c r="I197" s="610"/>
      <c r="J197" s="610"/>
      <c r="K197" s="610"/>
      <c r="L197" s="610"/>
      <c r="M197" s="610"/>
    </row>
    <row r="198" spans="1:13">
      <c r="A198" s="610"/>
      <c r="B198" s="610"/>
      <c r="C198" s="610"/>
      <c r="D198" s="610"/>
      <c r="E198" s="610" t="s">
        <v>23</v>
      </c>
      <c r="F198" s="610"/>
      <c r="G198" s="610"/>
      <c r="H198" s="610"/>
      <c r="I198" s="610"/>
      <c r="J198" s="610"/>
      <c r="K198" s="610"/>
      <c r="L198" s="610"/>
      <c r="M198" s="610"/>
    </row>
    <row r="199" spans="1:13">
      <c r="A199" s="610"/>
      <c r="B199" s="610"/>
      <c r="C199" s="610"/>
      <c r="D199" s="610"/>
      <c r="E199" s="610" t="s">
        <v>756</v>
      </c>
      <c r="F199" s="610"/>
      <c r="G199" s="610"/>
      <c r="H199" s="610"/>
      <c r="I199" s="610"/>
      <c r="J199" s="610"/>
      <c r="K199" s="610"/>
      <c r="L199" s="610"/>
      <c r="M199" s="610"/>
    </row>
    <row r="200" spans="1:13">
      <c r="A200" s="610"/>
      <c r="B200" s="610"/>
      <c r="C200" s="610"/>
      <c r="D200" s="610"/>
      <c r="E200" s="610" t="s">
        <v>757</v>
      </c>
      <c r="F200" s="610"/>
      <c r="G200" s="610"/>
      <c r="H200" s="610"/>
      <c r="I200" s="610"/>
      <c r="J200" s="610"/>
      <c r="K200" s="610"/>
      <c r="L200" s="610"/>
      <c r="M200" s="610"/>
    </row>
    <row r="201" spans="1:13">
      <c r="A201" s="610"/>
      <c r="B201" s="610"/>
      <c r="C201" s="610"/>
      <c r="D201" s="610"/>
      <c r="E201" s="610" t="s">
        <v>758</v>
      </c>
      <c r="F201" s="610"/>
      <c r="G201" s="610"/>
      <c r="H201" s="610"/>
      <c r="I201" s="610"/>
      <c r="J201" s="610"/>
      <c r="K201" s="610"/>
      <c r="L201" s="610"/>
      <c r="M201" s="610"/>
    </row>
    <row r="202" spans="1:13">
      <c r="A202" s="610"/>
      <c r="B202" s="610"/>
      <c r="C202" s="610"/>
      <c r="D202" s="610"/>
      <c r="E202" s="610" t="s">
        <v>759</v>
      </c>
      <c r="F202" s="610"/>
      <c r="G202" s="610"/>
      <c r="H202" s="610"/>
      <c r="I202" s="610"/>
      <c r="J202" s="610"/>
      <c r="K202" s="610"/>
      <c r="L202" s="610"/>
      <c r="M202" s="610"/>
    </row>
    <row r="203" spans="1:13">
      <c r="A203" s="610"/>
      <c r="B203" s="610"/>
      <c r="C203" s="610"/>
      <c r="D203" s="610"/>
      <c r="E203" s="610" t="s">
        <v>760</v>
      </c>
      <c r="F203" s="610"/>
      <c r="G203" s="610"/>
      <c r="H203" s="610"/>
      <c r="I203" s="610"/>
      <c r="J203" s="610"/>
      <c r="K203" s="610"/>
      <c r="L203" s="610"/>
      <c r="M203" s="610"/>
    </row>
    <row r="204" spans="1:13">
      <c r="A204" s="610"/>
      <c r="B204" s="610"/>
      <c r="C204" s="610"/>
      <c r="D204" s="610"/>
      <c r="E204" s="610" t="s">
        <v>761</v>
      </c>
      <c r="F204" s="610"/>
      <c r="G204" s="610"/>
      <c r="H204" s="610"/>
      <c r="I204" s="610"/>
      <c r="J204" s="610"/>
      <c r="K204" s="610"/>
      <c r="L204" s="610"/>
      <c r="M204" s="610"/>
    </row>
    <row r="205" spans="1:13">
      <c r="A205" s="610"/>
      <c r="B205" s="610"/>
      <c r="C205" s="610"/>
      <c r="D205" s="610"/>
      <c r="E205" s="610" t="s">
        <v>762</v>
      </c>
      <c r="F205" s="610"/>
      <c r="G205" s="610"/>
      <c r="H205" s="610"/>
      <c r="I205" s="610"/>
      <c r="J205" s="610"/>
      <c r="K205" s="610"/>
      <c r="L205" s="610"/>
      <c r="M205" s="610"/>
    </row>
    <row r="206" spans="1:13">
      <c r="A206" s="610"/>
      <c r="B206" s="610"/>
      <c r="C206" s="610"/>
      <c r="D206" s="610"/>
      <c r="E206" s="610" t="s">
        <v>763</v>
      </c>
      <c r="F206" s="610"/>
      <c r="G206" s="610"/>
      <c r="H206" s="610"/>
      <c r="I206" s="610"/>
      <c r="J206" s="610"/>
      <c r="K206" s="610"/>
      <c r="L206" s="610"/>
      <c r="M206" s="610"/>
    </row>
    <row r="207" spans="1:13">
      <c r="A207" s="610"/>
      <c r="B207" s="610"/>
      <c r="C207" s="610"/>
      <c r="D207" s="610"/>
      <c r="E207" s="610" t="s">
        <v>764</v>
      </c>
      <c r="F207" s="610"/>
      <c r="G207" s="610"/>
      <c r="H207" s="610"/>
      <c r="I207" s="610"/>
      <c r="J207" s="610"/>
      <c r="K207" s="610"/>
      <c r="L207" s="610"/>
      <c r="M207" s="610"/>
    </row>
    <row r="208" spans="1:13">
      <c r="A208" s="610"/>
      <c r="B208" s="610"/>
      <c r="C208" s="610"/>
      <c r="D208" s="610"/>
      <c r="E208" s="610" t="s">
        <v>765</v>
      </c>
      <c r="F208" s="610"/>
      <c r="G208" s="610"/>
      <c r="H208" s="610"/>
      <c r="I208" s="610"/>
      <c r="J208" s="610"/>
      <c r="K208" s="610"/>
      <c r="L208" s="610"/>
      <c r="M208" s="610"/>
    </row>
    <row r="209" spans="1:13">
      <c r="A209" s="610"/>
      <c r="B209" s="610"/>
      <c r="C209" s="610"/>
      <c r="D209" s="610"/>
      <c r="E209" s="610" t="s">
        <v>571</v>
      </c>
      <c r="F209" s="610"/>
      <c r="G209" s="610"/>
      <c r="H209" s="610"/>
      <c r="I209" s="610"/>
      <c r="J209" s="610"/>
      <c r="K209" s="610"/>
      <c r="L209" s="610"/>
      <c r="M209" s="610"/>
    </row>
    <row r="210" spans="1:13">
      <c r="A210" s="610"/>
      <c r="B210" s="610"/>
      <c r="C210" s="610"/>
      <c r="D210" s="610"/>
      <c r="E210" s="610" t="s">
        <v>766</v>
      </c>
      <c r="F210" s="610"/>
      <c r="G210" s="610"/>
      <c r="H210" s="610"/>
      <c r="I210" s="610"/>
      <c r="J210" s="610"/>
      <c r="K210" s="610"/>
      <c r="L210" s="610"/>
      <c r="M210" s="610"/>
    </row>
    <row r="211" spans="1:13">
      <c r="A211" s="610"/>
      <c r="B211" s="610"/>
      <c r="C211" s="610"/>
      <c r="D211" s="610"/>
      <c r="E211" s="610" t="s">
        <v>767</v>
      </c>
      <c r="F211" s="610"/>
      <c r="G211" s="610"/>
      <c r="H211" s="610"/>
      <c r="I211" s="610"/>
      <c r="J211" s="610"/>
      <c r="K211" s="610"/>
      <c r="L211" s="610"/>
      <c r="M211" s="610"/>
    </row>
    <row r="212" spans="1:13">
      <c r="A212" s="610"/>
      <c r="B212" s="610"/>
      <c r="C212" s="610"/>
      <c r="D212" s="610"/>
      <c r="E212" s="610" t="s">
        <v>768</v>
      </c>
      <c r="F212" s="610"/>
      <c r="G212" s="610"/>
      <c r="H212" s="610"/>
      <c r="I212" s="610"/>
      <c r="J212" s="610"/>
      <c r="K212" s="610"/>
      <c r="L212" s="610"/>
      <c r="M212" s="610"/>
    </row>
    <row r="213" spans="1:13">
      <c r="A213" s="610"/>
      <c r="B213" s="610"/>
      <c r="C213" s="610"/>
      <c r="D213" s="610"/>
      <c r="E213" s="610" t="s">
        <v>769</v>
      </c>
      <c r="F213" s="610"/>
      <c r="G213" s="610"/>
      <c r="H213" s="610"/>
      <c r="I213" s="610"/>
      <c r="J213" s="610"/>
      <c r="K213" s="610"/>
      <c r="L213" s="610"/>
      <c r="M213" s="610"/>
    </row>
    <row r="214" spans="1:13">
      <c r="A214" s="610"/>
      <c r="B214" s="610"/>
      <c r="C214" s="610"/>
      <c r="D214" s="610"/>
      <c r="E214" s="610" t="s">
        <v>770</v>
      </c>
      <c r="F214" s="610"/>
      <c r="G214" s="610"/>
      <c r="H214" s="610"/>
      <c r="I214" s="610"/>
      <c r="J214" s="610"/>
      <c r="K214" s="610"/>
      <c r="L214" s="610"/>
      <c r="M214" s="610"/>
    </row>
    <row r="215" spans="1:13">
      <c r="A215" s="610"/>
      <c r="B215" s="610"/>
      <c r="C215" s="610"/>
      <c r="D215" s="610"/>
      <c r="E215" s="610" t="s">
        <v>771</v>
      </c>
      <c r="F215" s="610"/>
      <c r="G215" s="610"/>
      <c r="H215" s="610"/>
      <c r="I215" s="610"/>
      <c r="J215" s="610"/>
      <c r="K215" s="610"/>
      <c r="L215" s="610"/>
      <c r="M215" s="610"/>
    </row>
    <row r="216" spans="1:13">
      <c r="A216" s="610"/>
      <c r="B216" s="610"/>
      <c r="C216" s="610"/>
      <c r="D216" s="610"/>
      <c r="E216" s="610" t="s">
        <v>772</v>
      </c>
      <c r="F216" s="610"/>
      <c r="G216" s="610"/>
      <c r="H216" s="610"/>
      <c r="I216" s="610"/>
      <c r="J216" s="610"/>
      <c r="K216" s="610"/>
      <c r="L216" s="610"/>
      <c r="M216" s="610"/>
    </row>
    <row r="217" spans="1:13">
      <c r="A217" s="610"/>
      <c r="B217" s="610"/>
      <c r="C217" s="610"/>
      <c r="D217" s="610"/>
      <c r="E217" s="610" t="s">
        <v>773</v>
      </c>
      <c r="F217" s="610"/>
      <c r="G217" s="610"/>
      <c r="H217" s="610"/>
      <c r="I217" s="610"/>
      <c r="J217" s="610"/>
      <c r="K217" s="610"/>
      <c r="L217" s="610"/>
      <c r="M217" s="610"/>
    </row>
    <row r="218" spans="1:13">
      <c r="A218" s="610"/>
      <c r="B218" s="610"/>
      <c r="C218" s="610"/>
      <c r="D218" s="610"/>
      <c r="E218" s="610" t="s">
        <v>774</v>
      </c>
      <c r="F218" s="610"/>
      <c r="G218" s="610"/>
      <c r="H218" s="610"/>
      <c r="I218" s="610"/>
      <c r="J218" s="610"/>
      <c r="K218" s="610"/>
      <c r="L218" s="610"/>
      <c r="M218" s="610"/>
    </row>
    <row r="219" spans="1:13">
      <c r="A219" s="610"/>
      <c r="B219" s="610"/>
      <c r="C219" s="610"/>
      <c r="D219" s="610"/>
      <c r="E219" s="610" t="s">
        <v>775</v>
      </c>
      <c r="F219" s="610"/>
      <c r="G219" s="610"/>
      <c r="H219" s="610"/>
      <c r="I219" s="610"/>
      <c r="J219" s="610"/>
      <c r="K219" s="610"/>
      <c r="L219" s="610"/>
      <c r="M219" s="610"/>
    </row>
    <row r="220" spans="1:13">
      <c r="A220" s="610"/>
      <c r="B220" s="610"/>
      <c r="C220" s="610"/>
      <c r="D220" s="610"/>
      <c r="E220" s="610" t="s">
        <v>776</v>
      </c>
      <c r="F220" s="610"/>
      <c r="G220" s="610"/>
      <c r="H220" s="610"/>
      <c r="I220" s="610"/>
      <c r="J220" s="610"/>
      <c r="K220" s="610"/>
      <c r="L220" s="610"/>
      <c r="M220" s="610"/>
    </row>
    <row r="221" spans="1:13">
      <c r="A221" s="610"/>
      <c r="B221" s="610"/>
      <c r="C221" s="610"/>
      <c r="D221" s="610"/>
      <c r="E221" s="610" t="s">
        <v>777</v>
      </c>
      <c r="F221" s="610"/>
      <c r="G221" s="610"/>
      <c r="H221" s="610"/>
      <c r="I221" s="610"/>
      <c r="J221" s="610"/>
      <c r="K221" s="610"/>
      <c r="L221" s="610"/>
      <c r="M221" s="610"/>
    </row>
    <row r="222" spans="1:13">
      <c r="A222" s="610"/>
      <c r="B222" s="610"/>
      <c r="C222" s="610"/>
      <c r="D222" s="610"/>
      <c r="E222" s="610" t="s">
        <v>778</v>
      </c>
      <c r="F222" s="610"/>
      <c r="G222" s="610"/>
      <c r="H222" s="610"/>
      <c r="I222" s="610"/>
      <c r="J222" s="610"/>
      <c r="K222" s="610"/>
      <c r="L222" s="610"/>
      <c r="M222" s="610"/>
    </row>
    <row r="223" spans="1:13">
      <c r="A223" s="610"/>
      <c r="B223" s="610"/>
      <c r="C223" s="610"/>
      <c r="D223" s="610"/>
      <c r="E223" s="610" t="s">
        <v>779</v>
      </c>
      <c r="F223" s="610"/>
      <c r="G223" s="610"/>
      <c r="H223" s="610"/>
      <c r="I223" s="610"/>
      <c r="J223" s="610"/>
      <c r="K223" s="610"/>
      <c r="L223" s="610"/>
      <c r="M223" s="610"/>
    </row>
    <row r="224" spans="1:13">
      <c r="A224" s="610"/>
      <c r="B224" s="610"/>
      <c r="C224" s="610"/>
      <c r="D224" s="610"/>
      <c r="E224" s="610" t="s">
        <v>780</v>
      </c>
      <c r="F224" s="610"/>
      <c r="G224" s="610"/>
      <c r="H224" s="610"/>
      <c r="I224" s="610"/>
      <c r="J224" s="610"/>
      <c r="K224" s="610"/>
      <c r="L224" s="610"/>
      <c r="M224" s="610"/>
    </row>
    <row r="225" spans="1:13">
      <c r="A225" s="610"/>
      <c r="B225" s="610"/>
      <c r="C225" s="610"/>
      <c r="D225" s="610"/>
      <c r="E225" s="610" t="s">
        <v>781</v>
      </c>
      <c r="F225" s="610"/>
      <c r="G225" s="610"/>
      <c r="H225" s="610"/>
      <c r="I225" s="610"/>
      <c r="J225" s="610"/>
      <c r="K225" s="610"/>
      <c r="L225" s="610"/>
      <c r="M225" s="610"/>
    </row>
    <row r="226" spans="1:13">
      <c r="A226" s="610"/>
      <c r="B226" s="610"/>
      <c r="C226" s="610"/>
      <c r="D226" s="610"/>
      <c r="E226" s="610" t="s">
        <v>782</v>
      </c>
      <c r="F226" s="610"/>
      <c r="G226" s="610"/>
      <c r="H226" s="610"/>
      <c r="I226" s="610"/>
      <c r="J226" s="610"/>
      <c r="K226" s="610"/>
      <c r="L226" s="610"/>
      <c r="M226" s="610"/>
    </row>
    <row r="227" spans="1:13">
      <c r="A227" s="610"/>
      <c r="B227" s="610"/>
      <c r="C227" s="610"/>
      <c r="D227" s="610"/>
      <c r="E227" s="610" t="s">
        <v>783</v>
      </c>
      <c r="F227" s="610"/>
      <c r="G227" s="610"/>
      <c r="H227" s="610"/>
      <c r="I227" s="610"/>
      <c r="J227" s="610"/>
      <c r="K227" s="610"/>
      <c r="L227" s="610"/>
      <c r="M227" s="610"/>
    </row>
    <row r="228" spans="1:13">
      <c r="A228" s="610"/>
      <c r="B228" s="610"/>
      <c r="C228" s="610"/>
      <c r="D228" s="610"/>
      <c r="E228" s="610" t="s">
        <v>784</v>
      </c>
      <c r="F228" s="610"/>
      <c r="G228" s="610"/>
      <c r="H228" s="610"/>
      <c r="I228" s="610"/>
      <c r="J228" s="610"/>
      <c r="K228" s="610"/>
      <c r="L228" s="610"/>
      <c r="M228" s="610"/>
    </row>
    <row r="229" spans="1:13">
      <c r="A229" s="610"/>
      <c r="B229" s="610"/>
      <c r="C229" s="610"/>
      <c r="D229" s="610"/>
      <c r="E229" s="610" t="s">
        <v>785</v>
      </c>
      <c r="F229" s="610"/>
      <c r="G229" s="610"/>
      <c r="H229" s="610"/>
      <c r="I229" s="610"/>
      <c r="J229" s="610"/>
      <c r="K229" s="610"/>
      <c r="L229" s="610"/>
      <c r="M229" s="610"/>
    </row>
    <row r="230" spans="1:13">
      <c r="A230" s="610"/>
      <c r="B230" s="610"/>
      <c r="C230" s="610"/>
      <c r="D230" s="610"/>
      <c r="E230" s="610" t="s">
        <v>786</v>
      </c>
      <c r="F230" s="610"/>
      <c r="G230" s="610"/>
      <c r="H230" s="610"/>
      <c r="I230" s="610"/>
      <c r="J230" s="610"/>
      <c r="K230" s="610"/>
      <c r="L230" s="610"/>
      <c r="M230" s="610"/>
    </row>
    <row r="231" spans="1:13">
      <c r="A231" s="610"/>
      <c r="B231" s="610"/>
      <c r="C231" s="610"/>
      <c r="D231" s="610"/>
      <c r="E231" s="610" t="s">
        <v>787</v>
      </c>
      <c r="F231" s="610"/>
      <c r="G231" s="610"/>
      <c r="H231" s="610"/>
      <c r="I231" s="610"/>
      <c r="J231" s="610"/>
      <c r="K231" s="610"/>
      <c r="L231" s="610"/>
      <c r="M231" s="610"/>
    </row>
    <row r="232" spans="1:13">
      <c r="A232" s="610"/>
      <c r="B232" s="610"/>
      <c r="C232" s="610"/>
      <c r="D232" s="610"/>
      <c r="E232" s="610" t="s">
        <v>788</v>
      </c>
      <c r="F232" s="610"/>
      <c r="G232" s="610"/>
      <c r="H232" s="610"/>
      <c r="I232" s="610"/>
      <c r="J232" s="610"/>
      <c r="K232" s="610"/>
      <c r="L232" s="610"/>
      <c r="M232" s="610"/>
    </row>
    <row r="233" spans="1:13">
      <c r="A233" s="610"/>
      <c r="B233" s="610"/>
      <c r="C233" s="610"/>
      <c r="D233" s="610"/>
      <c r="E233" s="610" t="s">
        <v>789</v>
      </c>
      <c r="F233" s="610"/>
      <c r="G233" s="610"/>
      <c r="H233" s="610"/>
      <c r="I233" s="610"/>
      <c r="J233" s="610"/>
      <c r="K233" s="610"/>
      <c r="L233" s="610"/>
      <c r="M233" s="610"/>
    </row>
    <row r="234" spans="1:13">
      <c r="A234" s="610"/>
      <c r="B234" s="610"/>
      <c r="C234" s="610"/>
      <c r="D234" s="610"/>
      <c r="E234" s="610" t="s">
        <v>790</v>
      </c>
      <c r="F234" s="610"/>
      <c r="G234" s="610"/>
      <c r="H234" s="610"/>
      <c r="I234" s="610"/>
      <c r="J234" s="610"/>
      <c r="K234" s="610"/>
      <c r="L234" s="610"/>
      <c r="M234" s="610"/>
    </row>
    <row r="235" spans="1:13">
      <c r="A235" s="610"/>
      <c r="B235" s="610"/>
      <c r="C235" s="610"/>
      <c r="D235" s="610"/>
      <c r="E235" s="610" t="s">
        <v>791</v>
      </c>
      <c r="F235" s="610"/>
      <c r="G235" s="610"/>
      <c r="H235" s="610"/>
      <c r="I235" s="610"/>
      <c r="J235" s="610"/>
      <c r="K235" s="610"/>
      <c r="L235" s="610"/>
      <c r="M235" s="610"/>
    </row>
    <row r="236" spans="1:13">
      <c r="A236" s="610"/>
      <c r="B236" s="610"/>
      <c r="C236" s="610"/>
      <c r="D236" s="610"/>
      <c r="E236" s="610" t="s">
        <v>792</v>
      </c>
      <c r="F236" s="610"/>
      <c r="G236" s="610"/>
      <c r="H236" s="610"/>
      <c r="I236" s="610"/>
      <c r="J236" s="610"/>
      <c r="K236" s="610"/>
      <c r="L236" s="610"/>
      <c r="M236" s="610"/>
    </row>
    <row r="237" spans="1:13">
      <c r="A237" s="610"/>
      <c r="B237" s="610"/>
      <c r="C237" s="610"/>
      <c r="D237" s="610"/>
      <c r="E237" s="610" t="s">
        <v>793</v>
      </c>
      <c r="F237" s="610"/>
      <c r="G237" s="610"/>
      <c r="H237" s="610"/>
      <c r="I237" s="610"/>
      <c r="J237" s="610"/>
      <c r="K237" s="610"/>
      <c r="L237" s="610"/>
      <c r="M237" s="610"/>
    </row>
    <row r="238" spans="1:13">
      <c r="A238" s="610"/>
      <c r="B238" s="610"/>
      <c r="C238" s="610"/>
      <c r="D238" s="610"/>
      <c r="E238" s="610" t="s">
        <v>794</v>
      </c>
      <c r="F238" s="610"/>
      <c r="G238" s="610"/>
      <c r="H238" s="610"/>
      <c r="I238" s="610"/>
      <c r="J238" s="610"/>
      <c r="K238" s="610"/>
      <c r="L238" s="610"/>
      <c r="M238" s="610"/>
    </row>
    <row r="239" spans="1:13">
      <c r="A239" s="610"/>
      <c r="B239" s="610"/>
      <c r="C239" s="610"/>
      <c r="D239" s="610"/>
      <c r="E239" s="610" t="s">
        <v>795</v>
      </c>
      <c r="F239" s="610"/>
      <c r="G239" s="610"/>
      <c r="H239" s="610"/>
      <c r="I239" s="610"/>
      <c r="J239" s="610"/>
      <c r="K239" s="610"/>
      <c r="L239" s="610"/>
      <c r="M239" s="610"/>
    </row>
    <row r="240" spans="1:13">
      <c r="A240" s="610"/>
      <c r="B240" s="610"/>
      <c r="C240" s="610"/>
      <c r="D240" s="610"/>
      <c r="E240" s="610" t="s">
        <v>573</v>
      </c>
      <c r="F240" s="610"/>
      <c r="G240" s="610"/>
      <c r="H240" s="610"/>
      <c r="I240" s="610"/>
      <c r="J240" s="610"/>
      <c r="K240" s="610"/>
      <c r="L240" s="610"/>
      <c r="M240" s="610"/>
    </row>
    <row r="241" spans="1:13">
      <c r="A241" s="610"/>
      <c r="B241" s="610"/>
      <c r="C241" s="610"/>
      <c r="D241" s="610"/>
      <c r="E241" s="610" t="s">
        <v>796</v>
      </c>
      <c r="F241" s="610"/>
      <c r="G241" s="610"/>
      <c r="H241" s="610"/>
      <c r="I241" s="610"/>
      <c r="J241" s="610"/>
      <c r="K241" s="610"/>
      <c r="L241" s="610"/>
      <c r="M241" s="610"/>
    </row>
    <row r="242" spans="1:13">
      <c r="A242" s="610"/>
      <c r="B242" s="610"/>
      <c r="C242" s="610"/>
      <c r="D242" s="610"/>
      <c r="E242" s="610" t="s">
        <v>797</v>
      </c>
      <c r="F242" s="610"/>
      <c r="G242" s="610"/>
      <c r="H242" s="610"/>
      <c r="I242" s="610"/>
      <c r="J242" s="610"/>
      <c r="K242" s="610"/>
      <c r="L242" s="610"/>
      <c r="M242" s="610"/>
    </row>
    <row r="243" spans="1:13">
      <c r="A243" s="610"/>
      <c r="B243" s="610"/>
      <c r="C243" s="610"/>
      <c r="D243" s="610"/>
      <c r="E243" s="610" t="s">
        <v>798</v>
      </c>
      <c r="F243" s="610"/>
      <c r="G243" s="610"/>
      <c r="H243" s="610"/>
      <c r="I243" s="610"/>
      <c r="J243" s="610"/>
      <c r="K243" s="610"/>
      <c r="L243" s="610"/>
      <c r="M243" s="610"/>
    </row>
    <row r="244" spans="1:13">
      <c r="A244" s="610"/>
      <c r="B244" s="610"/>
      <c r="C244" s="610"/>
      <c r="D244" s="610"/>
      <c r="E244" s="610" t="s">
        <v>799</v>
      </c>
      <c r="F244" s="610"/>
      <c r="G244" s="610"/>
      <c r="H244" s="610"/>
      <c r="I244" s="610"/>
      <c r="J244" s="610"/>
      <c r="K244" s="610"/>
      <c r="L244" s="610"/>
      <c r="M244" s="610"/>
    </row>
    <row r="245" spans="1:13">
      <c r="A245" s="610"/>
      <c r="B245" s="610"/>
      <c r="C245" s="610"/>
      <c r="D245" s="610"/>
      <c r="E245" s="610" t="s">
        <v>800</v>
      </c>
      <c r="F245" s="610"/>
      <c r="G245" s="610"/>
      <c r="H245" s="610"/>
      <c r="I245" s="610"/>
      <c r="J245" s="610"/>
      <c r="K245" s="610"/>
      <c r="L245" s="610"/>
      <c r="M245" s="610"/>
    </row>
    <row r="246" spans="1:13">
      <c r="A246" s="610"/>
      <c r="B246" s="610"/>
      <c r="C246" s="610"/>
      <c r="D246" s="610"/>
      <c r="E246" s="610" t="s">
        <v>801</v>
      </c>
      <c r="F246" s="610"/>
      <c r="G246" s="610"/>
      <c r="H246" s="610"/>
      <c r="I246" s="610"/>
      <c r="J246" s="610"/>
      <c r="K246" s="610"/>
      <c r="L246" s="610"/>
      <c r="M246" s="610"/>
    </row>
    <row r="247" spans="1:13">
      <c r="A247" s="610"/>
      <c r="B247" s="610"/>
      <c r="C247" s="610"/>
      <c r="D247" s="610"/>
      <c r="E247" s="610" t="s">
        <v>802</v>
      </c>
      <c r="F247" s="610"/>
      <c r="G247" s="610"/>
      <c r="H247" s="610"/>
      <c r="I247" s="610"/>
      <c r="J247" s="610"/>
      <c r="K247" s="610"/>
      <c r="L247" s="610"/>
      <c r="M247" s="610"/>
    </row>
    <row r="248" spans="1:13">
      <c r="A248" s="610"/>
      <c r="B248" s="610"/>
      <c r="C248" s="610"/>
      <c r="D248" s="610"/>
      <c r="E248" s="610" t="s">
        <v>803</v>
      </c>
      <c r="F248" s="610"/>
      <c r="G248" s="610"/>
      <c r="H248" s="610"/>
      <c r="I248" s="610"/>
      <c r="J248" s="610"/>
      <c r="K248" s="610"/>
      <c r="L248" s="610"/>
      <c r="M248" s="610"/>
    </row>
    <row r="249" spans="1:13">
      <c r="A249" s="610"/>
      <c r="B249" s="610"/>
      <c r="C249" s="610"/>
      <c r="D249" s="610"/>
      <c r="E249" s="610" t="s">
        <v>804</v>
      </c>
      <c r="F249" s="610"/>
      <c r="G249" s="610"/>
      <c r="H249" s="610"/>
      <c r="I249" s="610"/>
      <c r="J249" s="610"/>
      <c r="K249" s="610"/>
      <c r="L249" s="610"/>
      <c r="M249" s="610"/>
    </row>
    <row r="250" spans="1:13">
      <c r="A250" s="610"/>
      <c r="B250" s="610"/>
      <c r="C250" s="610"/>
      <c r="D250" s="610"/>
      <c r="E250" s="610" t="s">
        <v>805</v>
      </c>
      <c r="F250" s="610"/>
      <c r="G250" s="610"/>
      <c r="H250" s="610"/>
      <c r="I250" s="610"/>
      <c r="J250" s="610"/>
      <c r="K250" s="610"/>
      <c r="L250" s="610"/>
      <c r="M250" s="610"/>
    </row>
    <row r="251" spans="1:13">
      <c r="A251" s="610"/>
      <c r="B251" s="610"/>
      <c r="C251" s="610"/>
      <c r="D251" s="610"/>
      <c r="E251" s="610" t="s">
        <v>806</v>
      </c>
      <c r="F251" s="610"/>
      <c r="G251" s="610"/>
      <c r="H251" s="610"/>
      <c r="I251" s="610"/>
      <c r="J251" s="610"/>
      <c r="K251" s="610"/>
      <c r="L251" s="610"/>
      <c r="M251" s="610"/>
    </row>
    <row r="252" spans="1:13">
      <c r="A252" s="610"/>
      <c r="B252" s="610"/>
      <c r="C252" s="610"/>
      <c r="D252" s="610"/>
      <c r="E252" s="610" t="s">
        <v>807</v>
      </c>
      <c r="F252" s="610"/>
      <c r="G252" s="610"/>
      <c r="H252" s="610"/>
      <c r="I252" s="610"/>
      <c r="J252" s="610"/>
      <c r="K252" s="610"/>
      <c r="L252" s="610"/>
      <c r="M252" s="610"/>
    </row>
    <row r="253" spans="1:13">
      <c r="A253" s="610"/>
      <c r="B253" s="610"/>
      <c r="C253" s="610"/>
      <c r="D253" s="610"/>
      <c r="E253" s="610" t="s">
        <v>808</v>
      </c>
      <c r="F253" s="610"/>
      <c r="G253" s="610"/>
      <c r="H253" s="610"/>
      <c r="I253" s="610"/>
      <c r="J253" s="610"/>
      <c r="K253" s="610"/>
      <c r="L253" s="610"/>
      <c r="M253" s="610"/>
    </row>
    <row r="254" spans="1:13">
      <c r="A254" s="610"/>
      <c r="B254" s="610"/>
      <c r="C254" s="610"/>
      <c r="D254" s="610"/>
      <c r="E254" s="610" t="s">
        <v>809</v>
      </c>
      <c r="F254" s="610"/>
      <c r="G254" s="610"/>
      <c r="H254" s="610"/>
      <c r="I254" s="610"/>
      <c r="J254" s="610"/>
      <c r="K254" s="610"/>
      <c r="L254" s="610"/>
      <c r="M254" s="610"/>
    </row>
    <row r="255" spans="1:13">
      <c r="A255" s="610"/>
      <c r="B255" s="610"/>
      <c r="C255" s="610"/>
      <c r="D255" s="610"/>
      <c r="E255" s="610" t="s">
        <v>810</v>
      </c>
      <c r="F255" s="610"/>
      <c r="G255" s="610"/>
      <c r="H255" s="610"/>
      <c r="I255" s="610"/>
      <c r="J255" s="610"/>
      <c r="K255" s="610"/>
      <c r="L255" s="610"/>
      <c r="M255" s="610"/>
    </row>
    <row r="256" spans="1:13">
      <c r="A256" s="610"/>
      <c r="B256" s="610"/>
      <c r="C256" s="610"/>
      <c r="D256" s="610"/>
      <c r="E256" s="610" t="s">
        <v>811</v>
      </c>
      <c r="F256" s="610"/>
      <c r="G256" s="610"/>
      <c r="H256" s="610"/>
      <c r="I256" s="610"/>
      <c r="J256" s="610"/>
      <c r="K256" s="610"/>
      <c r="L256" s="610"/>
      <c r="M256" s="610"/>
    </row>
    <row r="257" spans="1:13">
      <c r="A257" s="610"/>
      <c r="B257" s="610"/>
      <c r="C257" s="610"/>
      <c r="D257" s="610"/>
      <c r="E257" s="610" t="s">
        <v>812</v>
      </c>
      <c r="F257" s="610"/>
      <c r="G257" s="610"/>
      <c r="H257" s="610"/>
      <c r="I257" s="610"/>
      <c r="J257" s="610"/>
      <c r="K257" s="610"/>
      <c r="L257" s="610"/>
      <c r="M257" s="610"/>
    </row>
    <row r="258" spans="1:13">
      <c r="A258" s="610"/>
      <c r="B258" s="610"/>
      <c r="C258" s="610"/>
      <c r="D258" s="610"/>
      <c r="E258" s="610" t="s">
        <v>813</v>
      </c>
      <c r="F258" s="610"/>
      <c r="G258" s="610"/>
      <c r="H258" s="610"/>
      <c r="I258" s="610"/>
      <c r="J258" s="610"/>
      <c r="K258" s="610"/>
      <c r="L258" s="610"/>
      <c r="M258" s="610"/>
    </row>
    <row r="259" spans="1:13">
      <c r="A259" s="610"/>
      <c r="B259" s="610"/>
      <c r="C259" s="610"/>
      <c r="D259" s="610"/>
      <c r="E259" s="610" t="s">
        <v>814</v>
      </c>
      <c r="F259" s="610"/>
      <c r="G259" s="610"/>
      <c r="H259" s="610"/>
      <c r="I259" s="610"/>
      <c r="J259" s="610"/>
      <c r="K259" s="610"/>
      <c r="L259" s="610"/>
      <c r="M259" s="610"/>
    </row>
    <row r="260" spans="1:13">
      <c r="A260" s="610"/>
      <c r="B260" s="610"/>
      <c r="C260" s="610"/>
      <c r="D260" s="610"/>
      <c r="E260" s="610" t="s">
        <v>815</v>
      </c>
      <c r="F260" s="610"/>
      <c r="G260" s="610"/>
      <c r="H260" s="610"/>
      <c r="I260" s="610"/>
      <c r="J260" s="610"/>
      <c r="K260" s="610"/>
      <c r="L260" s="610"/>
      <c r="M260" s="610"/>
    </row>
    <row r="261" spans="1:13">
      <c r="A261" s="610"/>
      <c r="B261" s="610"/>
      <c r="C261" s="610"/>
      <c r="D261" s="610"/>
      <c r="E261" s="610" t="s">
        <v>816</v>
      </c>
      <c r="F261" s="610"/>
      <c r="G261" s="610"/>
      <c r="H261" s="610"/>
      <c r="I261" s="610"/>
      <c r="J261" s="610"/>
      <c r="K261" s="610"/>
      <c r="L261" s="610"/>
      <c r="M261" s="610"/>
    </row>
    <row r="262" spans="1:13">
      <c r="A262" s="610"/>
      <c r="B262" s="610"/>
      <c r="C262" s="610"/>
      <c r="D262" s="610"/>
      <c r="E262" s="610" t="s">
        <v>817</v>
      </c>
      <c r="F262" s="610"/>
      <c r="G262" s="610"/>
      <c r="H262" s="610"/>
      <c r="I262" s="610"/>
      <c r="J262" s="610"/>
      <c r="K262" s="610"/>
      <c r="L262" s="610"/>
      <c r="M262" s="610"/>
    </row>
    <row r="263" spans="1:13">
      <c r="A263" s="610"/>
      <c r="B263" s="610"/>
      <c r="C263" s="610"/>
      <c r="D263" s="610"/>
      <c r="E263" s="610" t="s">
        <v>818</v>
      </c>
      <c r="F263" s="610"/>
      <c r="G263" s="610"/>
      <c r="H263" s="610"/>
      <c r="I263" s="610"/>
      <c r="J263" s="610"/>
      <c r="K263" s="610"/>
      <c r="L263" s="610"/>
      <c r="M263" s="610"/>
    </row>
    <row r="264" spans="1:13">
      <c r="A264" s="610"/>
      <c r="B264" s="610"/>
      <c r="C264" s="610"/>
      <c r="D264" s="610"/>
      <c r="E264" s="610" t="s">
        <v>819</v>
      </c>
      <c r="F264" s="610"/>
      <c r="G264" s="610"/>
      <c r="H264" s="610"/>
      <c r="I264" s="610"/>
      <c r="J264" s="610"/>
      <c r="K264" s="610"/>
      <c r="L264" s="610"/>
      <c r="M264" s="610"/>
    </row>
    <row r="265" spans="1:13">
      <c r="A265" s="610"/>
      <c r="B265" s="610"/>
      <c r="C265" s="610"/>
      <c r="D265" s="610"/>
      <c r="E265" s="610" t="s">
        <v>820</v>
      </c>
      <c r="F265" s="610"/>
      <c r="G265" s="610"/>
      <c r="H265" s="610"/>
      <c r="I265" s="610"/>
      <c r="J265" s="610"/>
      <c r="K265" s="610"/>
      <c r="L265" s="610"/>
      <c r="M265" s="610"/>
    </row>
    <row r="266" spans="1:13">
      <c r="A266" s="610"/>
      <c r="B266" s="610"/>
      <c r="C266" s="610"/>
      <c r="D266" s="610"/>
      <c r="E266" s="610" t="s">
        <v>821</v>
      </c>
      <c r="F266" s="610"/>
      <c r="G266" s="610"/>
      <c r="H266" s="610"/>
      <c r="I266" s="610"/>
      <c r="J266" s="610"/>
      <c r="K266" s="610"/>
      <c r="L266" s="610"/>
      <c r="M266" s="610"/>
    </row>
    <row r="267" spans="1:13">
      <c r="A267" s="610"/>
      <c r="B267" s="610"/>
      <c r="C267" s="610"/>
      <c r="D267" s="610"/>
      <c r="E267" s="610" t="s">
        <v>822</v>
      </c>
      <c r="F267" s="610"/>
      <c r="G267" s="610"/>
      <c r="H267" s="610"/>
      <c r="I267" s="610"/>
      <c r="J267" s="610"/>
      <c r="K267" s="610"/>
      <c r="L267" s="610"/>
      <c r="M267" s="610"/>
    </row>
    <row r="268" spans="1:13">
      <c r="A268" s="610"/>
      <c r="B268" s="610"/>
      <c r="C268" s="610"/>
      <c r="D268" s="610"/>
      <c r="E268" s="610" t="s">
        <v>823</v>
      </c>
      <c r="F268" s="610"/>
      <c r="G268" s="610"/>
      <c r="H268" s="610"/>
      <c r="I268" s="610"/>
      <c r="J268" s="610"/>
      <c r="K268" s="610"/>
      <c r="L268" s="610"/>
      <c r="M268" s="610"/>
    </row>
    <row r="269" spans="1:13">
      <c r="A269" s="610"/>
      <c r="B269" s="610"/>
      <c r="C269" s="610"/>
      <c r="D269" s="610"/>
      <c r="E269" s="610" t="s">
        <v>824</v>
      </c>
      <c r="F269" s="610"/>
      <c r="G269" s="610"/>
      <c r="H269" s="610"/>
      <c r="I269" s="610"/>
      <c r="J269" s="610"/>
      <c r="K269" s="610"/>
      <c r="L269" s="610"/>
      <c r="M269" s="610"/>
    </row>
    <row r="270" spans="1:13">
      <c r="A270" s="610"/>
      <c r="B270" s="610"/>
      <c r="C270" s="610"/>
      <c r="D270" s="610"/>
      <c r="E270" s="610" t="s">
        <v>825</v>
      </c>
      <c r="F270" s="610"/>
      <c r="G270" s="610"/>
      <c r="H270" s="610"/>
      <c r="I270" s="610"/>
      <c r="J270" s="610"/>
      <c r="K270" s="610"/>
      <c r="L270" s="610"/>
      <c r="M270" s="610"/>
    </row>
    <row r="271" spans="1:13">
      <c r="A271" s="610"/>
      <c r="B271" s="610"/>
      <c r="C271" s="610"/>
      <c r="D271" s="610"/>
      <c r="E271" s="610" t="s">
        <v>826</v>
      </c>
      <c r="F271" s="610"/>
      <c r="G271" s="610"/>
      <c r="H271" s="610"/>
      <c r="I271" s="610"/>
      <c r="J271" s="610"/>
      <c r="K271" s="610"/>
      <c r="L271" s="610"/>
      <c r="M271" s="610"/>
    </row>
    <row r="272" spans="1:13">
      <c r="A272" s="610"/>
      <c r="B272" s="610"/>
      <c r="C272" s="610"/>
      <c r="D272" s="610"/>
      <c r="E272" s="610" t="s">
        <v>827</v>
      </c>
      <c r="F272" s="610"/>
      <c r="G272" s="610"/>
      <c r="H272" s="610"/>
      <c r="I272" s="610"/>
      <c r="J272" s="610"/>
      <c r="K272" s="610"/>
      <c r="L272" s="610"/>
      <c r="M272" s="610"/>
    </row>
    <row r="273" spans="1:13">
      <c r="A273" s="610"/>
      <c r="B273" s="610"/>
      <c r="C273" s="610"/>
      <c r="D273" s="610"/>
      <c r="E273" s="610" t="s">
        <v>828</v>
      </c>
      <c r="F273" s="610"/>
      <c r="G273" s="610"/>
      <c r="H273" s="610"/>
      <c r="I273" s="610"/>
      <c r="J273" s="610"/>
      <c r="K273" s="610"/>
      <c r="L273" s="610"/>
      <c r="M273" s="610"/>
    </row>
    <row r="274" spans="1:13">
      <c r="A274" s="610"/>
      <c r="B274" s="610"/>
      <c r="C274" s="610"/>
      <c r="D274" s="610"/>
      <c r="E274" s="610" t="s">
        <v>829</v>
      </c>
      <c r="F274" s="610"/>
      <c r="G274" s="610"/>
      <c r="H274" s="610"/>
      <c r="I274" s="610"/>
      <c r="J274" s="610"/>
      <c r="K274" s="610"/>
      <c r="L274" s="610"/>
      <c r="M274" s="610"/>
    </row>
    <row r="275" spans="1:13">
      <c r="A275" s="610"/>
      <c r="B275" s="610"/>
      <c r="C275" s="610"/>
      <c r="D275" s="610"/>
      <c r="E275" s="610" t="s">
        <v>830</v>
      </c>
      <c r="F275" s="610"/>
      <c r="G275" s="610"/>
      <c r="H275" s="610"/>
      <c r="I275" s="610"/>
      <c r="J275" s="610"/>
      <c r="K275" s="610"/>
      <c r="L275" s="610"/>
      <c r="M275" s="610"/>
    </row>
    <row r="276" spans="1:13">
      <c r="A276" s="610"/>
      <c r="B276" s="610"/>
      <c r="C276" s="610"/>
      <c r="D276" s="610"/>
      <c r="E276" s="610" t="s">
        <v>831</v>
      </c>
      <c r="F276" s="610"/>
      <c r="G276" s="610"/>
      <c r="H276" s="610"/>
      <c r="I276" s="610"/>
      <c r="J276" s="610"/>
      <c r="K276" s="610"/>
      <c r="L276" s="610"/>
      <c r="M276" s="610"/>
    </row>
    <row r="277" spans="1:13">
      <c r="A277" s="610"/>
      <c r="B277" s="610"/>
      <c r="C277" s="610"/>
      <c r="D277" s="610"/>
      <c r="E277" s="610" t="s">
        <v>832</v>
      </c>
      <c r="F277" s="610"/>
      <c r="G277" s="610"/>
      <c r="H277" s="610"/>
      <c r="I277" s="610"/>
      <c r="J277" s="610"/>
      <c r="K277" s="610"/>
      <c r="L277" s="610"/>
      <c r="M277" s="610"/>
    </row>
    <row r="278" spans="1:13">
      <c r="A278" s="610"/>
      <c r="B278" s="610"/>
      <c r="C278" s="610"/>
      <c r="D278" s="610"/>
      <c r="E278" s="610" t="s">
        <v>833</v>
      </c>
      <c r="F278" s="610"/>
      <c r="G278" s="610"/>
      <c r="H278" s="610"/>
      <c r="I278" s="610"/>
      <c r="J278" s="610"/>
      <c r="K278" s="610"/>
      <c r="L278" s="610"/>
      <c r="M278" s="610"/>
    </row>
    <row r="279" spans="1:13">
      <c r="A279" s="610"/>
      <c r="B279" s="610"/>
      <c r="C279" s="610"/>
      <c r="D279" s="610"/>
      <c r="E279" s="610" t="s">
        <v>834</v>
      </c>
      <c r="F279" s="610"/>
      <c r="G279" s="610"/>
      <c r="H279" s="610"/>
      <c r="I279" s="610"/>
      <c r="J279" s="610"/>
      <c r="K279" s="610"/>
      <c r="L279" s="610"/>
      <c r="M279" s="610"/>
    </row>
    <row r="280" spans="1:13">
      <c r="A280" s="610"/>
      <c r="B280" s="610"/>
      <c r="C280" s="610"/>
      <c r="D280" s="610"/>
      <c r="E280" s="610" t="s">
        <v>835</v>
      </c>
      <c r="F280" s="610"/>
      <c r="G280" s="610"/>
      <c r="H280" s="610"/>
      <c r="I280" s="610"/>
      <c r="J280" s="610"/>
      <c r="K280" s="610"/>
      <c r="L280" s="610"/>
      <c r="M280" s="610"/>
    </row>
    <row r="281" spans="1:13">
      <c r="A281" s="610"/>
      <c r="B281" s="610"/>
      <c r="C281" s="610"/>
      <c r="D281" s="610"/>
      <c r="E281" s="610" t="s">
        <v>836</v>
      </c>
      <c r="F281" s="610"/>
      <c r="G281" s="610"/>
      <c r="H281" s="610"/>
      <c r="I281" s="610"/>
      <c r="J281" s="610"/>
      <c r="K281" s="610"/>
      <c r="L281" s="610"/>
      <c r="M281" s="610"/>
    </row>
    <row r="282" spans="1:13">
      <c r="A282" s="610"/>
      <c r="B282" s="610"/>
      <c r="C282" s="610"/>
      <c r="D282" s="610"/>
      <c r="E282" s="610" t="s">
        <v>837</v>
      </c>
      <c r="F282" s="610"/>
      <c r="G282" s="610"/>
      <c r="H282" s="610"/>
      <c r="I282" s="610"/>
      <c r="J282" s="610"/>
      <c r="K282" s="610"/>
      <c r="L282" s="610"/>
      <c r="M282" s="610"/>
    </row>
    <row r="283" spans="1:13">
      <c r="A283" s="610"/>
      <c r="B283" s="610"/>
      <c r="C283" s="610"/>
      <c r="D283" s="610"/>
      <c r="E283" s="610" t="s">
        <v>838</v>
      </c>
      <c r="F283" s="610"/>
      <c r="G283" s="610"/>
      <c r="H283" s="610"/>
      <c r="I283" s="610"/>
      <c r="J283" s="610"/>
      <c r="K283" s="610"/>
      <c r="L283" s="610"/>
      <c r="M283" s="610"/>
    </row>
    <row r="284" spans="1:13">
      <c r="A284" s="610"/>
      <c r="B284" s="610"/>
      <c r="C284" s="610"/>
      <c r="D284" s="610"/>
      <c r="E284" s="610" t="s">
        <v>839</v>
      </c>
      <c r="F284" s="610"/>
      <c r="G284" s="610"/>
      <c r="H284" s="610"/>
      <c r="I284" s="610"/>
      <c r="J284" s="610"/>
      <c r="K284" s="610"/>
      <c r="L284" s="610"/>
      <c r="M284" s="610"/>
    </row>
    <row r="285" spans="1:13">
      <c r="A285" s="610"/>
      <c r="B285" s="610"/>
      <c r="C285" s="610"/>
      <c r="D285" s="610"/>
      <c r="E285" s="610" t="s">
        <v>840</v>
      </c>
      <c r="F285" s="610"/>
      <c r="G285" s="610"/>
      <c r="H285" s="610"/>
      <c r="I285" s="610"/>
      <c r="J285" s="610"/>
      <c r="K285" s="610"/>
      <c r="L285" s="610"/>
      <c r="M285" s="610"/>
    </row>
    <row r="286" spans="1:13">
      <c r="A286" s="610"/>
      <c r="B286" s="610"/>
      <c r="C286" s="610"/>
      <c r="D286" s="610"/>
      <c r="E286" s="610" t="s">
        <v>841</v>
      </c>
      <c r="F286" s="610"/>
      <c r="G286" s="610"/>
      <c r="H286" s="610"/>
      <c r="I286" s="610"/>
      <c r="J286" s="610"/>
      <c r="K286" s="610"/>
      <c r="L286" s="610"/>
      <c r="M286" s="610"/>
    </row>
    <row r="287" spans="1:13">
      <c r="A287" s="610"/>
      <c r="B287" s="610"/>
      <c r="C287" s="610"/>
      <c r="D287" s="610"/>
      <c r="E287" s="610" t="s">
        <v>842</v>
      </c>
      <c r="F287" s="610"/>
      <c r="G287" s="610"/>
      <c r="H287" s="610"/>
      <c r="I287" s="610"/>
      <c r="J287" s="610"/>
      <c r="K287" s="610"/>
      <c r="L287" s="610"/>
      <c r="M287" s="610"/>
    </row>
    <row r="288" spans="1:13">
      <c r="A288" s="610"/>
      <c r="B288" s="610"/>
      <c r="C288" s="610"/>
      <c r="D288" s="610"/>
      <c r="E288" s="610" t="s">
        <v>843</v>
      </c>
      <c r="F288" s="610"/>
      <c r="G288" s="610"/>
      <c r="H288" s="610"/>
      <c r="I288" s="610"/>
      <c r="J288" s="610"/>
      <c r="K288" s="610"/>
      <c r="L288" s="610"/>
      <c r="M288" s="610"/>
    </row>
    <row r="289" spans="1:13">
      <c r="A289" s="610"/>
      <c r="B289" s="610"/>
      <c r="C289" s="610"/>
      <c r="D289" s="610"/>
      <c r="E289" s="610" t="s">
        <v>844</v>
      </c>
      <c r="F289" s="610"/>
      <c r="G289" s="610"/>
      <c r="H289" s="610"/>
      <c r="I289" s="610"/>
      <c r="J289" s="610"/>
      <c r="K289" s="610"/>
      <c r="L289" s="610"/>
      <c r="M289" s="610"/>
    </row>
    <row r="290" spans="1:13">
      <c r="A290" s="610"/>
      <c r="B290" s="610"/>
      <c r="C290" s="610"/>
      <c r="D290" s="610"/>
      <c r="E290" s="610" t="s">
        <v>845</v>
      </c>
      <c r="F290" s="610"/>
      <c r="G290" s="610"/>
      <c r="H290" s="610"/>
      <c r="I290" s="610"/>
      <c r="J290" s="610"/>
      <c r="K290" s="610"/>
      <c r="L290" s="610"/>
      <c r="M290" s="610"/>
    </row>
    <row r="291" spans="1:13">
      <c r="A291" s="610"/>
      <c r="B291" s="610"/>
      <c r="C291" s="610"/>
      <c r="D291" s="610"/>
      <c r="E291" s="610" t="s">
        <v>846</v>
      </c>
      <c r="F291" s="610"/>
      <c r="G291" s="610"/>
      <c r="H291" s="610"/>
      <c r="I291" s="610"/>
      <c r="J291" s="610"/>
      <c r="K291" s="610"/>
      <c r="L291" s="610"/>
      <c r="M291" s="610"/>
    </row>
    <row r="292" spans="1:13">
      <c r="A292" s="610"/>
      <c r="B292" s="610"/>
      <c r="C292" s="610"/>
      <c r="D292" s="610"/>
      <c r="E292" s="610" t="s">
        <v>847</v>
      </c>
      <c r="F292" s="610"/>
      <c r="G292" s="610"/>
      <c r="H292" s="610"/>
      <c r="I292" s="610"/>
      <c r="J292" s="610"/>
      <c r="K292" s="610"/>
      <c r="L292" s="610"/>
      <c r="M292" s="610"/>
    </row>
    <row r="293" spans="1:13">
      <c r="A293" s="610"/>
      <c r="B293" s="610"/>
      <c r="C293" s="610"/>
      <c r="D293" s="610"/>
      <c r="E293" s="610" t="s">
        <v>848</v>
      </c>
      <c r="F293" s="610"/>
      <c r="G293" s="610"/>
      <c r="H293" s="610"/>
      <c r="I293" s="610"/>
      <c r="J293" s="610"/>
      <c r="K293" s="610"/>
      <c r="L293" s="610"/>
      <c r="M293" s="610"/>
    </row>
    <row r="294" spans="1:13">
      <c r="A294" s="610"/>
      <c r="B294" s="610"/>
      <c r="C294" s="610"/>
      <c r="D294" s="610"/>
      <c r="E294" s="610" t="s">
        <v>849</v>
      </c>
      <c r="F294" s="610"/>
      <c r="G294" s="610"/>
      <c r="H294" s="610"/>
      <c r="I294" s="610"/>
      <c r="J294" s="610"/>
      <c r="K294" s="610"/>
      <c r="L294" s="610"/>
      <c r="M294" s="610"/>
    </row>
    <row r="295" spans="1:13">
      <c r="A295" s="610"/>
      <c r="B295" s="610"/>
      <c r="C295" s="610"/>
      <c r="D295" s="610"/>
      <c r="E295" s="610" t="s">
        <v>850</v>
      </c>
      <c r="F295" s="610"/>
      <c r="G295" s="610"/>
      <c r="H295" s="610"/>
      <c r="I295" s="610"/>
      <c r="J295" s="610"/>
      <c r="K295" s="610"/>
      <c r="L295" s="610"/>
      <c r="M295" s="610"/>
    </row>
    <row r="296" spans="1:13">
      <c r="A296" s="610"/>
      <c r="B296" s="610"/>
      <c r="C296" s="610"/>
      <c r="D296" s="610"/>
      <c r="E296" s="610" t="s">
        <v>851</v>
      </c>
      <c r="F296" s="610"/>
      <c r="G296" s="610"/>
      <c r="H296" s="610"/>
      <c r="I296" s="610"/>
      <c r="J296" s="610"/>
      <c r="K296" s="610"/>
      <c r="L296" s="610"/>
      <c r="M296" s="610"/>
    </row>
    <row r="297" spans="1:13">
      <c r="A297" s="610"/>
      <c r="B297" s="610"/>
      <c r="C297" s="610"/>
      <c r="D297" s="610"/>
      <c r="E297" s="610" t="s">
        <v>852</v>
      </c>
      <c r="F297" s="610"/>
      <c r="G297" s="610"/>
      <c r="H297" s="610"/>
      <c r="I297" s="610"/>
      <c r="J297" s="610"/>
      <c r="K297" s="610"/>
      <c r="L297" s="610"/>
      <c r="M297" s="610"/>
    </row>
    <row r="298" spans="1:13">
      <c r="A298" s="610"/>
      <c r="B298" s="610"/>
      <c r="C298" s="610"/>
      <c r="D298" s="610"/>
      <c r="E298" s="610" t="s">
        <v>853</v>
      </c>
      <c r="F298" s="610"/>
      <c r="G298" s="610"/>
      <c r="H298" s="610"/>
      <c r="I298" s="610"/>
      <c r="J298" s="610"/>
      <c r="K298" s="610"/>
      <c r="L298" s="610"/>
      <c r="M298" s="610"/>
    </row>
    <row r="299" spans="1:13">
      <c r="A299" s="610"/>
      <c r="B299" s="610"/>
      <c r="C299" s="610"/>
      <c r="D299" s="610"/>
      <c r="E299" s="610" t="s">
        <v>854</v>
      </c>
      <c r="F299" s="610"/>
      <c r="G299" s="610"/>
      <c r="H299" s="610"/>
      <c r="I299" s="610"/>
      <c r="J299" s="610"/>
      <c r="K299" s="610"/>
      <c r="L299" s="610"/>
      <c r="M299" s="610"/>
    </row>
    <row r="300" spans="1:13">
      <c r="A300" s="610"/>
      <c r="B300" s="610"/>
      <c r="C300" s="610"/>
      <c r="D300" s="610"/>
      <c r="E300" s="610" t="s">
        <v>855</v>
      </c>
      <c r="F300" s="610"/>
      <c r="G300" s="610"/>
      <c r="H300" s="610"/>
      <c r="I300" s="610"/>
      <c r="J300" s="610"/>
      <c r="K300" s="610"/>
      <c r="L300" s="610"/>
      <c r="M300" s="610"/>
    </row>
    <row r="301" spans="1:13">
      <c r="A301" s="610"/>
      <c r="B301" s="610"/>
      <c r="C301" s="610"/>
      <c r="D301" s="610"/>
      <c r="E301" s="610" t="s">
        <v>856</v>
      </c>
      <c r="F301" s="610"/>
      <c r="G301" s="610"/>
      <c r="H301" s="610"/>
      <c r="I301" s="610"/>
      <c r="J301" s="610"/>
      <c r="K301" s="610"/>
      <c r="L301" s="610"/>
      <c r="M301" s="610"/>
    </row>
    <row r="302" spans="1:13">
      <c r="A302" s="610"/>
      <c r="B302" s="610"/>
      <c r="C302" s="610"/>
      <c r="D302" s="610"/>
      <c r="E302" s="610" t="s">
        <v>857</v>
      </c>
      <c r="F302" s="610"/>
      <c r="G302" s="610"/>
      <c r="H302" s="610"/>
      <c r="I302" s="610"/>
      <c r="J302" s="610"/>
      <c r="K302" s="610"/>
      <c r="L302" s="610"/>
      <c r="M302" s="610"/>
    </row>
    <row r="303" spans="1:13">
      <c r="A303" s="610"/>
      <c r="B303" s="610"/>
      <c r="C303" s="610"/>
      <c r="D303" s="610"/>
      <c r="E303" s="610" t="s">
        <v>858</v>
      </c>
      <c r="F303" s="610"/>
      <c r="G303" s="610"/>
      <c r="H303" s="610"/>
      <c r="I303" s="610"/>
      <c r="J303" s="610"/>
      <c r="K303" s="610"/>
      <c r="L303" s="610"/>
      <c r="M303" s="610"/>
    </row>
    <row r="304" spans="1:13">
      <c r="A304" s="610"/>
      <c r="B304" s="610"/>
      <c r="C304" s="610"/>
      <c r="D304" s="610"/>
      <c r="E304" s="610" t="s">
        <v>859</v>
      </c>
      <c r="F304" s="610"/>
      <c r="G304" s="610"/>
      <c r="H304" s="610"/>
      <c r="I304" s="610"/>
      <c r="J304" s="610"/>
      <c r="K304" s="610"/>
      <c r="L304" s="610"/>
      <c r="M304" s="610"/>
    </row>
    <row r="305" spans="1:13">
      <c r="A305" s="610"/>
      <c r="B305" s="610"/>
      <c r="C305" s="610"/>
      <c r="D305" s="610"/>
      <c r="E305" s="610" t="s">
        <v>860</v>
      </c>
      <c r="F305" s="610"/>
      <c r="G305" s="610"/>
      <c r="H305" s="610"/>
      <c r="I305" s="610"/>
      <c r="J305" s="610"/>
      <c r="K305" s="610"/>
      <c r="L305" s="610"/>
      <c r="M305" s="610"/>
    </row>
    <row r="306" spans="1:13">
      <c r="A306" s="610"/>
      <c r="B306" s="610"/>
      <c r="C306" s="610"/>
      <c r="D306" s="610"/>
      <c r="E306" s="610" t="s">
        <v>861</v>
      </c>
      <c r="F306" s="610"/>
      <c r="G306" s="610"/>
      <c r="H306" s="610"/>
      <c r="I306" s="610"/>
      <c r="J306" s="610"/>
      <c r="K306" s="610"/>
      <c r="L306" s="610"/>
      <c r="M306" s="610"/>
    </row>
    <row r="307" spans="1:13">
      <c r="A307" s="610"/>
      <c r="B307" s="610"/>
      <c r="C307" s="610"/>
      <c r="D307" s="610"/>
      <c r="E307" s="610" t="s">
        <v>862</v>
      </c>
      <c r="F307" s="610"/>
      <c r="G307" s="610"/>
      <c r="H307" s="610"/>
      <c r="I307" s="610"/>
      <c r="J307" s="610"/>
      <c r="K307" s="610"/>
      <c r="L307" s="610"/>
      <c r="M307" s="610"/>
    </row>
    <row r="308" spans="1:13">
      <c r="A308" s="610"/>
      <c r="B308" s="610"/>
      <c r="C308" s="610"/>
      <c r="D308" s="610"/>
      <c r="E308" s="610" t="s">
        <v>863</v>
      </c>
      <c r="F308" s="610"/>
      <c r="G308" s="610"/>
      <c r="H308" s="610"/>
      <c r="I308" s="610"/>
      <c r="J308" s="610"/>
      <c r="K308" s="610"/>
      <c r="L308" s="610"/>
      <c r="M308" s="610"/>
    </row>
    <row r="309" spans="1:13">
      <c r="A309" s="610"/>
      <c r="B309" s="610"/>
      <c r="C309" s="610"/>
      <c r="D309" s="610"/>
      <c r="E309" s="610" t="s">
        <v>864</v>
      </c>
      <c r="F309" s="610"/>
      <c r="G309" s="610"/>
      <c r="H309" s="610"/>
      <c r="I309" s="610"/>
      <c r="J309" s="610"/>
      <c r="K309" s="610"/>
      <c r="L309" s="610"/>
      <c r="M309" s="610"/>
    </row>
    <row r="310" spans="1:13">
      <c r="A310" s="610"/>
      <c r="B310" s="610"/>
      <c r="C310" s="610"/>
      <c r="D310" s="610"/>
      <c r="E310" s="610" t="s">
        <v>865</v>
      </c>
      <c r="F310" s="610"/>
      <c r="G310" s="610"/>
      <c r="H310" s="610"/>
      <c r="I310" s="610"/>
      <c r="J310" s="610"/>
      <c r="K310" s="610"/>
      <c r="L310" s="610"/>
      <c r="M310" s="610"/>
    </row>
    <row r="311" spans="1:13">
      <c r="A311" s="610"/>
      <c r="B311" s="610"/>
      <c r="C311" s="610"/>
      <c r="D311" s="610"/>
      <c r="E311" s="610" t="s">
        <v>866</v>
      </c>
      <c r="F311" s="610"/>
      <c r="G311" s="610"/>
      <c r="H311" s="610"/>
      <c r="I311" s="610"/>
      <c r="J311" s="610"/>
      <c r="K311" s="610"/>
      <c r="L311" s="610"/>
      <c r="M311" s="610"/>
    </row>
    <row r="312" spans="1:13">
      <c r="A312" s="610"/>
      <c r="B312" s="610"/>
      <c r="C312" s="610"/>
      <c r="D312" s="610"/>
      <c r="E312" s="610" t="s">
        <v>867</v>
      </c>
      <c r="F312" s="610"/>
      <c r="G312" s="610"/>
      <c r="H312" s="610"/>
      <c r="I312" s="610"/>
      <c r="J312" s="610"/>
      <c r="K312" s="610"/>
      <c r="L312" s="610"/>
      <c r="M312" s="610"/>
    </row>
    <row r="313" spans="1:13">
      <c r="A313" s="610"/>
      <c r="B313" s="610"/>
      <c r="C313" s="610"/>
      <c r="D313" s="610"/>
      <c r="E313" s="610" t="s">
        <v>868</v>
      </c>
      <c r="F313" s="610"/>
      <c r="G313" s="610"/>
      <c r="H313" s="610"/>
      <c r="I313" s="610"/>
      <c r="J313" s="610"/>
      <c r="K313" s="610"/>
      <c r="L313" s="610"/>
      <c r="M313" s="610"/>
    </row>
    <row r="314" spans="1:13">
      <c r="A314" s="610"/>
      <c r="B314" s="610"/>
      <c r="C314" s="610"/>
      <c r="D314" s="610"/>
      <c r="E314" s="610" t="s">
        <v>869</v>
      </c>
      <c r="F314" s="610"/>
      <c r="G314" s="610"/>
      <c r="H314" s="610"/>
      <c r="I314" s="610"/>
      <c r="J314" s="610"/>
      <c r="K314" s="610"/>
      <c r="L314" s="610"/>
      <c r="M314" s="610"/>
    </row>
    <row r="315" spans="1:13">
      <c r="A315" s="610"/>
      <c r="B315" s="610"/>
      <c r="C315" s="610"/>
      <c r="D315" s="610"/>
      <c r="E315" s="610" t="s">
        <v>870</v>
      </c>
      <c r="F315" s="610"/>
      <c r="G315" s="610"/>
      <c r="H315" s="610"/>
      <c r="I315" s="610"/>
      <c r="J315" s="610"/>
      <c r="K315" s="610"/>
      <c r="L315" s="610"/>
      <c r="M315" s="610"/>
    </row>
    <row r="316" spans="1:13">
      <c r="A316" s="610"/>
      <c r="B316" s="610"/>
      <c r="C316" s="610"/>
      <c r="D316" s="610"/>
      <c r="E316" s="610" t="s">
        <v>871</v>
      </c>
      <c r="F316" s="610"/>
      <c r="G316" s="610"/>
      <c r="H316" s="610"/>
      <c r="I316" s="610"/>
      <c r="J316" s="610"/>
      <c r="K316" s="610"/>
      <c r="L316" s="610"/>
      <c r="M316" s="610"/>
    </row>
    <row r="317" spans="1:13">
      <c r="A317" s="610"/>
      <c r="B317" s="610"/>
      <c r="C317" s="610"/>
      <c r="D317" s="610"/>
      <c r="E317" s="610" t="s">
        <v>872</v>
      </c>
      <c r="F317" s="610"/>
      <c r="G317" s="610"/>
      <c r="H317" s="610"/>
      <c r="I317" s="610"/>
      <c r="J317" s="610"/>
      <c r="K317" s="610"/>
      <c r="L317" s="610"/>
      <c r="M317" s="610"/>
    </row>
    <row r="318" spans="1:13">
      <c r="A318" s="610"/>
      <c r="B318" s="610"/>
      <c r="C318" s="610"/>
      <c r="D318" s="610"/>
      <c r="E318" s="610" t="s">
        <v>873</v>
      </c>
      <c r="F318" s="610"/>
      <c r="G318" s="610"/>
      <c r="H318" s="610"/>
      <c r="I318" s="610"/>
      <c r="J318" s="610"/>
      <c r="K318" s="610"/>
      <c r="L318" s="610"/>
      <c r="M318" s="610"/>
    </row>
    <row r="319" spans="1:13">
      <c r="A319" s="610"/>
      <c r="B319" s="610"/>
      <c r="C319" s="610"/>
      <c r="D319" s="610"/>
      <c r="E319" s="610" t="s">
        <v>874</v>
      </c>
      <c r="F319" s="610"/>
      <c r="G319" s="610"/>
      <c r="H319" s="610"/>
      <c r="I319" s="610"/>
      <c r="J319" s="610"/>
      <c r="K319" s="610"/>
      <c r="L319" s="610"/>
      <c r="M319" s="610"/>
    </row>
    <row r="320" spans="1:13">
      <c r="A320" s="610"/>
      <c r="B320" s="610"/>
      <c r="C320" s="610"/>
      <c r="D320" s="610"/>
      <c r="E320" s="610" t="s">
        <v>875</v>
      </c>
      <c r="F320" s="610"/>
      <c r="G320" s="610"/>
      <c r="H320" s="610"/>
      <c r="I320" s="610"/>
      <c r="J320" s="610"/>
      <c r="K320" s="610"/>
      <c r="L320" s="610"/>
      <c r="M320" s="610"/>
    </row>
    <row r="321" spans="1:13">
      <c r="A321" s="610"/>
      <c r="B321" s="610"/>
      <c r="C321" s="610"/>
      <c r="D321" s="610"/>
      <c r="E321" s="610" t="s">
        <v>876</v>
      </c>
      <c r="F321" s="610"/>
      <c r="G321" s="610"/>
      <c r="H321" s="610"/>
      <c r="I321" s="610"/>
      <c r="J321" s="610"/>
      <c r="K321" s="610"/>
      <c r="L321" s="610"/>
      <c r="M321" s="610"/>
    </row>
    <row r="322" spans="1:13">
      <c r="A322" s="610"/>
      <c r="B322" s="610"/>
      <c r="C322" s="610"/>
      <c r="D322" s="610"/>
      <c r="E322" s="610" t="s">
        <v>877</v>
      </c>
      <c r="F322" s="610"/>
      <c r="G322" s="610"/>
      <c r="H322" s="610"/>
      <c r="I322" s="610"/>
      <c r="J322" s="610"/>
      <c r="K322" s="610"/>
      <c r="L322" s="610"/>
      <c r="M322" s="610"/>
    </row>
    <row r="323" spans="1:13">
      <c r="A323" s="610"/>
      <c r="B323" s="610"/>
      <c r="C323" s="610"/>
      <c r="D323" s="610"/>
      <c r="E323" s="610" t="s">
        <v>878</v>
      </c>
      <c r="F323" s="610"/>
      <c r="G323" s="610"/>
      <c r="H323" s="610"/>
      <c r="I323" s="610"/>
      <c r="J323" s="610"/>
      <c r="K323" s="610"/>
      <c r="L323" s="610"/>
      <c r="M323" s="610"/>
    </row>
    <row r="324" spans="1:13">
      <c r="A324" s="610"/>
      <c r="B324" s="610"/>
      <c r="C324" s="610"/>
      <c r="D324" s="610"/>
      <c r="E324" s="610" t="s">
        <v>879</v>
      </c>
      <c r="F324" s="610"/>
      <c r="G324" s="610"/>
      <c r="H324" s="610"/>
      <c r="I324" s="610"/>
      <c r="J324" s="610"/>
      <c r="K324" s="610"/>
      <c r="L324" s="610"/>
      <c r="M324" s="610"/>
    </row>
    <row r="325" spans="1:13">
      <c r="A325" s="610"/>
      <c r="B325" s="610"/>
      <c r="C325" s="610"/>
      <c r="D325" s="610"/>
      <c r="E325" s="610" t="s">
        <v>880</v>
      </c>
      <c r="F325" s="610"/>
      <c r="G325" s="610"/>
      <c r="H325" s="610"/>
      <c r="I325" s="610"/>
      <c r="J325" s="610"/>
      <c r="K325" s="610"/>
      <c r="L325" s="610"/>
      <c r="M325" s="610"/>
    </row>
    <row r="326" spans="1:13">
      <c r="A326" s="610"/>
      <c r="B326" s="610"/>
      <c r="C326" s="610"/>
      <c r="D326" s="610"/>
      <c r="E326" s="610" t="s">
        <v>881</v>
      </c>
      <c r="F326" s="610"/>
      <c r="G326" s="610"/>
      <c r="H326" s="610"/>
      <c r="I326" s="610"/>
      <c r="J326" s="610"/>
      <c r="K326" s="610"/>
      <c r="L326" s="610"/>
      <c r="M326" s="610"/>
    </row>
    <row r="327" spans="1:13">
      <c r="A327" s="610"/>
      <c r="B327" s="610"/>
      <c r="C327" s="610"/>
      <c r="D327" s="610"/>
      <c r="E327" s="610" t="s">
        <v>882</v>
      </c>
      <c r="F327" s="610"/>
      <c r="G327" s="610"/>
      <c r="H327" s="610"/>
      <c r="I327" s="610"/>
      <c r="J327" s="610"/>
      <c r="K327" s="610"/>
      <c r="L327" s="610"/>
      <c r="M327" s="610"/>
    </row>
    <row r="328" spans="1:13">
      <c r="A328" s="610"/>
      <c r="B328" s="610"/>
      <c r="C328" s="610"/>
      <c r="D328" s="610"/>
      <c r="E328" s="610" t="s">
        <v>883</v>
      </c>
      <c r="F328" s="610"/>
      <c r="G328" s="610"/>
      <c r="H328" s="610"/>
      <c r="I328" s="610"/>
      <c r="J328" s="610"/>
      <c r="K328" s="610"/>
      <c r="L328" s="610"/>
      <c r="M328" s="610"/>
    </row>
    <row r="329" spans="1:13">
      <c r="A329" s="610"/>
      <c r="B329" s="610"/>
      <c r="C329" s="610"/>
      <c r="D329" s="610"/>
      <c r="E329" s="610" t="s">
        <v>884</v>
      </c>
      <c r="F329" s="610"/>
      <c r="G329" s="610"/>
      <c r="H329" s="610"/>
      <c r="I329" s="610"/>
      <c r="J329" s="610"/>
      <c r="K329" s="610"/>
      <c r="L329" s="610"/>
      <c r="M329" s="610"/>
    </row>
    <row r="330" spans="1:13">
      <c r="A330" s="610"/>
      <c r="B330" s="610"/>
      <c r="C330" s="610"/>
      <c r="D330" s="610"/>
      <c r="E330" s="610" t="s">
        <v>885</v>
      </c>
      <c r="F330" s="610"/>
      <c r="G330" s="610"/>
      <c r="H330" s="610"/>
      <c r="I330" s="610"/>
      <c r="J330" s="610"/>
      <c r="K330" s="610"/>
      <c r="L330" s="610"/>
      <c r="M330" s="610"/>
    </row>
    <row r="331" spans="1:13">
      <c r="A331" s="610"/>
      <c r="B331" s="610"/>
      <c r="C331" s="610"/>
      <c r="D331" s="610"/>
      <c r="E331" s="610" t="s">
        <v>886</v>
      </c>
      <c r="F331" s="610"/>
      <c r="G331" s="610"/>
      <c r="H331" s="610"/>
      <c r="I331" s="610"/>
      <c r="J331" s="610"/>
      <c r="K331" s="610"/>
      <c r="L331" s="610"/>
      <c r="M331" s="610"/>
    </row>
    <row r="332" spans="1:13">
      <c r="A332" s="610"/>
      <c r="B332" s="610"/>
      <c r="C332" s="610"/>
      <c r="D332" s="610"/>
      <c r="E332" s="610" t="s">
        <v>887</v>
      </c>
      <c r="F332" s="610"/>
      <c r="G332" s="610"/>
      <c r="H332" s="610"/>
      <c r="I332" s="610"/>
      <c r="J332" s="610"/>
      <c r="K332" s="610"/>
      <c r="L332" s="610"/>
      <c r="M332" s="610"/>
    </row>
    <row r="333" spans="1:13">
      <c r="A333" s="610"/>
      <c r="B333" s="610"/>
      <c r="C333" s="610"/>
      <c r="D333" s="610"/>
      <c r="E333" s="610" t="s">
        <v>888</v>
      </c>
      <c r="F333" s="610"/>
      <c r="G333" s="610"/>
      <c r="H333" s="610"/>
      <c r="I333" s="610"/>
      <c r="J333" s="610"/>
      <c r="K333" s="610"/>
      <c r="L333" s="610"/>
      <c r="M333" s="610"/>
    </row>
    <row r="334" spans="1:13">
      <c r="A334" s="610"/>
      <c r="B334" s="610"/>
      <c r="C334" s="610"/>
      <c r="D334" s="610"/>
      <c r="E334" s="610" t="s">
        <v>889</v>
      </c>
      <c r="F334" s="610"/>
      <c r="G334" s="610"/>
      <c r="H334" s="610"/>
      <c r="I334" s="610"/>
      <c r="J334" s="610"/>
      <c r="K334" s="610"/>
      <c r="L334" s="610"/>
      <c r="M334" s="610"/>
    </row>
    <row r="335" spans="1:13">
      <c r="A335" s="610"/>
      <c r="B335" s="610"/>
      <c r="C335" s="610"/>
      <c r="D335" s="610"/>
      <c r="E335" s="610" t="s">
        <v>890</v>
      </c>
      <c r="F335" s="610"/>
      <c r="G335" s="610"/>
      <c r="H335" s="610"/>
      <c r="I335" s="610"/>
      <c r="J335" s="610"/>
      <c r="K335" s="610"/>
      <c r="L335" s="610"/>
      <c r="M335" s="610"/>
    </row>
    <row r="336" spans="1:13">
      <c r="A336" s="610"/>
      <c r="B336" s="610"/>
      <c r="C336" s="610"/>
      <c r="D336" s="610"/>
      <c r="E336" s="610" t="s">
        <v>891</v>
      </c>
      <c r="F336" s="610"/>
      <c r="G336" s="610"/>
      <c r="H336" s="610"/>
      <c r="I336" s="610"/>
      <c r="J336" s="610"/>
      <c r="K336" s="610"/>
      <c r="L336" s="610"/>
      <c r="M336" s="610"/>
    </row>
    <row r="337" spans="1:13">
      <c r="A337" s="610"/>
      <c r="B337" s="610"/>
      <c r="C337" s="610"/>
      <c r="D337" s="610"/>
      <c r="E337" s="610" t="s">
        <v>892</v>
      </c>
      <c r="F337" s="610"/>
      <c r="G337" s="610"/>
      <c r="H337" s="610"/>
      <c r="I337" s="610"/>
      <c r="J337" s="610"/>
      <c r="K337" s="610"/>
      <c r="L337" s="610"/>
      <c r="M337" s="610"/>
    </row>
    <row r="338" spans="1:13">
      <c r="A338" s="610"/>
      <c r="B338" s="610"/>
      <c r="C338" s="610"/>
      <c r="D338" s="610"/>
      <c r="E338" s="610" t="s">
        <v>893</v>
      </c>
      <c r="F338" s="610"/>
      <c r="G338" s="610"/>
      <c r="H338" s="610"/>
      <c r="I338" s="610"/>
      <c r="J338" s="610"/>
      <c r="K338" s="610"/>
      <c r="L338" s="610"/>
      <c r="M338" s="610"/>
    </row>
    <row r="339" spans="1:13">
      <c r="A339" s="610"/>
      <c r="B339" s="610"/>
      <c r="C339" s="610"/>
      <c r="D339" s="610"/>
      <c r="E339" s="610" t="s">
        <v>894</v>
      </c>
      <c r="F339" s="610"/>
      <c r="G339" s="610"/>
      <c r="H339" s="610"/>
      <c r="I339" s="610"/>
      <c r="J339" s="610"/>
      <c r="K339" s="610"/>
      <c r="L339" s="610"/>
      <c r="M339" s="610"/>
    </row>
    <row r="340" spans="1:13">
      <c r="A340" s="610"/>
      <c r="B340" s="610"/>
      <c r="C340" s="610"/>
      <c r="D340" s="610"/>
      <c r="E340" s="610" t="s">
        <v>895</v>
      </c>
      <c r="F340" s="610"/>
      <c r="G340" s="610"/>
      <c r="H340" s="610"/>
      <c r="I340" s="610"/>
      <c r="J340" s="610"/>
      <c r="K340" s="610"/>
      <c r="L340" s="610"/>
      <c r="M340" s="610"/>
    </row>
    <row r="341" spans="1:13">
      <c r="A341" s="610"/>
      <c r="B341" s="610"/>
      <c r="C341" s="610"/>
      <c r="D341" s="610"/>
      <c r="E341" s="610" t="s">
        <v>896</v>
      </c>
      <c r="F341" s="610"/>
      <c r="G341" s="610"/>
      <c r="H341" s="610"/>
      <c r="I341" s="610"/>
      <c r="J341" s="610"/>
      <c r="K341" s="610"/>
      <c r="L341" s="610"/>
      <c r="M341" s="610"/>
    </row>
    <row r="342" spans="1:13">
      <c r="A342" s="610"/>
      <c r="B342" s="610"/>
      <c r="C342" s="610"/>
      <c r="D342" s="610"/>
      <c r="E342" s="610" t="s">
        <v>897</v>
      </c>
      <c r="F342" s="610"/>
      <c r="G342" s="610"/>
      <c r="H342" s="610"/>
      <c r="I342" s="610"/>
      <c r="J342" s="610"/>
      <c r="K342" s="610"/>
      <c r="L342" s="610"/>
      <c r="M342" s="610"/>
    </row>
    <row r="343" spans="1:13">
      <c r="A343" s="610"/>
      <c r="B343" s="610"/>
      <c r="C343" s="610"/>
      <c r="D343" s="610"/>
      <c r="E343" s="610" t="s">
        <v>898</v>
      </c>
      <c r="F343" s="610"/>
      <c r="G343" s="610"/>
      <c r="H343" s="610"/>
      <c r="I343" s="610"/>
      <c r="J343" s="610"/>
      <c r="K343" s="610"/>
      <c r="L343" s="610"/>
      <c r="M343" s="610"/>
    </row>
    <row r="344" spans="1:13">
      <c r="A344" s="610"/>
      <c r="B344" s="610"/>
      <c r="C344" s="610"/>
      <c r="D344" s="610"/>
      <c r="E344" s="610" t="s">
        <v>899</v>
      </c>
      <c r="F344" s="610"/>
      <c r="G344" s="610"/>
      <c r="H344" s="610"/>
      <c r="I344" s="610"/>
      <c r="J344" s="610"/>
      <c r="K344" s="610"/>
      <c r="L344" s="610"/>
      <c r="M344" s="610"/>
    </row>
    <row r="345" spans="1:13">
      <c r="A345" s="610"/>
      <c r="B345" s="610"/>
      <c r="C345" s="610"/>
      <c r="D345" s="610"/>
      <c r="E345" s="610" t="s">
        <v>900</v>
      </c>
      <c r="F345" s="610"/>
      <c r="G345" s="610"/>
      <c r="H345" s="610"/>
      <c r="I345" s="610"/>
      <c r="J345" s="610"/>
      <c r="K345" s="610"/>
      <c r="L345" s="610"/>
      <c r="M345" s="610"/>
    </row>
    <row r="346" spans="1:13">
      <c r="A346" s="610"/>
      <c r="B346" s="610"/>
      <c r="C346" s="610"/>
      <c r="D346" s="610"/>
      <c r="E346" s="610" t="s">
        <v>901</v>
      </c>
      <c r="F346" s="610"/>
      <c r="G346" s="610"/>
      <c r="H346" s="610"/>
      <c r="I346" s="610"/>
      <c r="J346" s="610"/>
      <c r="K346" s="610"/>
      <c r="L346" s="610"/>
      <c r="M346" s="610"/>
    </row>
    <row r="347" spans="1:13">
      <c r="A347" s="610"/>
      <c r="B347" s="610"/>
      <c r="C347" s="610"/>
      <c r="D347" s="610"/>
      <c r="E347" s="610" t="s">
        <v>902</v>
      </c>
      <c r="F347" s="610"/>
      <c r="G347" s="610"/>
      <c r="H347" s="610"/>
      <c r="I347" s="610"/>
      <c r="J347" s="610"/>
      <c r="K347" s="610"/>
      <c r="L347" s="610"/>
      <c r="M347" s="610"/>
    </row>
    <row r="348" spans="1:13">
      <c r="A348" s="610"/>
      <c r="B348" s="610"/>
      <c r="C348" s="610"/>
      <c r="D348" s="610"/>
      <c r="E348" s="610" t="s">
        <v>903</v>
      </c>
      <c r="F348" s="610"/>
      <c r="G348" s="610"/>
      <c r="H348" s="610"/>
      <c r="I348" s="610"/>
      <c r="J348" s="610"/>
      <c r="K348" s="610"/>
      <c r="L348" s="610"/>
      <c r="M348" s="610"/>
    </row>
    <row r="349" spans="1:13">
      <c r="A349" s="610"/>
      <c r="B349" s="610"/>
      <c r="C349" s="610"/>
      <c r="D349" s="610"/>
      <c r="E349" s="610" t="s">
        <v>577</v>
      </c>
      <c r="F349" s="610"/>
      <c r="G349" s="610"/>
      <c r="H349" s="610"/>
      <c r="I349" s="610"/>
      <c r="J349" s="610"/>
      <c r="K349" s="610"/>
      <c r="L349" s="610"/>
      <c r="M349" s="610"/>
    </row>
    <row r="350" spans="1:13">
      <c r="A350" s="610"/>
      <c r="B350" s="610"/>
      <c r="C350" s="610"/>
      <c r="D350" s="610"/>
      <c r="E350" s="610" t="s">
        <v>904</v>
      </c>
      <c r="F350" s="23"/>
      <c r="G350" s="610"/>
      <c r="H350" s="610"/>
      <c r="I350" s="610"/>
      <c r="J350" s="610"/>
      <c r="K350" s="610"/>
      <c r="L350" s="610"/>
      <c r="M350" s="610"/>
    </row>
    <row r="351" spans="1:13">
      <c r="A351" s="610"/>
      <c r="B351" s="610"/>
      <c r="C351" s="610"/>
      <c r="D351" s="610"/>
      <c r="E351" s="610" t="s">
        <v>905</v>
      </c>
      <c r="F351" s="23"/>
      <c r="G351" s="610"/>
      <c r="H351" s="610"/>
      <c r="I351" s="610"/>
      <c r="J351" s="610"/>
      <c r="K351" s="610"/>
      <c r="L351" s="610"/>
      <c r="M351" s="610"/>
    </row>
    <row r="352" spans="1:13">
      <c r="A352" s="610"/>
      <c r="B352" s="610"/>
      <c r="C352" s="610"/>
      <c r="D352" s="610"/>
      <c r="E352" s="610" t="s">
        <v>906</v>
      </c>
      <c r="F352" s="23"/>
      <c r="G352" s="610"/>
      <c r="H352" s="610"/>
      <c r="I352" s="610"/>
      <c r="J352" s="610"/>
      <c r="K352" s="610"/>
      <c r="L352" s="610"/>
      <c r="M352" s="610"/>
    </row>
    <row r="353" spans="4:4">
      <c r="D353" s="610"/>
    </row>
    <row r="354" spans="4:4">
      <c r="D354" s="610"/>
    </row>
    <row r="355" spans="4:4">
      <c r="D355" s="610"/>
    </row>
    <row r="356" spans="4:4">
      <c r="D356" s="61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Jewel, Amy</dc:creator>
  <cp:keywords/>
  <dc:description/>
  <cp:lastModifiedBy>Guest User</cp:lastModifiedBy>
  <cp:revision/>
  <dcterms:created xsi:type="dcterms:W3CDTF">2009-06-18T20:03:52Z</dcterms:created>
  <dcterms:modified xsi:type="dcterms:W3CDTF">2020-12-10T17:31:34Z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5bbf31dd-035e-44b4-b399-a4214514149d</vt:lpwstr>
  </property>
</Properties>
</file>