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jenna\Downloads\"/>
    </mc:Choice>
  </mc:AlternateContent>
  <xr:revisionPtr revIDLastSave="0" documentId="13_ncr:1_{7A6B6856-AFF2-45E3-9BEC-F7F683C43838}" xr6:coauthVersionLast="47" xr6:coauthVersionMax="47" xr10:uidLastSave="{00000000-0000-0000-0000-000000000000}"/>
  <bookViews>
    <workbookView xWindow="-110" yWindow="-110" windowWidth="19420" windowHeight="11500" firstSheet="13" activeTab="18" xr2:uid="{144092DC-6B8E-4F85-A784-805FD40B50EA}"/>
  </bookViews>
  <sheets>
    <sheet name="Eilat Car Data" sheetId="1" r:id="rId1"/>
    <sheet name="2022 Calculations" sheetId="22" r:id="rId2"/>
    <sheet name="2030 Projection" sheetId="4" r:id="rId3"/>
    <sheet name="Projection Editor" sheetId="20" r:id="rId4"/>
    <sheet name="Tier 3 CO2 Tables" sheetId="14" r:id="rId5"/>
    <sheet name="Tier 2 FC" sheetId="7" r:id="rId6"/>
    <sheet name="Tier 1 Coefficients" sheetId="2" r:id="rId7"/>
    <sheet name="Euro Age Table" sheetId="6" r:id="rId8"/>
    <sheet name="T3 N2O PC-Petrol" sheetId="15" r:id="rId9"/>
    <sheet name="T3 N2O LCV-Petrol" sheetId="16" r:id="rId10"/>
    <sheet name="T3 N2O PC-Diesel LPG" sheetId="17" r:id="rId11"/>
    <sheet name="T3 N2O HDV" sheetId="18" r:id="rId12"/>
    <sheet name="T3 Methane" sheetId="19" r:id="rId13"/>
    <sheet name="T2 PC" sheetId="9" r:id="rId14"/>
    <sheet name="T2 LPG" sheetId="11" r:id="rId15"/>
    <sheet name="T2 HDV" sheetId="12" r:id="rId16"/>
    <sheet name="T2 Bus" sheetId="10" r:id="rId17"/>
    <sheet name="T2 L-Cat" sheetId="13" r:id="rId18"/>
    <sheet name="T3 Oil Consumption" sheetId="8" r:id="rId19"/>
  </sheets>
  <calcPr calcId="191029" iterate="1" iterateCount="1" calcOnSave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6" i="20" l="1"/>
  <c r="AF16" i="20"/>
  <c r="AG16" i="20"/>
  <c r="AH16" i="20"/>
  <c r="AE17" i="20"/>
  <c r="AF17" i="20"/>
  <c r="AG17" i="20"/>
  <c r="AH17" i="20"/>
  <c r="AE18" i="20"/>
  <c r="AF18" i="20"/>
  <c r="AG18" i="20"/>
  <c r="AH18" i="20"/>
  <c r="AE19" i="20"/>
  <c r="AF19" i="20"/>
  <c r="AG19" i="20"/>
  <c r="AH19" i="20"/>
  <c r="AE20" i="20"/>
  <c r="AF20" i="20"/>
  <c r="AG20" i="20"/>
  <c r="AH20" i="20"/>
  <c r="AE21" i="20"/>
  <c r="AF21" i="20"/>
  <c r="AG21" i="20"/>
  <c r="AH21" i="20"/>
  <c r="AE22" i="20"/>
  <c r="AF22" i="20"/>
  <c r="AG22" i="20"/>
  <c r="AH22" i="20"/>
  <c r="AE24" i="20"/>
  <c r="AF24" i="20"/>
  <c r="AG24" i="20"/>
  <c r="AH24" i="20"/>
  <c r="AE25" i="20"/>
  <c r="AF25" i="20"/>
  <c r="AG25" i="20"/>
  <c r="AH25" i="20"/>
  <c r="AE26" i="20"/>
  <c r="AF26" i="20"/>
  <c r="AG26" i="20"/>
  <c r="AH26" i="20"/>
  <c r="AE27" i="20"/>
  <c r="AF27" i="20"/>
  <c r="AG27" i="20"/>
  <c r="AH27" i="20"/>
  <c r="AE28" i="20"/>
  <c r="AF28" i="20"/>
  <c r="AG28" i="20"/>
  <c r="AH28" i="20"/>
  <c r="AE29" i="20"/>
  <c r="AF29" i="20"/>
  <c r="AG29" i="20"/>
  <c r="AH29" i="20"/>
  <c r="AE30" i="20"/>
  <c r="AF30" i="20"/>
  <c r="AG30" i="20"/>
  <c r="AH30" i="20"/>
  <c r="AE32" i="20"/>
  <c r="AF32" i="20"/>
  <c r="AG32" i="20"/>
  <c r="AH32" i="20"/>
  <c r="AE33" i="20"/>
  <c r="AF33" i="20"/>
  <c r="AG33" i="20"/>
  <c r="AH33" i="20"/>
  <c r="AE34" i="20"/>
  <c r="AF34" i="20"/>
  <c r="AG34" i="20"/>
  <c r="AH34" i="20"/>
  <c r="AE35" i="20"/>
  <c r="AF35" i="20"/>
  <c r="AG35" i="20"/>
  <c r="AH35" i="20"/>
  <c r="AE36" i="20"/>
  <c r="AF36" i="20"/>
  <c r="AG36" i="20"/>
  <c r="AH36" i="20"/>
  <c r="AE37" i="20"/>
  <c r="AF37" i="20"/>
  <c r="AG37" i="20"/>
  <c r="AH37" i="20"/>
  <c r="AE38" i="20"/>
  <c r="AF38" i="20"/>
  <c r="AG38" i="20"/>
  <c r="AH38" i="20"/>
  <c r="AD17" i="20"/>
  <c r="AD18" i="20"/>
  <c r="AD19" i="20"/>
  <c r="AD20" i="20"/>
  <c r="AD21" i="20"/>
  <c r="AD22" i="20"/>
  <c r="AD24" i="20"/>
  <c r="AD25" i="20"/>
  <c r="AD26" i="20"/>
  <c r="AD27" i="20"/>
  <c r="AD28" i="20"/>
  <c r="AD29" i="20"/>
  <c r="AD30" i="20"/>
  <c r="AD32" i="20"/>
  <c r="AD33" i="20"/>
  <c r="AD34" i="20"/>
  <c r="AD35" i="20"/>
  <c r="AD36" i="20"/>
  <c r="AD37" i="20"/>
  <c r="AD38" i="20"/>
  <c r="AD16" i="20"/>
  <c r="Z33" i="20"/>
  <c r="AI33" i="20" s="1"/>
  <c r="Z34" i="20"/>
  <c r="AI34" i="20" s="1"/>
  <c r="Z35" i="20"/>
  <c r="AI35" i="20" s="1"/>
  <c r="Z36" i="20"/>
  <c r="AI36" i="20" s="1"/>
  <c r="Z37" i="20"/>
  <c r="AI37" i="20" s="1"/>
  <c r="Z32" i="20"/>
  <c r="AI32" i="20" s="1"/>
  <c r="Z25" i="20"/>
  <c r="AI25" i="20" s="1"/>
  <c r="Z26" i="20"/>
  <c r="AI26" i="20" s="1"/>
  <c r="Z27" i="20"/>
  <c r="AI27" i="20" s="1"/>
  <c r="Z28" i="20"/>
  <c r="AI28" i="20" s="1"/>
  <c r="Z29" i="20"/>
  <c r="AI29" i="20" s="1"/>
  <c r="Z24" i="20"/>
  <c r="AI24" i="20" s="1"/>
  <c r="Z17" i="20"/>
  <c r="AI17" i="20" s="1"/>
  <c r="Z18" i="20"/>
  <c r="AI18" i="20" s="1"/>
  <c r="Z19" i="20"/>
  <c r="AI19" i="20" s="1"/>
  <c r="Z20" i="20"/>
  <c r="AI20" i="20" s="1"/>
  <c r="Z21" i="20"/>
  <c r="AI21" i="20" s="1"/>
  <c r="Z16" i="20"/>
  <c r="AI16" i="20" s="1"/>
  <c r="F24" i="20"/>
  <c r="D24" i="20"/>
  <c r="C24" i="20"/>
  <c r="F23" i="20"/>
  <c r="E23" i="20"/>
  <c r="D23" i="20"/>
  <c r="C23" i="20"/>
  <c r="F22" i="20"/>
  <c r="E22" i="20"/>
  <c r="D22" i="20"/>
  <c r="C22" i="20"/>
  <c r="F21" i="20"/>
  <c r="D21" i="20"/>
  <c r="C21" i="20"/>
  <c r="F20" i="20"/>
  <c r="D20" i="20"/>
  <c r="C20" i="20"/>
  <c r="F19" i="20"/>
  <c r="D19" i="20"/>
  <c r="C19" i="20"/>
  <c r="E16" i="20"/>
  <c r="D16" i="20"/>
  <c r="C16" i="20"/>
  <c r="E15" i="20"/>
  <c r="D15" i="20"/>
  <c r="C15" i="20"/>
  <c r="E14" i="20"/>
  <c r="D14" i="20"/>
  <c r="C14" i="20"/>
  <c r="E13" i="20"/>
  <c r="D13" i="20"/>
  <c r="C13" i="20"/>
  <c r="E12" i="20"/>
  <c r="D12" i="20"/>
  <c r="C12" i="20"/>
  <c r="E11" i="20"/>
  <c r="D11" i="20"/>
  <c r="C11" i="20"/>
  <c r="E8" i="20"/>
  <c r="D8" i="20"/>
  <c r="C8" i="20"/>
  <c r="E7" i="20"/>
  <c r="D7" i="20"/>
  <c r="C7" i="20"/>
  <c r="E6" i="20"/>
  <c r="D6" i="20"/>
  <c r="C6" i="20"/>
  <c r="E5" i="20"/>
  <c r="D5" i="20"/>
  <c r="C5" i="20"/>
  <c r="E4" i="20"/>
  <c r="D4" i="20"/>
  <c r="C4" i="20"/>
  <c r="E3" i="20"/>
  <c r="D3" i="20"/>
  <c r="C3" i="20"/>
  <c r="K99" i="20"/>
  <c r="L99" i="20"/>
  <c r="M99" i="20"/>
  <c r="N99" i="20"/>
  <c r="O99" i="20"/>
  <c r="P99" i="20"/>
  <c r="K100" i="20"/>
  <c r="L100" i="20"/>
  <c r="M100" i="20"/>
  <c r="N100" i="20"/>
  <c r="O100" i="20"/>
  <c r="P100" i="20"/>
  <c r="K101" i="20"/>
  <c r="L101" i="20"/>
  <c r="M101" i="20"/>
  <c r="N101" i="20"/>
  <c r="O101" i="20"/>
  <c r="P101" i="20"/>
  <c r="K102" i="20"/>
  <c r="L102" i="20"/>
  <c r="M102" i="20"/>
  <c r="N102" i="20"/>
  <c r="O102" i="20"/>
  <c r="P102" i="20"/>
  <c r="K103" i="20"/>
  <c r="L103" i="20"/>
  <c r="M103" i="20"/>
  <c r="N103" i="20"/>
  <c r="O103" i="20"/>
  <c r="P103" i="20"/>
  <c r="K104" i="20"/>
  <c r="L104" i="20"/>
  <c r="M104" i="20"/>
  <c r="N104" i="20"/>
  <c r="O104" i="20"/>
  <c r="P104" i="20"/>
  <c r="K105" i="20"/>
  <c r="L105" i="20"/>
  <c r="M105" i="20"/>
  <c r="N105" i="20"/>
  <c r="O105" i="20"/>
  <c r="P105" i="20"/>
  <c r="K107" i="20"/>
  <c r="L107" i="20"/>
  <c r="M107" i="20"/>
  <c r="N107" i="20"/>
  <c r="O107" i="20"/>
  <c r="P107" i="20"/>
  <c r="K108" i="20"/>
  <c r="L108" i="20"/>
  <c r="M108" i="20"/>
  <c r="N108" i="20"/>
  <c r="O108" i="20"/>
  <c r="P108" i="20"/>
  <c r="K109" i="20"/>
  <c r="L109" i="20"/>
  <c r="M109" i="20"/>
  <c r="N109" i="20"/>
  <c r="O109" i="20"/>
  <c r="P109" i="20"/>
  <c r="K110" i="20"/>
  <c r="L110" i="20"/>
  <c r="M110" i="20"/>
  <c r="N110" i="20"/>
  <c r="O110" i="20"/>
  <c r="P110" i="20"/>
  <c r="K111" i="20"/>
  <c r="L111" i="20"/>
  <c r="M111" i="20"/>
  <c r="N111" i="20"/>
  <c r="O111" i="20"/>
  <c r="P111" i="20"/>
  <c r="K112" i="20"/>
  <c r="L112" i="20"/>
  <c r="M112" i="20"/>
  <c r="N112" i="20"/>
  <c r="O112" i="20"/>
  <c r="P112" i="20"/>
  <c r="K113" i="20"/>
  <c r="L113" i="20"/>
  <c r="L125" i="20" s="1"/>
  <c r="M113" i="20"/>
  <c r="M125" i="20" s="1"/>
  <c r="N113" i="20"/>
  <c r="N125" i="20" s="1"/>
  <c r="O113" i="20"/>
  <c r="O125" i="20" s="1"/>
  <c r="P113" i="20"/>
  <c r="P125" i="20" s="1"/>
  <c r="K115" i="20"/>
  <c r="L115" i="20"/>
  <c r="M115" i="20"/>
  <c r="N115" i="20"/>
  <c r="O115" i="20"/>
  <c r="P115" i="20"/>
  <c r="K116" i="20"/>
  <c r="L116" i="20"/>
  <c r="M116" i="20"/>
  <c r="N116" i="20"/>
  <c r="O116" i="20"/>
  <c r="P116" i="20"/>
  <c r="K117" i="20"/>
  <c r="L117" i="20"/>
  <c r="M117" i="20"/>
  <c r="N117" i="20"/>
  <c r="O117" i="20"/>
  <c r="P117" i="20"/>
  <c r="K118" i="20"/>
  <c r="L118" i="20"/>
  <c r="M118" i="20"/>
  <c r="N118" i="20"/>
  <c r="O118" i="20"/>
  <c r="P118" i="20"/>
  <c r="K119" i="20"/>
  <c r="L119" i="20"/>
  <c r="M119" i="20"/>
  <c r="N119" i="20"/>
  <c r="O119" i="20"/>
  <c r="P119" i="20"/>
  <c r="K120" i="20"/>
  <c r="L120" i="20"/>
  <c r="M120" i="20"/>
  <c r="N120" i="20"/>
  <c r="O120" i="20"/>
  <c r="P120" i="20"/>
  <c r="K121" i="20"/>
  <c r="L121" i="20"/>
  <c r="M121" i="20"/>
  <c r="N121" i="20"/>
  <c r="O121" i="20"/>
  <c r="P121" i="20"/>
  <c r="J100" i="20"/>
  <c r="J101" i="20"/>
  <c r="J102" i="20"/>
  <c r="J103" i="20"/>
  <c r="J104" i="20"/>
  <c r="J105" i="20"/>
  <c r="J107" i="20"/>
  <c r="J108" i="20"/>
  <c r="J109" i="20"/>
  <c r="J110" i="20"/>
  <c r="J111" i="20"/>
  <c r="J112" i="20"/>
  <c r="J113" i="20"/>
  <c r="J115" i="20"/>
  <c r="J116" i="20"/>
  <c r="J117" i="20"/>
  <c r="J118" i="20"/>
  <c r="J119" i="20"/>
  <c r="J120" i="20"/>
  <c r="J121" i="20"/>
  <c r="J99" i="20"/>
  <c r="G2" i="4"/>
  <c r="B4" i="1"/>
  <c r="Q348" i="22"/>
  <c r="Z347" i="22"/>
  <c r="Z346" i="22"/>
  <c r="G346" i="22"/>
  <c r="I346" i="22" s="1"/>
  <c r="Z345" i="22"/>
  <c r="G345" i="22"/>
  <c r="I345" i="22" s="1"/>
  <c r="Z344" i="22"/>
  <c r="Z343" i="22"/>
  <c r="Z342" i="22"/>
  <c r="Z341" i="22"/>
  <c r="Z340" i="22"/>
  <c r="Z339" i="22"/>
  <c r="Z338" i="22"/>
  <c r="Z337" i="22"/>
  <c r="Z336" i="22"/>
  <c r="Z335" i="22"/>
  <c r="Z334" i="22"/>
  <c r="Z333" i="22"/>
  <c r="Z332" i="22"/>
  <c r="Z331" i="22"/>
  <c r="Z330" i="22"/>
  <c r="Z329" i="22"/>
  <c r="I329" i="22"/>
  <c r="G329" i="22"/>
  <c r="Z328" i="22"/>
  <c r="Z327" i="22"/>
  <c r="Z326" i="22"/>
  <c r="Z325" i="22"/>
  <c r="Z324" i="22"/>
  <c r="Z323" i="22"/>
  <c r="Z322" i="22"/>
  <c r="Z321" i="22"/>
  <c r="Z320" i="22"/>
  <c r="Z319" i="22"/>
  <c r="AA318" i="22"/>
  <c r="X318" i="22" a="1"/>
  <c r="X318" i="22" s="1"/>
  <c r="V318" i="22"/>
  <c r="P318" i="22"/>
  <c r="K318" i="22"/>
  <c r="G318" i="22"/>
  <c r="Z315" i="22"/>
  <c r="Z314" i="22"/>
  <c r="G314" i="22"/>
  <c r="I314" i="22" s="1"/>
  <c r="Z313" i="22"/>
  <c r="Z312" i="22"/>
  <c r="Z311" i="22"/>
  <c r="I311" i="22"/>
  <c r="G311" i="22"/>
  <c r="Z310" i="22"/>
  <c r="R310" i="22"/>
  <c r="O310" i="22"/>
  <c r="P310" i="22" s="1"/>
  <c r="G310" i="22"/>
  <c r="I310" i="22" s="1"/>
  <c r="Z309" i="22"/>
  <c r="G309" i="22"/>
  <c r="I309" i="22" s="1"/>
  <c r="Z308" i="22"/>
  <c r="Z307" i="22"/>
  <c r="Z306" i="22"/>
  <c r="Z305" i="22"/>
  <c r="V305" i="22"/>
  <c r="U305" i="22"/>
  <c r="G305" i="22"/>
  <c r="I305" i="22" s="1"/>
  <c r="Z304" i="22"/>
  <c r="Z303" i="22"/>
  <c r="Z302" i="22"/>
  <c r="Z301" i="22"/>
  <c r="Z300" i="22"/>
  <c r="Z299" i="22"/>
  <c r="Z298" i="22"/>
  <c r="Z297" i="22"/>
  <c r="Z296" i="22"/>
  <c r="AA296" i="22" s="1"/>
  <c r="W296" i="22"/>
  <c r="U296" i="22"/>
  <c r="V296" i="22" s="1"/>
  <c r="J296" i="22"/>
  <c r="K296" i="22" s="1"/>
  <c r="Z295" i="22"/>
  <c r="Z294" i="22"/>
  <c r="Z293" i="22"/>
  <c r="Z292" i="22"/>
  <c r="Z291" i="22"/>
  <c r="Z290" i="22"/>
  <c r="Z289" i="22"/>
  <c r="Z288" i="22"/>
  <c r="Z287" i="22"/>
  <c r="Z286" i="22"/>
  <c r="AA285" i="22"/>
  <c r="Z285" i="22"/>
  <c r="G285" i="22"/>
  <c r="I285" i="22" s="1"/>
  <c r="Z284" i="22"/>
  <c r="Z283" i="22"/>
  <c r="G283" i="22"/>
  <c r="I283" i="22" s="1"/>
  <c r="Z282" i="22"/>
  <c r="Z281" i="22"/>
  <c r="Z280" i="22"/>
  <c r="Z279" i="22"/>
  <c r="Z278" i="22"/>
  <c r="Z277" i="22"/>
  <c r="I277" i="22"/>
  <c r="G277" i="22"/>
  <c r="Z276" i="22"/>
  <c r="Z275" i="22"/>
  <c r="Z274" i="22"/>
  <c r="U274" i="22"/>
  <c r="V274" i="22" s="1"/>
  <c r="R274" i="22"/>
  <c r="O274" i="22"/>
  <c r="P274" i="22" s="1"/>
  <c r="G274" i="22"/>
  <c r="I274" i="22" s="1"/>
  <c r="Z273" i="22"/>
  <c r="W273" i="22"/>
  <c r="U273" i="22"/>
  <c r="V273" i="22" s="1"/>
  <c r="R273" i="22"/>
  <c r="O273" i="22"/>
  <c r="P273" i="22" s="1"/>
  <c r="Q273" i="22" s="1"/>
  <c r="G273" i="22"/>
  <c r="I273" i="22" s="1"/>
  <c r="AA272" i="22"/>
  <c r="Z272" i="22"/>
  <c r="I272" i="22"/>
  <c r="G272" i="22"/>
  <c r="Z271" i="22"/>
  <c r="Z270" i="22"/>
  <c r="Z269" i="22"/>
  <c r="AA268" i="22"/>
  <c r="X268" i="22" a="1"/>
  <c r="X268" i="22" s="1"/>
  <c r="V268" i="22"/>
  <c r="P268" i="22"/>
  <c r="K268" i="22"/>
  <c r="G268" i="22"/>
  <c r="G296" i="22" s="1"/>
  <c r="I296" i="22" s="1"/>
  <c r="Z267" i="22"/>
  <c r="Z266" i="22"/>
  <c r="Z265" i="22"/>
  <c r="Z264" i="22"/>
  <c r="Z263" i="22"/>
  <c r="Z262" i="22"/>
  <c r="Z261" i="22"/>
  <c r="G261" i="22"/>
  <c r="I261" i="22" s="1"/>
  <c r="Z260" i="22"/>
  <c r="Z259" i="22"/>
  <c r="Z258" i="22"/>
  <c r="Z257" i="22"/>
  <c r="G257" i="22"/>
  <c r="I257" i="22" s="1"/>
  <c r="Z256" i="22"/>
  <c r="Z255" i="22"/>
  <c r="Z254" i="22"/>
  <c r="Z253" i="22"/>
  <c r="Z252" i="22"/>
  <c r="Z251" i="22"/>
  <c r="Z250" i="22"/>
  <c r="Z249" i="22"/>
  <c r="Z248" i="22"/>
  <c r="X248" i="22" a="1"/>
  <c r="X248" i="22" s="1"/>
  <c r="Y248" i="22" s="1"/>
  <c r="Z247" i="22"/>
  <c r="Z246" i="22"/>
  <c r="Z245" i="22"/>
  <c r="Z244" i="22"/>
  <c r="Z243" i="22"/>
  <c r="Z242" i="22"/>
  <c r="Z241" i="22"/>
  <c r="G241" i="22"/>
  <c r="I241" i="22" s="1"/>
  <c r="Z240" i="22"/>
  <c r="Z239" i="22"/>
  <c r="G239" i="22"/>
  <c r="I239" i="22" s="1"/>
  <c r="Z238" i="22"/>
  <c r="Z237" i="22"/>
  <c r="Z236" i="22"/>
  <c r="Z235" i="22"/>
  <c r="Z234" i="22"/>
  <c r="Z233" i="22"/>
  <c r="Z232" i="22"/>
  <c r="Z231" i="22"/>
  <c r="Z230" i="22"/>
  <c r="Z229" i="22"/>
  <c r="Z228" i="22"/>
  <c r="Z227" i="22"/>
  <c r="Z226" i="22"/>
  <c r="Z225" i="22"/>
  <c r="Z224" i="22"/>
  <c r="G224" i="22"/>
  <c r="I224" i="22" s="1"/>
  <c r="Z223" i="22"/>
  <c r="G223" i="22"/>
  <c r="I223" i="22" s="1"/>
  <c r="Z222" i="22"/>
  <c r="Z221" i="22"/>
  <c r="Z220" i="22"/>
  <c r="J220" i="22"/>
  <c r="K220" i="22" s="1"/>
  <c r="G220" i="22"/>
  <c r="I220" i="22" s="1"/>
  <c r="Z219" i="22"/>
  <c r="Z218" i="22"/>
  <c r="Z217" i="22"/>
  <c r="Z216" i="22"/>
  <c r="G216" i="22"/>
  <c r="I216" i="22" s="1"/>
  <c r="Z215" i="22"/>
  <c r="Z214" i="22"/>
  <c r="Z213" i="22"/>
  <c r="G213" i="22"/>
  <c r="I213" i="22" s="1"/>
  <c r="Z212" i="22"/>
  <c r="Z211" i="22"/>
  <c r="Z210" i="22"/>
  <c r="Z209" i="22"/>
  <c r="Z208" i="22"/>
  <c r="I208" i="22"/>
  <c r="G208" i="22"/>
  <c r="Z207" i="22"/>
  <c r="Z206" i="22"/>
  <c r="Z205" i="22"/>
  <c r="Z204" i="22"/>
  <c r="Z203" i="22"/>
  <c r="Z202" i="22"/>
  <c r="Z201" i="22"/>
  <c r="Z200" i="22"/>
  <c r="Z199" i="22"/>
  <c r="Z198" i="22"/>
  <c r="Z197" i="22"/>
  <c r="Z196" i="22"/>
  <c r="Z195" i="22"/>
  <c r="Z194" i="22"/>
  <c r="G194" i="22"/>
  <c r="I194" i="22" s="1"/>
  <c r="Z193" i="22"/>
  <c r="Z192" i="22"/>
  <c r="Z191" i="22"/>
  <c r="Z190" i="22"/>
  <c r="Z189" i="22"/>
  <c r="Z188" i="22"/>
  <c r="Z187" i="22"/>
  <c r="Z186" i="22"/>
  <c r="G186" i="22"/>
  <c r="I186" i="22" s="1"/>
  <c r="Z185" i="22"/>
  <c r="Z184" i="22"/>
  <c r="Z183" i="22"/>
  <c r="Z182" i="22"/>
  <c r="Z181" i="22"/>
  <c r="U181" i="22"/>
  <c r="V181" i="22" s="1"/>
  <c r="S181" i="22"/>
  <c r="G181" i="22"/>
  <c r="I181" i="22" s="1"/>
  <c r="Z180" i="22"/>
  <c r="Z179" i="22"/>
  <c r="Z178" i="22"/>
  <c r="Z177" i="22"/>
  <c r="Z176" i="22"/>
  <c r="G176" i="22"/>
  <c r="I176" i="22" s="1"/>
  <c r="Z175" i="22"/>
  <c r="Z174" i="22"/>
  <c r="W174" i="22"/>
  <c r="O174" i="22"/>
  <c r="P174" i="22" s="1"/>
  <c r="G174" i="22"/>
  <c r="I174" i="22" s="1"/>
  <c r="Z173" i="22"/>
  <c r="Z172" i="22"/>
  <c r="Z171" i="22"/>
  <c r="Z170" i="22"/>
  <c r="Z169" i="22"/>
  <c r="Z168" i="22"/>
  <c r="G168" i="22"/>
  <c r="I168" i="22" s="1"/>
  <c r="Z167" i="22"/>
  <c r="AA166" i="22"/>
  <c r="X166" i="22" a="1"/>
  <c r="X166" i="22" s="1"/>
  <c r="V166" i="22"/>
  <c r="P166" i="22"/>
  <c r="K166" i="22"/>
  <c r="G166" i="22"/>
  <c r="Z165" i="22"/>
  <c r="G165" i="22"/>
  <c r="I165" i="22" s="1"/>
  <c r="Z164" i="22"/>
  <c r="AA164" i="22" s="1"/>
  <c r="G164" i="22"/>
  <c r="I164" i="22" s="1"/>
  <c r="Z163" i="22"/>
  <c r="Z162" i="22"/>
  <c r="Z161" i="22"/>
  <c r="Z160" i="22"/>
  <c r="Z159" i="22"/>
  <c r="Z158" i="22"/>
  <c r="X157" i="22" a="1"/>
  <c r="X157" i="22" s="1"/>
  <c r="Y157" i="22" s="1"/>
  <c r="Z157" i="22" s="1"/>
  <c r="G156" i="22"/>
  <c r="I156" i="22" s="1"/>
  <c r="Z154" i="22"/>
  <c r="S154" i="22"/>
  <c r="G154" i="22"/>
  <c r="I154" i="22" s="1"/>
  <c r="Z153" i="22"/>
  <c r="Z152" i="22"/>
  <c r="Z151" i="22"/>
  <c r="G151" i="22"/>
  <c r="I151" i="22" s="1"/>
  <c r="Z150" i="22"/>
  <c r="Z149" i="22"/>
  <c r="G149" i="22"/>
  <c r="I149" i="22" s="1"/>
  <c r="J149" i="22" s="1"/>
  <c r="K149" i="22" s="1"/>
  <c r="Z148" i="22"/>
  <c r="Z147" i="22"/>
  <c r="Z146" i="22"/>
  <c r="Z145" i="22"/>
  <c r="Z144" i="22"/>
  <c r="Z143" i="22"/>
  <c r="Z142" i="22"/>
  <c r="Z141" i="22"/>
  <c r="Z140" i="22"/>
  <c r="Z139" i="22"/>
  <c r="W136" i="22"/>
  <c r="AA134" i="22"/>
  <c r="X134" i="22" a="1"/>
  <c r="X134" i="22" s="1"/>
  <c r="V134" i="22"/>
  <c r="P134" i="22"/>
  <c r="K134" i="22"/>
  <c r="G134" i="22"/>
  <c r="G136" i="22" s="1"/>
  <c r="I136" i="22" s="1"/>
  <c r="Z133" i="22"/>
  <c r="Z132" i="22"/>
  <c r="Z131" i="22"/>
  <c r="Z130" i="22"/>
  <c r="Z129" i="22"/>
  <c r="Z128" i="22"/>
  <c r="Z127" i="22"/>
  <c r="Z126" i="22"/>
  <c r="Z125" i="22"/>
  <c r="Z124" i="22"/>
  <c r="Z123" i="22"/>
  <c r="Z122" i="22"/>
  <c r="Z121" i="22"/>
  <c r="Z120" i="22"/>
  <c r="Z119" i="22"/>
  <c r="Z118" i="22"/>
  <c r="Z117" i="22"/>
  <c r="Z116" i="22"/>
  <c r="Z115" i="22"/>
  <c r="Z114" i="22"/>
  <c r="Z113" i="22"/>
  <c r="Z112" i="22"/>
  <c r="G100" i="22"/>
  <c r="I100" i="22" s="1"/>
  <c r="G97" i="22"/>
  <c r="I97" i="22" s="1"/>
  <c r="AA95" i="22"/>
  <c r="X95" i="22" a="1"/>
  <c r="X95" i="22" s="1"/>
  <c r="V95" i="22"/>
  <c r="P95" i="22"/>
  <c r="K95" i="22"/>
  <c r="G95" i="22"/>
  <c r="Z94" i="22"/>
  <c r="Z93" i="22"/>
  <c r="Z92" i="22"/>
  <c r="Z91" i="22"/>
  <c r="Z90" i="22"/>
  <c r="Z89" i="22"/>
  <c r="Z88" i="22"/>
  <c r="Z87" i="22"/>
  <c r="Z86" i="22"/>
  <c r="Z85" i="22"/>
  <c r="Z84" i="22"/>
  <c r="Z64" i="22"/>
  <c r="Z63" i="22"/>
  <c r="Z62" i="22"/>
  <c r="Z61" i="22"/>
  <c r="Z60" i="22"/>
  <c r="Z59" i="22"/>
  <c r="Z58" i="22"/>
  <c r="Z57" i="22"/>
  <c r="Z56" i="22"/>
  <c r="Z55" i="22"/>
  <c r="Z54" i="22"/>
  <c r="Z53" i="22"/>
  <c r="Z52" i="22"/>
  <c r="Z51" i="22"/>
  <c r="Z50" i="22"/>
  <c r="Z49" i="22"/>
  <c r="Z48" i="22"/>
  <c r="Z47" i="22"/>
  <c r="Z46" i="22"/>
  <c r="Z45" i="22"/>
  <c r="Z44" i="22"/>
  <c r="Z43" i="22"/>
  <c r="Z42" i="22"/>
  <c r="Z41" i="22"/>
  <c r="Z40" i="22"/>
  <c r="Z39" i="22"/>
  <c r="Z38" i="22"/>
  <c r="Z37" i="22"/>
  <c r="Z36" i="22"/>
  <c r="Z35" i="22"/>
  <c r="Z34" i="22"/>
  <c r="Z33" i="22"/>
  <c r="Z32" i="22"/>
  <c r="Z31" i="22"/>
  <c r="Z30" i="22"/>
  <c r="Z29" i="22"/>
  <c r="Z28" i="22"/>
  <c r="Z27" i="22"/>
  <c r="Z26" i="22"/>
  <c r="Z25" i="22"/>
  <c r="Z24" i="22"/>
  <c r="AA95" i="4"/>
  <c r="AA134" i="4"/>
  <c r="AA166" i="4"/>
  <c r="AA268" i="4"/>
  <c r="AA318" i="4"/>
  <c r="Z311" i="4"/>
  <c r="Z312" i="4"/>
  <c r="Z313" i="4"/>
  <c r="Z314" i="4"/>
  <c r="Z315" i="4"/>
  <c r="Z310" i="4"/>
  <c r="Z305" i="4"/>
  <c r="Z306" i="4"/>
  <c r="Z307" i="4"/>
  <c r="Z308" i="4"/>
  <c r="Z309" i="4"/>
  <c r="Z304" i="4"/>
  <c r="Z300" i="4"/>
  <c r="Z301" i="4"/>
  <c r="Z302" i="4"/>
  <c r="Z303" i="4"/>
  <c r="Z299" i="4"/>
  <c r="Z294" i="4"/>
  <c r="Z295" i="4"/>
  <c r="Z296" i="4"/>
  <c r="Z297" i="4"/>
  <c r="Z298" i="4"/>
  <c r="Z293" i="4"/>
  <c r="Z287" i="4"/>
  <c r="Z288" i="4"/>
  <c r="Z289" i="4"/>
  <c r="Z290" i="4"/>
  <c r="Z291" i="4"/>
  <c r="Z292" i="4"/>
  <c r="Z286" i="4"/>
  <c r="Z280" i="4"/>
  <c r="Z281" i="4"/>
  <c r="Z282" i="4"/>
  <c r="Z283" i="4"/>
  <c r="Z284" i="4"/>
  <c r="Z285" i="4"/>
  <c r="Z279" i="4"/>
  <c r="Z274" i="4"/>
  <c r="Z275" i="4"/>
  <c r="Z276" i="4"/>
  <c r="Z277" i="4"/>
  <c r="Z278" i="4"/>
  <c r="Z273" i="4"/>
  <c r="Z270" i="4"/>
  <c r="Z271" i="4"/>
  <c r="Z272" i="4"/>
  <c r="Z269" i="4"/>
  <c r="Z262" i="4"/>
  <c r="Z263" i="4"/>
  <c r="Z264" i="4"/>
  <c r="Z265" i="4"/>
  <c r="Z266" i="4"/>
  <c r="Z267" i="4"/>
  <c r="Z261" i="4"/>
  <c r="Z255" i="4"/>
  <c r="Z256" i="4"/>
  <c r="Z257" i="4"/>
  <c r="Z258" i="4"/>
  <c r="Z259" i="4"/>
  <c r="Z260" i="4"/>
  <c r="Z254" i="4"/>
  <c r="Z248" i="4"/>
  <c r="Z249" i="4"/>
  <c r="Z250" i="4"/>
  <c r="Z251" i="4"/>
  <c r="Z252" i="4"/>
  <c r="Z253" i="4"/>
  <c r="Z247" i="4"/>
  <c r="Z241" i="4"/>
  <c r="Z242" i="4"/>
  <c r="Z243" i="4"/>
  <c r="Z244" i="4"/>
  <c r="Z245" i="4"/>
  <c r="Z246" i="4"/>
  <c r="Z240" i="4"/>
  <c r="Z234" i="4"/>
  <c r="Z235" i="4"/>
  <c r="Z236" i="4"/>
  <c r="Z237" i="4"/>
  <c r="Z238" i="4"/>
  <c r="Z239" i="4"/>
  <c r="Z233" i="4"/>
  <c r="Z227" i="4"/>
  <c r="Z228" i="4"/>
  <c r="Z229" i="4"/>
  <c r="Z230" i="4"/>
  <c r="Z231" i="4"/>
  <c r="Z232" i="4"/>
  <c r="Z226" i="4"/>
  <c r="Z220" i="4"/>
  <c r="Z221" i="4"/>
  <c r="Z222" i="4"/>
  <c r="Z223" i="4"/>
  <c r="Z224" i="4"/>
  <c r="Z225" i="4"/>
  <c r="Z219" i="4"/>
  <c r="Z214" i="4"/>
  <c r="Z215" i="4"/>
  <c r="Z216" i="4"/>
  <c r="Z217" i="4"/>
  <c r="Z218" i="4"/>
  <c r="Z213" i="4"/>
  <c r="Z207" i="4"/>
  <c r="Z208" i="4"/>
  <c r="Z209" i="4"/>
  <c r="Z210" i="4"/>
  <c r="Z211" i="4"/>
  <c r="Z212" i="4"/>
  <c r="Z206" i="4"/>
  <c r="Z200" i="4"/>
  <c r="Z201" i="4"/>
  <c r="Z202" i="4"/>
  <c r="Z203" i="4"/>
  <c r="Z204" i="4"/>
  <c r="Z205" i="4"/>
  <c r="Z199" i="4"/>
  <c r="Z193" i="4"/>
  <c r="Z194" i="4"/>
  <c r="Z195" i="4"/>
  <c r="Z196" i="4"/>
  <c r="Z197" i="4"/>
  <c r="Z198" i="4"/>
  <c r="Z192" i="4"/>
  <c r="Z186" i="4"/>
  <c r="Z187" i="4"/>
  <c r="Z188" i="4"/>
  <c r="Z189" i="4"/>
  <c r="Z190" i="4"/>
  <c r="Z191" i="4"/>
  <c r="Z185" i="4"/>
  <c r="Z179" i="4"/>
  <c r="Z180" i="4"/>
  <c r="Z181" i="4"/>
  <c r="Z182" i="4"/>
  <c r="Z183" i="4"/>
  <c r="Z184" i="4"/>
  <c r="Z178" i="4"/>
  <c r="Z177" i="4"/>
  <c r="Z176" i="4"/>
  <c r="Z175" i="4"/>
  <c r="Z174" i="4"/>
  <c r="Z168" i="4"/>
  <c r="Z169" i="4"/>
  <c r="Z170" i="4"/>
  <c r="Z171" i="4"/>
  <c r="Z172" i="4"/>
  <c r="Z173" i="4"/>
  <c r="Z167" i="4"/>
  <c r="Z337" i="4"/>
  <c r="Z338" i="4"/>
  <c r="Z339" i="4"/>
  <c r="Z340" i="4"/>
  <c r="Z341" i="4"/>
  <c r="Z342" i="4"/>
  <c r="Z343" i="4"/>
  <c r="Z344" i="4"/>
  <c r="Z345" i="4"/>
  <c r="Z346" i="4"/>
  <c r="Z347" i="4"/>
  <c r="Z336" i="4"/>
  <c r="Z333" i="4"/>
  <c r="Z334" i="4"/>
  <c r="Z335" i="4"/>
  <c r="Z332" i="4"/>
  <c r="Z328" i="4"/>
  <c r="Z329" i="4"/>
  <c r="Z330" i="4"/>
  <c r="Z331" i="4"/>
  <c r="Z327" i="4"/>
  <c r="Z324" i="4"/>
  <c r="Z325" i="4"/>
  <c r="Z326" i="4"/>
  <c r="Z323" i="4"/>
  <c r="Z320" i="4"/>
  <c r="Z321" i="4"/>
  <c r="Z322" i="4"/>
  <c r="Z319" i="4"/>
  <c r="Z165" i="4"/>
  <c r="Z164" i="4"/>
  <c r="Z163" i="4"/>
  <c r="Z161" i="4"/>
  <c r="Z162" i="4"/>
  <c r="Z160" i="4"/>
  <c r="Z159" i="4"/>
  <c r="Z158" i="4"/>
  <c r="Z148" i="4"/>
  <c r="Z149" i="4"/>
  <c r="Z150" i="4"/>
  <c r="Z154" i="4"/>
  <c r="Z153" i="4"/>
  <c r="Z152" i="4"/>
  <c r="Z151" i="4"/>
  <c r="Z147" i="4"/>
  <c r="Z146" i="4"/>
  <c r="Z145" i="4"/>
  <c r="Z144" i="4"/>
  <c r="Z143" i="4"/>
  <c r="Z142" i="4"/>
  <c r="Z141" i="4"/>
  <c r="Z140" i="4"/>
  <c r="Z139" i="4"/>
  <c r="Z128" i="4"/>
  <c r="Z129" i="4"/>
  <c r="Z130" i="4"/>
  <c r="Z131" i="4"/>
  <c r="Z132" i="4"/>
  <c r="Z133" i="4"/>
  <c r="Z127" i="4"/>
  <c r="Z126" i="4"/>
  <c r="Z125" i="4"/>
  <c r="Z124" i="4"/>
  <c r="Z123" i="4"/>
  <c r="Z122" i="4"/>
  <c r="Z119" i="4"/>
  <c r="Z120" i="4"/>
  <c r="Z121" i="4"/>
  <c r="Z118" i="4"/>
  <c r="Z117" i="4"/>
  <c r="Z116" i="4"/>
  <c r="Z115" i="4"/>
  <c r="Z113" i="4"/>
  <c r="Z114" i="4"/>
  <c r="Z112" i="4"/>
  <c r="Z94" i="4"/>
  <c r="Z93" i="4"/>
  <c r="Z92" i="4"/>
  <c r="Z91" i="4"/>
  <c r="Z90" i="4"/>
  <c r="Z89" i="4"/>
  <c r="Z88" i="4"/>
  <c r="Z85" i="4"/>
  <c r="Z86" i="4"/>
  <c r="Z87" i="4"/>
  <c r="Z84" i="4"/>
  <c r="Z59" i="4"/>
  <c r="Z60" i="4"/>
  <c r="Z61" i="4"/>
  <c r="Z62" i="4"/>
  <c r="Z63" i="4"/>
  <c r="Z64" i="4"/>
  <c r="Z58" i="4"/>
  <c r="Z53" i="4"/>
  <c r="Z54" i="4"/>
  <c r="Z55" i="4"/>
  <c r="Z56" i="4"/>
  <c r="Z57" i="4"/>
  <c r="Z52" i="4"/>
  <c r="Z46" i="4"/>
  <c r="Z47" i="4"/>
  <c r="Z48" i="4"/>
  <c r="Z49" i="4"/>
  <c r="Z50" i="4"/>
  <c r="Z51" i="4"/>
  <c r="Z45" i="4"/>
  <c r="Z44" i="4"/>
  <c r="Z43" i="4"/>
  <c r="Z42" i="4"/>
  <c r="Z39" i="4"/>
  <c r="Z40" i="4"/>
  <c r="Z41" i="4"/>
  <c r="Z38" i="4"/>
  <c r="Z35" i="4"/>
  <c r="Z37" i="4"/>
  <c r="Z36" i="4"/>
  <c r="Z32" i="4"/>
  <c r="Z33" i="4"/>
  <c r="Z34" i="4"/>
  <c r="Z31" i="4"/>
  <c r="Z30" i="4"/>
  <c r="Z29" i="4"/>
  <c r="Z28" i="4"/>
  <c r="Z25" i="4"/>
  <c r="Z26" i="4"/>
  <c r="Z27" i="4"/>
  <c r="Z24" i="4"/>
  <c r="X95" i="4" a="1"/>
  <c r="X95" i="4" s="1"/>
  <c r="X134" i="4" a="1"/>
  <c r="X134" i="4" s="1"/>
  <c r="X135" i="4" a="1"/>
  <c r="X135" i="4" s="1"/>
  <c r="Y135" i="4" s="1"/>
  <c r="Z135" i="4" s="1"/>
  <c r="X166" i="4" a="1"/>
  <c r="X166" i="4" s="1"/>
  <c r="X179" i="4" a="1"/>
  <c r="X179" i="4" s="1"/>
  <c r="Y179" i="4" s="1"/>
  <c r="X262" i="4" a="1"/>
  <c r="X262" i="4"/>
  <c r="Y262" i="4" s="1"/>
  <c r="X268" i="4" a="1"/>
  <c r="X268" i="4" s="1"/>
  <c r="X292" i="4" a="1"/>
  <c r="X292" i="4" s="1"/>
  <c r="Y292" i="4" s="1"/>
  <c r="X318" i="4" a="1"/>
  <c r="X318" i="4" s="1"/>
  <c r="F6" i="6"/>
  <c r="G6" i="6" s="1"/>
  <c r="X137" i="4" s="1" a="1"/>
  <c r="X137" i="4" s="1"/>
  <c r="Y137" i="4" s="1"/>
  <c r="Z137" i="4" s="1"/>
  <c r="F7" i="6"/>
  <c r="G7" i="6" s="1"/>
  <c r="X19" i="4" s="1" a="1"/>
  <c r="X19" i="4" s="1"/>
  <c r="Y19" i="4" s="1"/>
  <c r="Z19" i="4" s="1"/>
  <c r="F8" i="6"/>
  <c r="G8" i="6" s="1"/>
  <c r="X257" i="22" s="1" a="1"/>
  <c r="X257" i="22" s="1"/>
  <c r="Y257" i="22" s="1"/>
  <c r="F11" i="6"/>
  <c r="G11" i="6" s="1"/>
  <c r="X117" i="22" s="1" a="1"/>
  <c r="X117" i="22" s="1"/>
  <c r="Y117" i="22" s="1"/>
  <c r="E6" i="6"/>
  <c r="E7" i="6"/>
  <c r="E8" i="6"/>
  <c r="E9" i="6"/>
  <c r="F9" i="6" s="1"/>
  <c r="G9" i="6" s="1"/>
  <c r="E10" i="6"/>
  <c r="F10" i="6" s="1"/>
  <c r="G10" i="6" s="1"/>
  <c r="E5" i="6"/>
  <c r="F5" i="6" s="1"/>
  <c r="G5" i="6" s="1"/>
  <c r="V95" i="4"/>
  <c r="V134" i="4"/>
  <c r="V166" i="4"/>
  <c r="V268" i="4"/>
  <c r="V318" i="4"/>
  <c r="Q348" i="4"/>
  <c r="P95" i="4"/>
  <c r="P134" i="4"/>
  <c r="P166" i="4"/>
  <c r="P268" i="4"/>
  <c r="P318" i="4"/>
  <c r="K95" i="4"/>
  <c r="K134" i="4"/>
  <c r="K166" i="4"/>
  <c r="K268" i="4"/>
  <c r="K318" i="4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G24" i="7"/>
  <c r="H24" i="7" s="1"/>
  <c r="I24" i="7" s="1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48" i="7"/>
  <c r="F40" i="7"/>
  <c r="F41" i="7"/>
  <c r="F42" i="7"/>
  <c r="F43" i="7"/>
  <c r="F44" i="7"/>
  <c r="F45" i="7"/>
  <c r="F46" i="7"/>
  <c r="F47" i="7"/>
  <c r="F39" i="7"/>
  <c r="F31" i="7"/>
  <c r="F32" i="7"/>
  <c r="F33" i="7"/>
  <c r="F34" i="7"/>
  <c r="F35" i="7"/>
  <c r="F36" i="7"/>
  <c r="F37" i="7"/>
  <c r="F38" i="7"/>
  <c r="F24" i="7"/>
  <c r="F25" i="7"/>
  <c r="G25" i="7" s="1"/>
  <c r="H25" i="7" s="1"/>
  <c r="I25" i="7" s="1"/>
  <c r="F2" i="7"/>
  <c r="G2" i="7" s="1"/>
  <c r="H2" i="7" s="1"/>
  <c r="I2" i="7" s="1"/>
  <c r="J2" i="7" s="1"/>
  <c r="H15" i="1"/>
  <c r="E15" i="1"/>
  <c r="F15" i="1" s="1"/>
  <c r="F16" i="1"/>
  <c r="E16" i="1"/>
  <c r="C16" i="1"/>
  <c r="B16" i="1"/>
  <c r="D4" i="1"/>
  <c r="H5" i="1"/>
  <c r="H8" i="1"/>
  <c r="C15" i="1"/>
  <c r="B15" i="1"/>
  <c r="G2" i="22" s="1"/>
  <c r="F5" i="1"/>
  <c r="F6" i="1"/>
  <c r="H6" i="1" s="1"/>
  <c r="F7" i="1"/>
  <c r="H7" i="1" s="1"/>
  <c r="F8" i="1"/>
  <c r="F9" i="1"/>
  <c r="H9" i="1" s="1"/>
  <c r="F10" i="1"/>
  <c r="H10" i="1" s="1"/>
  <c r="F11" i="1"/>
  <c r="H11" i="1" s="1"/>
  <c r="F4" i="1"/>
  <c r="H4" i="1" s="1"/>
  <c r="L124" i="20" l="1"/>
  <c r="P124" i="20"/>
  <c r="O124" i="20"/>
  <c r="N124" i="20"/>
  <c r="M124" i="20"/>
  <c r="X319" i="22" a="1"/>
  <c r="X319" i="22" s="1"/>
  <c r="Y319" i="22" s="1"/>
  <c r="X323" i="4" a="1"/>
  <c r="X323" i="4" s="1"/>
  <c r="Y323" i="4" s="1"/>
  <c r="X131" i="22" a="1"/>
  <c r="X131" i="22" s="1"/>
  <c r="Y131" i="22" s="1"/>
  <c r="X196" i="4" a="1"/>
  <c r="X196" i="4" s="1"/>
  <c r="Y196" i="4" s="1"/>
  <c r="X264" i="4" a="1"/>
  <c r="X264" i="4" s="1"/>
  <c r="Y264" i="4" s="1"/>
  <c r="X81" i="22" a="1"/>
  <c r="X81" i="22" s="1"/>
  <c r="Y81" i="22" s="1"/>
  <c r="Z81" i="22" s="1"/>
  <c r="X7" i="22" a="1"/>
  <c r="X7" i="22" s="1"/>
  <c r="Y7" i="22" s="1"/>
  <c r="Z7" i="22" s="1"/>
  <c r="AA7" i="22" s="1"/>
  <c r="X163" i="4" a="1"/>
  <c r="X163" i="4" s="1"/>
  <c r="Y163" i="4" s="1"/>
  <c r="X7" i="4" a="1"/>
  <c r="X7" i="4" s="1"/>
  <c r="Y7" i="4" s="1"/>
  <c r="Z7" i="4" s="1"/>
  <c r="X70" i="4" a="1"/>
  <c r="X70" i="4" s="1"/>
  <c r="Y70" i="4" s="1"/>
  <c r="Z70" i="4" s="1"/>
  <c r="X296" i="22" a="1"/>
  <c r="X296" i="22" s="1"/>
  <c r="Y296" i="22" s="1"/>
  <c r="X102" i="4" a="1"/>
  <c r="X102" i="4" s="1"/>
  <c r="Y102" i="4" s="1"/>
  <c r="Z102" i="4" s="1"/>
  <c r="X73" i="4" a="1"/>
  <c r="X73" i="4" s="1"/>
  <c r="X123" i="22" a="1"/>
  <c r="X123" i="22" s="1"/>
  <c r="Y123" i="22" s="1"/>
  <c r="X74" i="4" a="1"/>
  <c r="X74" i="4" s="1"/>
  <c r="Y74" i="4" s="1"/>
  <c r="Z74" i="4" s="1"/>
  <c r="X103" i="22" a="1"/>
  <c r="X103" i="22" s="1"/>
  <c r="Y103" i="22" s="1"/>
  <c r="Z103" i="22" s="1"/>
  <c r="X314" i="22" a="1"/>
  <c r="X314" i="22" s="1"/>
  <c r="Y314" i="22" s="1"/>
  <c r="X172" i="4" a="1"/>
  <c r="X172" i="4" s="1"/>
  <c r="Y172" i="4" s="1"/>
  <c r="X197" i="4" a="1"/>
  <c r="X197" i="4" s="1"/>
  <c r="Y197" i="4" s="1"/>
  <c r="X82" i="22" a="1"/>
  <c r="X82" i="22" s="1"/>
  <c r="Y82" i="22" s="1"/>
  <c r="Z82" i="22" s="1"/>
  <c r="X164" i="4" a="1"/>
  <c r="X164" i="4" s="1"/>
  <c r="Y164" i="4" s="1"/>
  <c r="X156" i="22" a="1"/>
  <c r="X156" i="22" s="1"/>
  <c r="Y156" i="22" s="1"/>
  <c r="Z156" i="22" s="1"/>
  <c r="AA156" i="22" s="1"/>
  <c r="X195" i="4" a="1"/>
  <c r="X195" i="4" s="1"/>
  <c r="Y195" i="4" s="1"/>
  <c r="X170" i="22" a="1"/>
  <c r="X170" i="22" s="1"/>
  <c r="Y170" i="22" s="1"/>
  <c r="X275" i="22" a="1"/>
  <c r="X275" i="22" s="1"/>
  <c r="Y275" i="22" s="1"/>
  <c r="X255" i="4" a="1"/>
  <c r="X255" i="4" s="1"/>
  <c r="Y255" i="4" s="1"/>
  <c r="X128" i="4" a="1"/>
  <c r="X128" i="4" s="1"/>
  <c r="Y128" i="4" s="1"/>
  <c r="X119" i="22" a="1"/>
  <c r="X119" i="22" s="1"/>
  <c r="Y119" i="22" s="1"/>
  <c r="X130" i="22" a="1"/>
  <c r="X130" i="22" s="1"/>
  <c r="Y130" i="22" s="1"/>
  <c r="X137" i="22" a="1"/>
  <c r="X137" i="22" s="1"/>
  <c r="Y137" i="22" s="1"/>
  <c r="Z137" i="22" s="1"/>
  <c r="X179" i="22" a="1"/>
  <c r="X179" i="22" s="1"/>
  <c r="Y179" i="22" s="1"/>
  <c r="X306" i="4" a="1"/>
  <c r="X306" i="4" s="1"/>
  <c r="Y306" i="4" s="1"/>
  <c r="X54" i="4" a="1"/>
  <c r="X54" i="4" s="1"/>
  <c r="Y54" i="4" s="1"/>
  <c r="X214" i="22" a="1"/>
  <c r="X214" i="22" s="1"/>
  <c r="Y214" i="22" s="1"/>
  <c r="X342" i="22" a="1"/>
  <c r="X342" i="22" s="1"/>
  <c r="Y342" i="22" s="1"/>
  <c r="X348" i="22" a="1"/>
  <c r="X348" i="22" s="1"/>
  <c r="Y348" i="22" s="1"/>
  <c r="X304" i="4" a="1"/>
  <c r="X304" i="4" s="1"/>
  <c r="Y304" i="4" s="1"/>
  <c r="X243" i="4" a="1"/>
  <c r="X243" i="4" s="1"/>
  <c r="Y243" i="4" s="1"/>
  <c r="X52" i="4" a="1"/>
  <c r="X52" i="4" s="1"/>
  <c r="Y52" i="4" s="1"/>
  <c r="X4" i="22" a="1"/>
  <c r="X4" i="22" s="1"/>
  <c r="Y4" i="22" s="1"/>
  <c r="Z4" i="22" s="1"/>
  <c r="AA4" i="22" s="1"/>
  <c r="X52" i="22" a="1"/>
  <c r="X52" i="22" s="1"/>
  <c r="Y52" i="22" s="1"/>
  <c r="X241" i="22" a="1"/>
  <c r="X241" i="22" s="1"/>
  <c r="Y241" i="22" s="1"/>
  <c r="X234" i="4" a="1"/>
  <c r="X234" i="4" s="1"/>
  <c r="Y234" i="4" s="1"/>
  <c r="X101" i="4" a="1"/>
  <c r="X101" i="4" s="1"/>
  <c r="Y101" i="4" s="1"/>
  <c r="Z101" i="4" s="1"/>
  <c r="X5" i="22" a="1"/>
  <c r="X5" i="22" s="1"/>
  <c r="Y5" i="22" s="1"/>
  <c r="Z5" i="22" s="1"/>
  <c r="X343" i="22" a="1"/>
  <c r="X343" i="22" s="1"/>
  <c r="Y343" i="22" s="1"/>
  <c r="X293" i="4" a="1"/>
  <c r="X293" i="4" s="1"/>
  <c r="Y293" i="4" s="1"/>
  <c r="X99" i="4" a="1"/>
  <c r="X99" i="4" s="1"/>
  <c r="Y99" i="4" s="1"/>
  <c r="Z99" i="4" s="1"/>
  <c r="X80" i="22" a="1"/>
  <c r="X80" i="22" s="1"/>
  <c r="Y80" i="22" s="1"/>
  <c r="Z80" i="22" s="1"/>
  <c r="X262" i="22" a="1"/>
  <c r="X262" i="22" s="1"/>
  <c r="Y262" i="22" s="1"/>
  <c r="X209" i="4" a="1"/>
  <c r="X209" i="4" s="1"/>
  <c r="Y209" i="4" s="1"/>
  <c r="X160" i="4" a="1"/>
  <c r="X160" i="4" s="1"/>
  <c r="Y160" i="4" s="1"/>
  <c r="X46" i="22" a="1"/>
  <c r="X46" i="22" s="1"/>
  <c r="Y46" i="22" s="1"/>
  <c r="X144" i="22" a="1"/>
  <c r="X144" i="22" s="1"/>
  <c r="Y144" i="22" s="1"/>
  <c r="X335" i="4" a="1"/>
  <c r="X335" i="4" s="1"/>
  <c r="Y335" i="4" s="1"/>
  <c r="X198" i="4" a="1"/>
  <c r="X198" i="4" s="1"/>
  <c r="Y198" i="4" s="1"/>
  <c r="X91" i="4" a="1"/>
  <c r="X91" i="4" s="1"/>
  <c r="Y91" i="4" s="1"/>
  <c r="X201" i="22" a="1"/>
  <c r="X201" i="22" s="1"/>
  <c r="Y201" i="22" s="1"/>
  <c r="X326" i="4" a="1"/>
  <c r="X326" i="4" s="1"/>
  <c r="Y326" i="4" s="1"/>
  <c r="X138" i="4" a="1"/>
  <c r="X138" i="4" s="1"/>
  <c r="Y138" i="4" s="1"/>
  <c r="Z138" i="4" s="1"/>
  <c r="X75" i="4" a="1"/>
  <c r="X75" i="4" s="1"/>
  <c r="Y75" i="4" s="1"/>
  <c r="Z75" i="4" s="1"/>
  <c r="X18" i="4" a="1"/>
  <c r="X18" i="4" s="1"/>
  <c r="X47" i="22" a="1"/>
  <c r="X47" i="22" s="1"/>
  <c r="Y47" i="22" s="1"/>
  <c r="X227" i="22" a="1"/>
  <c r="X227" i="22" s="1"/>
  <c r="Y227" i="22" s="1"/>
  <c r="X322" i="4" a="1"/>
  <c r="X322" i="4" s="1"/>
  <c r="Y322" i="4" s="1"/>
  <c r="X347" i="22" a="1"/>
  <c r="X347" i="22" s="1"/>
  <c r="Y347" i="22" s="1"/>
  <c r="X40" i="22" a="1"/>
  <c r="X40" i="22" s="1"/>
  <c r="X195" i="22" a="1"/>
  <c r="X195" i="22" s="1"/>
  <c r="Y195" i="22" s="1"/>
  <c r="X69" i="4" a="1"/>
  <c r="X69" i="4" s="1"/>
  <c r="Y69" i="4" s="1"/>
  <c r="Z69" i="4" s="1"/>
  <c r="X293" i="22" a="1"/>
  <c r="X293" i="22" s="1"/>
  <c r="Y293" i="22" s="1"/>
  <c r="X250" i="4" a="1"/>
  <c r="X250" i="4" s="1"/>
  <c r="Y250" i="4" s="1"/>
  <c r="X108" i="4" a="1"/>
  <c r="X108" i="4" s="1"/>
  <c r="Y108" i="4" s="1"/>
  <c r="Z108" i="4" s="1"/>
  <c r="X158" i="22" a="1"/>
  <c r="X158" i="22" s="1"/>
  <c r="Y158" i="22" s="1"/>
  <c r="X346" i="4" a="1"/>
  <c r="X346" i="4" s="1"/>
  <c r="Y346" i="4" s="1"/>
  <c r="X207" i="22" a="1"/>
  <c r="X207" i="22" s="1"/>
  <c r="Y207" i="22" s="1"/>
  <c r="X294" i="4" a="1"/>
  <c r="X294" i="4" s="1"/>
  <c r="Y294" i="4" s="1"/>
  <c r="X112" i="22" a="1"/>
  <c r="X112" i="22" s="1"/>
  <c r="Y112" i="22" s="1"/>
  <c r="X345" i="4" a="1"/>
  <c r="X345" i="4" s="1"/>
  <c r="Y345" i="4" s="1"/>
  <c r="X162" i="4" a="1"/>
  <c r="X162" i="4" s="1"/>
  <c r="Y162" i="4" s="1"/>
  <c r="X39" i="4" a="1"/>
  <c r="X39" i="4" s="1"/>
  <c r="Y39" i="4" s="1"/>
  <c r="X6" i="22" a="1"/>
  <c r="X6" i="22" s="1"/>
  <c r="Y6" i="22" s="1"/>
  <c r="Z6" i="22" s="1"/>
  <c r="X341" i="4" a="1"/>
  <c r="X341" i="4" s="1"/>
  <c r="Y341" i="4" s="1"/>
  <c r="X216" i="4" a="1"/>
  <c r="X216" i="4" s="1"/>
  <c r="Y216" i="4" s="1"/>
  <c r="X161" i="4" a="1"/>
  <c r="X161" i="4" s="1"/>
  <c r="Y161" i="4" s="1"/>
  <c r="X34" i="4" a="1"/>
  <c r="X34" i="4" s="1"/>
  <c r="X200" i="22" a="1"/>
  <c r="X200" i="22" s="1"/>
  <c r="Y200" i="22" s="1"/>
  <c r="X235" i="22" a="1"/>
  <c r="X235" i="22" s="1"/>
  <c r="Y235" i="22" s="1"/>
  <c r="X310" i="22" a="1"/>
  <c r="X310" i="22" s="1"/>
  <c r="Y310" i="22" s="1"/>
  <c r="X326" i="22" a="1"/>
  <c r="X326" i="22" s="1"/>
  <c r="Y326" i="22" s="1"/>
  <c r="X337" i="4" a="1"/>
  <c r="X337" i="4" s="1"/>
  <c r="Y337" i="4" s="1"/>
  <c r="X275" i="4" a="1"/>
  <c r="X275" i="4" s="1"/>
  <c r="Y275" i="4" s="1"/>
  <c r="X93" i="4" a="1"/>
  <c r="X93" i="4" s="1"/>
  <c r="Y93" i="4" s="1"/>
  <c r="X11" i="22" a="1"/>
  <c r="X11" i="22" s="1"/>
  <c r="Y11" i="22" s="1"/>
  <c r="Z11" i="22" s="1"/>
  <c r="X273" i="4" a="1"/>
  <c r="X273" i="4" s="1"/>
  <c r="Y273" i="4" s="1"/>
  <c r="X141" i="4" a="1"/>
  <c r="X141" i="4" s="1"/>
  <c r="Y141" i="4" s="1"/>
  <c r="X20" i="4" a="1"/>
  <c r="X20" i="4" s="1"/>
  <c r="Y20" i="4" s="1"/>
  <c r="Z20" i="4" s="1"/>
  <c r="X280" i="22" a="1"/>
  <c r="X280" i="22" s="1"/>
  <c r="Y280" i="22" s="1"/>
  <c r="X337" i="22" a="1"/>
  <c r="X337" i="22" s="1"/>
  <c r="Y337" i="22" s="1"/>
  <c r="X194" i="22" a="1"/>
  <c r="X194" i="22" s="1"/>
  <c r="Y194" i="22" s="1"/>
  <c r="X317" i="22" a="1"/>
  <c r="X317" i="22" s="1"/>
  <c r="Y317" i="22" s="1"/>
  <c r="X292" i="22" a="1"/>
  <c r="X292" i="22" s="1"/>
  <c r="Y292" i="22" s="1"/>
  <c r="X278" i="22" a="1"/>
  <c r="X278" i="22" s="1"/>
  <c r="Y278" i="22" s="1"/>
  <c r="X147" i="22" a="1"/>
  <c r="X147" i="22" s="1"/>
  <c r="Y147" i="22" s="1"/>
  <c r="X136" i="22" a="1"/>
  <c r="X136" i="22" s="1"/>
  <c r="Y136" i="22" s="1"/>
  <c r="Z136" i="22" s="1"/>
  <c r="AA136" i="22" s="1"/>
  <c r="X23" i="4" a="1"/>
  <c r="X23" i="4" s="1"/>
  <c r="Y23" i="4" s="1"/>
  <c r="Z23" i="4" s="1"/>
  <c r="X94" i="4" a="1"/>
  <c r="X94" i="4" s="1"/>
  <c r="Y94" i="4" s="1"/>
  <c r="X111" i="4" a="1"/>
  <c r="X111" i="4" s="1"/>
  <c r="Y111" i="4" s="1"/>
  <c r="Z111" i="4" s="1"/>
  <c r="X298" i="4" a="1"/>
  <c r="X298" i="4" s="1"/>
  <c r="Y298" i="4" s="1"/>
  <c r="X239" i="22" a="1"/>
  <c r="X239" i="22" s="1"/>
  <c r="Y239" i="22" s="1"/>
  <c r="X218" i="22" a="1"/>
  <c r="X218" i="22" s="1"/>
  <c r="Y218" i="22" s="1"/>
  <c r="X142" i="22" a="1"/>
  <c r="X142" i="22" s="1"/>
  <c r="Y142" i="22" s="1"/>
  <c r="X126" i="22" a="1"/>
  <c r="X126" i="22" s="1"/>
  <c r="Y126" i="22" s="1"/>
  <c r="X75" i="22" a="1"/>
  <c r="X75" i="22" s="1"/>
  <c r="Y75" i="22" s="1"/>
  <c r="Z75" i="22" s="1"/>
  <c r="X37" i="22" a="1"/>
  <c r="X37" i="22" s="1"/>
  <c r="Y37" i="22" s="1"/>
  <c r="X9" i="22" a="1"/>
  <c r="X9" i="22" s="1"/>
  <c r="Y9" i="22" s="1"/>
  <c r="Z9" i="22" s="1"/>
  <c r="X68" i="4" a="1"/>
  <c r="X68" i="4" s="1"/>
  <c r="Y68" i="4" s="1"/>
  <c r="Z68" i="4" s="1"/>
  <c r="X157" i="4" a="1"/>
  <c r="X157" i="4" s="1"/>
  <c r="Y157" i="4" s="1"/>
  <c r="Z157" i="4" s="1"/>
  <c r="X175" i="4" a="1"/>
  <c r="X175" i="4" s="1"/>
  <c r="Y175" i="4" s="1"/>
  <c r="X184" i="4" a="1"/>
  <c r="X184" i="4" s="1"/>
  <c r="Y184" i="4" s="1"/>
  <c r="X212" i="4" a="1"/>
  <c r="X212" i="4" s="1"/>
  <c r="Y212" i="4" s="1"/>
  <c r="X265" i="22" a="1"/>
  <c r="X265" i="22" s="1"/>
  <c r="Y265" i="22" s="1"/>
  <c r="X260" i="22" a="1"/>
  <c r="X260" i="22" s="1"/>
  <c r="Y260" i="22" s="1"/>
  <c r="X198" i="22" a="1"/>
  <c r="X198" i="22" s="1"/>
  <c r="Y198" i="22" s="1"/>
  <c r="X165" i="22" a="1"/>
  <c r="X165" i="22" s="1"/>
  <c r="Y165" i="22" s="1"/>
  <c r="X51" i="4" a="1"/>
  <c r="X51" i="4" s="1"/>
  <c r="Y51" i="4" s="1"/>
  <c r="X77" i="4" a="1"/>
  <c r="X77" i="4" s="1"/>
  <c r="Y77" i="4" s="1"/>
  <c r="X104" i="4" a="1"/>
  <c r="X104" i="4" s="1"/>
  <c r="Y104" i="4" s="1"/>
  <c r="Z104" i="4" s="1"/>
  <c r="X140" i="4" a="1"/>
  <c r="X140" i="4" s="1"/>
  <c r="Y140" i="4" s="1"/>
  <c r="X309" i="4" a="1"/>
  <c r="X309" i="4" s="1"/>
  <c r="Y309" i="4" s="1"/>
  <c r="X317" i="4" a="1"/>
  <c r="X317" i="4" s="1"/>
  <c r="Y317" i="4" s="1"/>
  <c r="X97" i="22" a="1"/>
  <c r="X97" i="22" s="1"/>
  <c r="Y97" i="22" s="1"/>
  <c r="Z97" i="22" s="1"/>
  <c r="AA97" i="22" s="1"/>
  <c r="X51" i="22" a="1"/>
  <c r="X51" i="22" s="1"/>
  <c r="Y51" i="22" s="1"/>
  <c r="X117" i="4" a="1"/>
  <c r="X117" i="4" s="1"/>
  <c r="Y117" i="4" s="1"/>
  <c r="X142" i="4" a="1"/>
  <c r="X142" i="4" s="1"/>
  <c r="Y142" i="4" s="1"/>
  <c r="X165" i="4" a="1"/>
  <c r="X165" i="4" s="1"/>
  <c r="Y165" i="4" s="1"/>
  <c r="X246" i="4" a="1"/>
  <c r="X246" i="4" s="1"/>
  <c r="Y246" i="4" s="1"/>
  <c r="X77" i="22" a="1"/>
  <c r="X77" i="22" s="1"/>
  <c r="Y77" i="22" s="1"/>
  <c r="X191" i="4" a="1"/>
  <c r="X191" i="4" s="1"/>
  <c r="Y191" i="4" s="1"/>
  <c r="X298" i="22" a="1"/>
  <c r="X298" i="22" s="1"/>
  <c r="Y298" i="22" s="1"/>
  <c r="X140" i="22" a="1"/>
  <c r="X140" i="22" s="1"/>
  <c r="Y140" i="22" s="1"/>
  <c r="X154" i="4" a="1"/>
  <c r="X154" i="4" s="1"/>
  <c r="Y154" i="4" s="1"/>
  <c r="X177" i="4" a="1"/>
  <c r="X177" i="4" s="1"/>
  <c r="Y177" i="4" s="1"/>
  <c r="X225" i="4" a="1"/>
  <c r="X225" i="4" s="1"/>
  <c r="Y225" i="4" s="1"/>
  <c r="X267" i="4" a="1"/>
  <c r="X267" i="4" s="1"/>
  <c r="Y267" i="4" s="1"/>
  <c r="X278" i="4" a="1"/>
  <c r="X278" i="4" s="1"/>
  <c r="Y278" i="4" s="1"/>
  <c r="X225" i="22" a="1"/>
  <c r="X225" i="22" s="1"/>
  <c r="Y225" i="22" s="1"/>
  <c r="X205" i="4" a="1"/>
  <c r="X205" i="4" s="1"/>
  <c r="Y205" i="4" s="1"/>
  <c r="X239" i="4" a="1"/>
  <c r="X239" i="4" s="1"/>
  <c r="Y239" i="4" s="1"/>
  <c r="X272" i="22" a="1"/>
  <c r="X272" i="22" s="1"/>
  <c r="Y272" i="22" s="1"/>
  <c r="X232" i="22" a="1"/>
  <c r="X232" i="22" s="1"/>
  <c r="Y232" i="22" s="1"/>
  <c r="X205" i="22" a="1"/>
  <c r="X205" i="22" s="1"/>
  <c r="Y205" i="22" s="1"/>
  <c r="X154" i="22" a="1"/>
  <c r="X154" i="22" s="1"/>
  <c r="Y154" i="22" s="1"/>
  <c r="X92" i="22" a="1"/>
  <c r="X92" i="22" s="1"/>
  <c r="Y92" i="22" s="1"/>
  <c r="X64" i="22" a="1"/>
  <c r="X64" i="22" s="1"/>
  <c r="Y64" i="22" s="1"/>
  <c r="X57" i="22" a="1"/>
  <c r="X57" i="22" s="1"/>
  <c r="Y57" i="22" s="1"/>
  <c r="X72" i="4" a="1"/>
  <c r="X72" i="4" s="1"/>
  <c r="Y72" i="4" s="1"/>
  <c r="Z72" i="4" s="1"/>
  <c r="X83" i="4" a="1"/>
  <c r="X83" i="4" s="1"/>
  <c r="Y83" i="4" s="1"/>
  <c r="Z83" i="4" s="1"/>
  <c r="X303" i="22" a="1"/>
  <c r="X303" i="22" s="1"/>
  <c r="Y303" i="22" s="1"/>
  <c r="X175" i="22" a="1"/>
  <c r="X175" i="22" s="1"/>
  <c r="Y175" i="22" s="1"/>
  <c r="X44" i="22" a="1"/>
  <c r="X44" i="22" s="1"/>
  <c r="Y44" i="22" s="1"/>
  <c r="X37" i="4" a="1"/>
  <c r="X37" i="4" s="1"/>
  <c r="X97" i="4" a="1"/>
  <c r="X97" i="4" s="1"/>
  <c r="Y97" i="4" s="1"/>
  <c r="Z97" i="4" s="1"/>
  <c r="X133" i="4" a="1"/>
  <c r="X133" i="4" s="1"/>
  <c r="Y133" i="4" s="1"/>
  <c r="X147" i="4" a="1"/>
  <c r="X147" i="4" s="1"/>
  <c r="Y147" i="4" s="1"/>
  <c r="X265" i="4" a="1"/>
  <c r="X265" i="4" s="1"/>
  <c r="Y265" i="4" s="1"/>
  <c r="X253" i="22" a="1"/>
  <c r="X253" i="22" s="1"/>
  <c r="Y253" i="22" s="1"/>
  <c r="X173" i="22" a="1"/>
  <c r="X173" i="22" s="1"/>
  <c r="Y173" i="22" s="1"/>
  <c r="X94" i="22" a="1"/>
  <c r="X94" i="22" s="1"/>
  <c r="Y94" i="22" s="1"/>
  <c r="X44" i="4" a="1"/>
  <c r="X44" i="4" s="1"/>
  <c r="Y44" i="4" s="1"/>
  <c r="X64" i="4" a="1"/>
  <c r="X64" i="4" s="1"/>
  <c r="Y64" i="4" s="1"/>
  <c r="X218" i="4" a="1"/>
  <c r="X218" i="4" s="1"/>
  <c r="Y218" i="4" s="1"/>
  <c r="X267" i="22" a="1"/>
  <c r="X267" i="22" s="1"/>
  <c r="Y267" i="22" s="1"/>
  <c r="X191" i="22" a="1"/>
  <c r="X191" i="22" s="1"/>
  <c r="Y191" i="22" s="1"/>
  <c r="X184" i="22" a="1"/>
  <c r="X184" i="22" s="1"/>
  <c r="Y184" i="22" s="1"/>
  <c r="X315" i="4" a="1"/>
  <c r="X315" i="4" s="1"/>
  <c r="Y315" i="4" s="1"/>
  <c r="X83" i="22" a="1"/>
  <c r="X83" i="22" s="1"/>
  <c r="Y83" i="22" s="1"/>
  <c r="Z83" i="22" s="1"/>
  <c r="X16" i="4" a="1"/>
  <c r="X16" i="4" s="1"/>
  <c r="Y16" i="4" s="1"/>
  <c r="Z16" i="4" s="1"/>
  <c r="X285" i="4" a="1"/>
  <c r="X285" i="4" s="1"/>
  <c r="Y285" i="4" s="1"/>
  <c r="X159" i="22" a="1"/>
  <c r="X159" i="22" s="1"/>
  <c r="Y159" i="22" s="1"/>
  <c r="X177" i="22" a="1"/>
  <c r="X177" i="22" s="1"/>
  <c r="Y177" i="22" s="1"/>
  <c r="X16" i="22" a="1"/>
  <c r="X16" i="22" s="1"/>
  <c r="Y16" i="22" s="1"/>
  <c r="Z16" i="22" s="1"/>
  <c r="X30" i="4" a="1"/>
  <c r="X30" i="4" s="1"/>
  <c r="Y30" i="4" s="1"/>
  <c r="X136" i="4" a="1"/>
  <c r="X136" i="4" s="1"/>
  <c r="Y136" i="4" s="1"/>
  <c r="Z136" i="4" s="1"/>
  <c r="X253" i="4" a="1"/>
  <c r="X253" i="4" s="1"/>
  <c r="Y253" i="4" s="1"/>
  <c r="X68" i="22" a="1"/>
  <c r="X68" i="22" s="1"/>
  <c r="Y68" i="22" s="1"/>
  <c r="Z68" i="22" s="1"/>
  <c r="X272" i="4" a="1"/>
  <c r="X272" i="4" s="1"/>
  <c r="Y272" i="4" s="1"/>
  <c r="X303" i="4" a="1"/>
  <c r="X303" i="4" s="1"/>
  <c r="Y303" i="4" s="1"/>
  <c r="X315" i="22" a="1"/>
  <c r="X315" i="22" s="1"/>
  <c r="Y315" i="22" s="1"/>
  <c r="X133" i="22" a="1"/>
  <c r="X133" i="22" s="1"/>
  <c r="Y133" i="22" s="1"/>
  <c r="X233" i="4" a="1"/>
  <c r="X233" i="4" s="1"/>
  <c r="Y233" i="4" s="1"/>
  <c r="X291" i="4" a="1"/>
  <c r="X291" i="4" s="1"/>
  <c r="Y291" i="4" s="1"/>
  <c r="X286" i="4" a="1"/>
  <c r="X286" i="4" s="1"/>
  <c r="Y286" i="4" s="1"/>
  <c r="X231" i="4" a="1"/>
  <c r="X231" i="4" s="1"/>
  <c r="Y231" i="4" s="1"/>
  <c r="X21" i="4" a="1"/>
  <c r="X21" i="4" s="1"/>
  <c r="Y21" i="4" s="1"/>
  <c r="Z21" i="4" s="1"/>
  <c r="X152" i="22" a="1"/>
  <c r="X152" i="22" s="1"/>
  <c r="Y152" i="22" s="1"/>
  <c r="X336" i="4" a="1"/>
  <c r="X336" i="4" s="1"/>
  <c r="Y336" i="4" s="1"/>
  <c r="X22" i="22" a="1"/>
  <c r="X22" i="22" s="1"/>
  <c r="Y22" i="22" s="1"/>
  <c r="Z22" i="22" s="1"/>
  <c r="AA22" i="22" s="1"/>
  <c r="X261" i="22" a="1"/>
  <c r="X261" i="22" s="1"/>
  <c r="Y261" i="22" s="1"/>
  <c r="X180" i="4" a="1"/>
  <c r="X180" i="4" s="1"/>
  <c r="Y180" i="4" s="1"/>
  <c r="X125" i="4" a="1"/>
  <c r="X125" i="4" s="1"/>
  <c r="Y125" i="4" s="1"/>
  <c r="X23" i="22" a="1"/>
  <c r="X23" i="22" s="1"/>
  <c r="Y23" i="22" s="1"/>
  <c r="Z23" i="22" s="1"/>
  <c r="X88" i="22" a="1"/>
  <c r="X88" i="22" s="1"/>
  <c r="Y88" i="22" s="1"/>
  <c r="X180" i="22" a="1"/>
  <c r="X180" i="22" s="1"/>
  <c r="Y180" i="22" s="1"/>
  <c r="X146" i="4" a="1"/>
  <c r="X146" i="4" s="1"/>
  <c r="Y146" i="4" s="1"/>
  <c r="X124" i="4" a="1"/>
  <c r="X124" i="4" s="1"/>
  <c r="Y124" i="4" s="1"/>
  <c r="X92" i="4" a="1"/>
  <c r="X92" i="4" s="1"/>
  <c r="Y92" i="4" s="1"/>
  <c r="X56" i="4" a="1"/>
  <c r="X56" i="4" s="1"/>
  <c r="Y56" i="4" s="1"/>
  <c r="X55" i="22" a="1"/>
  <c r="X55" i="22" s="1"/>
  <c r="Y55" i="22" s="1"/>
  <c r="X138" i="22" a="1"/>
  <c r="X138" i="22" s="1"/>
  <c r="Y138" i="22" s="1"/>
  <c r="Z138" i="22" s="1"/>
  <c r="AA138" i="22" s="1"/>
  <c r="X246" i="22" a="1"/>
  <c r="X246" i="22" s="1"/>
  <c r="Y246" i="22" s="1"/>
  <c r="X285" i="22" a="1"/>
  <c r="X285" i="22" s="1"/>
  <c r="Y285" i="22" s="1"/>
  <c r="X232" i="4" a="1"/>
  <c r="X232" i="4" s="1"/>
  <c r="Y232" i="4" s="1"/>
  <c r="X38" i="4" a="1"/>
  <c r="X38" i="4" s="1"/>
  <c r="Y38" i="4" s="1"/>
  <c r="X224" i="22" a="1"/>
  <c r="X224" i="22" s="1"/>
  <c r="Y224" i="22" s="1"/>
  <c r="X244" i="22" a="1"/>
  <c r="X244" i="22" s="1"/>
  <c r="Y244" i="22" s="1"/>
  <c r="X223" i="22" a="1"/>
  <c r="X223" i="22" s="1"/>
  <c r="Y223" i="22" s="1"/>
  <c r="X49" i="22" a="1"/>
  <c r="X49" i="22" s="1"/>
  <c r="Y49" i="22" s="1"/>
  <c r="X203" i="4" a="1"/>
  <c r="X203" i="4" s="1"/>
  <c r="Y203" i="4" s="1"/>
  <c r="X109" i="22" a="1"/>
  <c r="X109" i="22" s="1"/>
  <c r="Y109" i="22" s="1"/>
  <c r="Z109" i="22" s="1"/>
  <c r="X66" i="22" a="1"/>
  <c r="X66" i="22" s="1"/>
  <c r="Y66" i="22" s="1"/>
  <c r="Z66" i="22" s="1"/>
  <c r="X14" i="4" a="1"/>
  <c r="X14" i="4" s="1"/>
  <c r="Y14" i="4" s="1"/>
  <c r="Z14" i="4" s="1"/>
  <c r="X131" i="4" a="1"/>
  <c r="X131" i="4" s="1"/>
  <c r="Y131" i="4" s="1"/>
  <c r="X230" i="4" a="1"/>
  <c r="X230" i="4" s="1"/>
  <c r="Y230" i="4" s="1"/>
  <c r="X203" i="22" a="1"/>
  <c r="X203" i="22" s="1"/>
  <c r="Y203" i="22" s="1"/>
  <c r="X182" i="22" a="1"/>
  <c r="X182" i="22" s="1"/>
  <c r="Y182" i="22" s="1"/>
  <c r="X115" i="22" a="1"/>
  <c r="X115" i="22" s="1"/>
  <c r="Y115" i="22" s="1"/>
  <c r="X42" i="4" a="1"/>
  <c r="X42" i="4" s="1"/>
  <c r="Y42" i="4" s="1"/>
  <c r="X122" i="4" a="1"/>
  <c r="X122" i="4" s="1"/>
  <c r="Y122" i="4" s="1"/>
  <c r="X290" i="4" a="1"/>
  <c r="X290" i="4" s="1"/>
  <c r="Y290" i="4" s="1"/>
  <c r="X264" i="22" a="1"/>
  <c r="X264" i="22" s="1"/>
  <c r="Y264" i="22" s="1"/>
  <c r="X122" i="22" a="1"/>
  <c r="X122" i="22" s="1"/>
  <c r="Y122" i="22" s="1"/>
  <c r="X307" i="22" a="1"/>
  <c r="X307" i="22" s="1"/>
  <c r="Y307" i="22" s="1"/>
  <c r="X49" i="4" a="1"/>
  <c r="X49" i="4" s="1"/>
  <c r="X258" i="4" a="1"/>
  <c r="X258" i="4" s="1"/>
  <c r="Y258" i="4" s="1"/>
  <c r="X210" i="22" a="1"/>
  <c r="X210" i="22" s="1"/>
  <c r="Y210" i="22" s="1"/>
  <c r="X14" i="22" a="1"/>
  <c r="X14" i="22" s="1"/>
  <c r="X35" i="4" a="1"/>
  <c r="X35" i="4" s="1"/>
  <c r="Y35" i="4" s="1"/>
  <c r="X189" i="4" a="1"/>
  <c r="X189" i="4" s="1"/>
  <c r="Y189" i="4" s="1"/>
  <c r="X237" i="4" a="1"/>
  <c r="X237" i="4" s="1"/>
  <c r="Y237" i="4" s="1"/>
  <c r="X258" i="22" a="1"/>
  <c r="X258" i="22" s="1"/>
  <c r="Y258" i="22" s="1"/>
  <c r="X171" i="22" a="1"/>
  <c r="X171" i="22" s="1"/>
  <c r="Y171" i="22" s="1"/>
  <c r="X145" i="22" a="1"/>
  <c r="X145" i="22" s="1"/>
  <c r="Y145" i="22" s="1"/>
  <c r="X62" i="4" a="1"/>
  <c r="X62" i="4" s="1"/>
  <c r="Y62" i="4" s="1"/>
  <c r="X283" i="22" a="1"/>
  <c r="X283" i="22" s="1"/>
  <c r="Y283" i="22" s="1"/>
  <c r="X251" i="22" a="1"/>
  <c r="X251" i="22" s="1"/>
  <c r="Y251" i="22" s="1"/>
  <c r="X163" i="22" a="1"/>
  <c r="X163" i="22" s="1"/>
  <c r="Y163" i="22" s="1"/>
  <c r="X102" i="22" a="1"/>
  <c r="X102" i="22" s="1"/>
  <c r="Y102" i="22" s="1"/>
  <c r="Z102" i="22" s="1"/>
  <c r="X217" i="4" a="1"/>
  <c r="X217" i="4" s="1"/>
  <c r="Y217" i="4" s="1"/>
  <c r="X313" i="4" a="1"/>
  <c r="X313" i="4" s="1"/>
  <c r="Y313" i="4" s="1"/>
  <c r="X125" i="22" a="1"/>
  <c r="X125" i="22" s="1"/>
  <c r="Y125" i="22" s="1"/>
  <c r="X290" i="22" a="1"/>
  <c r="X290" i="22" s="1"/>
  <c r="Y290" i="22" s="1"/>
  <c r="X217" i="22" a="1"/>
  <c r="X217" i="22" s="1"/>
  <c r="Y217" i="22" s="1"/>
  <c r="X251" i="4" a="1"/>
  <c r="X251" i="4" s="1"/>
  <c r="Y251" i="4" s="1"/>
  <c r="X230" i="22" a="1"/>
  <c r="X230" i="22" s="1"/>
  <c r="Y230" i="22" s="1"/>
  <c r="X70" i="22" a="1"/>
  <c r="X70" i="22" s="1"/>
  <c r="Y70" i="22" s="1"/>
  <c r="Z70" i="22" s="1"/>
  <c r="X28" i="22" a="1"/>
  <c r="X28" i="22" s="1"/>
  <c r="Y28" i="22" s="1"/>
  <c r="X28" i="4" a="1"/>
  <c r="X28" i="4" s="1"/>
  <c r="Y28" i="4" s="1"/>
  <c r="X182" i="4" a="1"/>
  <c r="X182" i="4" s="1"/>
  <c r="Y182" i="4" s="1"/>
  <c r="X296" i="4" a="1"/>
  <c r="X296" i="4" s="1"/>
  <c r="Y296" i="4" s="1"/>
  <c r="X152" i="4" a="1"/>
  <c r="X152" i="4" s="1"/>
  <c r="Y152" i="4" s="1"/>
  <c r="X276" i="22" a="1"/>
  <c r="X276" i="22" s="1"/>
  <c r="Y276" i="22" s="1"/>
  <c r="X223" i="4" a="1"/>
  <c r="X223" i="4" s="1"/>
  <c r="Y223" i="4" s="1"/>
  <c r="X189" i="22" a="1"/>
  <c r="X189" i="22" s="1"/>
  <c r="Y189" i="22" s="1"/>
  <c r="X237" i="22" a="1"/>
  <c r="X237" i="22" s="1"/>
  <c r="Y237" i="22" s="1"/>
  <c r="X42" i="22" a="1"/>
  <c r="X42" i="22" s="1"/>
  <c r="Y42" i="22" s="1"/>
  <c r="X35" i="22" a="1"/>
  <c r="X35" i="22" s="1"/>
  <c r="Y35" i="22" s="1"/>
  <c r="X81" i="4" a="1"/>
  <c r="X81" i="4" s="1"/>
  <c r="Y81" i="4" s="1"/>
  <c r="Z81" i="4" s="1"/>
  <c r="X115" i="4" a="1"/>
  <c r="X115" i="4" s="1"/>
  <c r="Y115" i="4" s="1"/>
  <c r="X270" i="4" a="1"/>
  <c r="X270" i="4" s="1"/>
  <c r="Y270" i="4" s="1"/>
  <c r="X283" i="4" a="1"/>
  <c r="X283" i="4" s="1"/>
  <c r="Y283" i="4" s="1"/>
  <c r="X301" i="4" a="1"/>
  <c r="X301" i="4" s="1"/>
  <c r="Y301" i="4" s="1"/>
  <c r="X301" i="22" a="1"/>
  <c r="X301" i="22" s="1"/>
  <c r="Y301" i="22" s="1"/>
  <c r="X270" i="22" a="1"/>
  <c r="X270" i="22" s="1"/>
  <c r="Y270" i="22" s="1"/>
  <c r="X196" i="22" a="1"/>
  <c r="X196" i="22" s="1"/>
  <c r="Y196" i="22" s="1"/>
  <c r="X66" i="4" a="1"/>
  <c r="X66" i="4" s="1"/>
  <c r="Y66" i="4" s="1"/>
  <c r="Z66" i="4" s="1"/>
  <c r="X171" i="4" a="1"/>
  <c r="X171" i="4" s="1"/>
  <c r="Y171" i="4" s="1"/>
  <c r="X88" i="4" a="1"/>
  <c r="X88" i="4" s="1"/>
  <c r="Y88" i="4" s="1"/>
  <c r="X260" i="4" a="1"/>
  <c r="X260" i="4" s="1"/>
  <c r="Y260" i="4" s="1"/>
  <c r="X21" i="22" a="1"/>
  <c r="X21" i="22" s="1"/>
  <c r="Y21" i="22" s="1"/>
  <c r="Z21" i="22" s="1"/>
  <c r="X62" i="22" a="1"/>
  <c r="X62" i="22" s="1"/>
  <c r="Y62" i="22" s="1"/>
  <c r="X291" i="22" a="1"/>
  <c r="X291" i="22" s="1"/>
  <c r="Y291" i="22" s="1"/>
  <c r="X259" i="4" a="1"/>
  <c r="X259" i="4" s="1"/>
  <c r="Y259" i="4" s="1"/>
  <c r="X127" i="4" a="1"/>
  <c r="X127" i="4" s="1"/>
  <c r="Y127" i="4" s="1"/>
  <c r="X111" i="22" a="1"/>
  <c r="X111" i="22" s="1"/>
  <c r="Y111" i="22" s="1"/>
  <c r="Z111" i="22" s="1"/>
  <c r="X219" i="22" a="1"/>
  <c r="X219" i="22" s="1"/>
  <c r="Y219" i="22" s="1"/>
  <c r="X256" i="22" a="1"/>
  <c r="X256" i="22" s="1"/>
  <c r="Y256" i="22" s="1"/>
  <c r="X208" i="22" a="1"/>
  <c r="X208" i="22" s="1"/>
  <c r="Y208" i="22" s="1"/>
  <c r="X169" i="22" a="1"/>
  <c r="X169" i="22" s="1"/>
  <c r="Y169" i="22" s="1"/>
  <c r="X161" i="22" a="1"/>
  <c r="X161" i="22" s="1"/>
  <c r="Y161" i="22" s="1"/>
  <c r="X100" i="22" a="1"/>
  <c r="X100" i="22" s="1"/>
  <c r="Y100" i="22" s="1"/>
  <c r="Z100" i="22" s="1"/>
  <c r="AA100" i="22" s="1"/>
  <c r="X60" i="22" a="1"/>
  <c r="X60" i="22" s="1"/>
  <c r="Y60" i="22" s="1"/>
  <c r="X40" i="4" a="1"/>
  <c r="X40" i="4" s="1"/>
  <c r="Y40" i="4" s="1"/>
  <c r="X346" i="22" a="1"/>
  <c r="X346" i="22" s="1"/>
  <c r="Y346" i="22" s="1"/>
  <c r="X325" i="22" a="1"/>
  <c r="X325" i="22" s="1"/>
  <c r="Y325" i="22" s="1"/>
  <c r="X274" i="22" a="1"/>
  <c r="X274" i="22" s="1"/>
  <c r="Y274" i="22" s="1"/>
  <c r="X228" i="22" a="1"/>
  <c r="X228" i="22" s="1"/>
  <c r="Y228" i="22" s="1"/>
  <c r="X120" i="22" a="1"/>
  <c r="X120" i="22" s="1"/>
  <c r="Y120" i="22" s="1"/>
  <c r="X26" i="22" a="1"/>
  <c r="X26" i="22" s="1"/>
  <c r="Y26" i="22" s="1"/>
  <c r="X60" i="4" a="1"/>
  <c r="X60" i="4" s="1"/>
  <c r="Y60" i="4" s="1"/>
  <c r="X194" i="4" a="1"/>
  <c r="X194" i="4" s="1"/>
  <c r="Y194" i="4" s="1"/>
  <c r="X311" i="22" a="1"/>
  <c r="X311" i="22" s="1"/>
  <c r="Y311" i="22" s="1"/>
  <c r="X249" i="22" a="1"/>
  <c r="X249" i="22" s="1"/>
  <c r="Y249" i="22" s="1"/>
  <c r="X53" i="22" a="1"/>
  <c r="X53" i="22" s="1"/>
  <c r="Y53" i="22" s="1"/>
  <c r="X86" i="4" a="1"/>
  <c r="X86" i="4" s="1"/>
  <c r="Y86" i="4" s="1"/>
  <c r="X221" i="4" a="1"/>
  <c r="X221" i="4" s="1"/>
  <c r="Y221" i="4" s="1"/>
  <c r="X281" i="4" a="1"/>
  <c r="X281" i="4" s="1"/>
  <c r="Y281" i="4" s="1"/>
  <c r="X299" i="4" a="1"/>
  <c r="X299" i="4" s="1"/>
  <c r="Y299" i="4" s="1"/>
  <c r="X325" i="4" a="1"/>
  <c r="X325" i="4" s="1"/>
  <c r="Y325" i="4" s="1"/>
  <c r="X334" i="22" a="1"/>
  <c r="X334" i="22" s="1"/>
  <c r="Y334" i="22" s="1"/>
  <c r="X221" i="22" a="1"/>
  <c r="X221" i="22" s="1"/>
  <c r="Y221" i="22" s="1"/>
  <c r="X107" i="22" a="1"/>
  <c r="X107" i="22" s="1"/>
  <c r="Y107" i="22" s="1"/>
  <c r="Z107" i="22" s="1"/>
  <c r="AA107" i="22" s="1"/>
  <c r="X33" i="22" a="1"/>
  <c r="X33" i="22" s="1"/>
  <c r="Y33" i="22" s="1"/>
  <c r="X47" i="4" a="1"/>
  <c r="X47" i="4" s="1"/>
  <c r="Y47" i="4" s="1"/>
  <c r="X129" i="4" a="1"/>
  <c r="X129" i="4" s="1"/>
  <c r="Y129" i="4" s="1"/>
  <c r="X256" i="4" a="1"/>
  <c r="X256" i="4" s="1"/>
  <c r="Y256" i="4" s="1"/>
  <c r="X338" i="4" a="1"/>
  <c r="X338" i="4" s="1"/>
  <c r="Y338" i="4" s="1"/>
  <c r="X215" i="22" a="1"/>
  <c r="X215" i="22" s="1"/>
  <c r="Y215" i="22" s="1"/>
  <c r="X150" i="22" a="1"/>
  <c r="X150" i="22" s="1"/>
  <c r="Y150" i="22" s="1"/>
  <c r="X12" i="22" a="1"/>
  <c r="X12" i="22" s="1"/>
  <c r="Y12" i="22" s="1"/>
  <c r="Z12" i="22" s="1"/>
  <c r="AA12" i="22" s="1"/>
  <c r="X321" i="22" a="1"/>
  <c r="X321" i="22" s="1"/>
  <c r="Y321" i="22" s="1"/>
  <c r="X288" i="22" a="1"/>
  <c r="X288" i="22" s="1"/>
  <c r="Y288" i="22" s="1"/>
  <c r="X187" i="22" a="1"/>
  <c r="X187" i="22" s="1"/>
  <c r="Y187" i="22" s="1"/>
  <c r="X201" i="4" a="1"/>
  <c r="X201" i="4" s="1"/>
  <c r="Y201" i="4" s="1"/>
  <c r="X329" i="4" a="1"/>
  <c r="X329" i="4" s="1"/>
  <c r="Y329" i="4" s="1"/>
  <c r="X294" i="22" a="1"/>
  <c r="X294" i="22" s="1"/>
  <c r="Y294" i="22" s="1"/>
  <c r="X86" i="22" a="1"/>
  <c r="X86" i="22" s="1"/>
  <c r="Y86" i="22" s="1"/>
  <c r="X12" i="4" a="1"/>
  <c r="X12" i="4" s="1"/>
  <c r="X107" i="4" a="1"/>
  <c r="X107" i="4" s="1"/>
  <c r="Y107" i="4" s="1"/>
  <c r="Z107" i="4" s="1"/>
  <c r="X26" i="4" a="1"/>
  <c r="X26" i="4" s="1"/>
  <c r="Y26" i="4" s="1"/>
  <c r="X143" i="4" a="1"/>
  <c r="X143" i="4" s="1"/>
  <c r="Y143" i="4" s="1"/>
  <c r="X288" i="4" a="1"/>
  <c r="X288" i="4" s="1"/>
  <c r="Y288" i="4" s="1"/>
  <c r="X311" i="4" a="1"/>
  <c r="X311" i="4" s="1"/>
  <c r="Y311" i="4" s="1"/>
  <c r="X5" i="4" a="1"/>
  <c r="X5" i="4" s="1"/>
  <c r="Y5" i="4" s="1"/>
  <c r="Z5" i="4" s="1"/>
  <c r="X215" i="4" a="1"/>
  <c r="X215" i="4" s="1"/>
  <c r="Y215" i="4" s="1"/>
  <c r="X249" i="4" a="1"/>
  <c r="X249" i="4" s="1"/>
  <c r="Y249" i="4" s="1"/>
  <c r="X321" i="4" a="1"/>
  <c r="X321" i="4" s="1"/>
  <c r="Y321" i="4" s="1"/>
  <c r="X235" i="4" a="1"/>
  <c r="X235" i="4" s="1"/>
  <c r="Y235" i="4" s="1"/>
  <c r="X342" i="4" a="1"/>
  <c r="X342" i="4" s="1"/>
  <c r="Y342" i="4" s="1"/>
  <c r="X143" i="22" a="1"/>
  <c r="X143" i="22" s="1"/>
  <c r="Y143" i="22" s="1"/>
  <c r="X129" i="22" a="1"/>
  <c r="X129" i="22" s="1"/>
  <c r="Y129" i="22" s="1"/>
  <c r="X19" i="22" a="1"/>
  <c r="X19" i="22" s="1"/>
  <c r="Y19" i="22" s="1"/>
  <c r="Z19" i="22" s="1"/>
  <c r="X113" i="4" a="1"/>
  <c r="X113" i="4" s="1"/>
  <c r="Y113" i="4" s="1"/>
  <c r="X150" i="4" a="1"/>
  <c r="X150" i="4" s="1"/>
  <c r="Y150" i="4" s="1"/>
  <c r="X338" i="22" a="1"/>
  <c r="X338" i="22" s="1"/>
  <c r="Y338" i="22" s="1"/>
  <c r="X169" i="4" a="1"/>
  <c r="X169" i="4" s="1"/>
  <c r="Y169" i="4" s="1"/>
  <c r="X113" i="22" a="1"/>
  <c r="X113" i="22" s="1"/>
  <c r="Y113" i="22" s="1"/>
  <c r="X242" i="4" a="1"/>
  <c r="X242" i="4" s="1"/>
  <c r="Y242" i="4" s="1"/>
  <c r="X120" i="4" a="1"/>
  <c r="X120" i="4" s="1"/>
  <c r="Y120" i="4" s="1"/>
  <c r="X187" i="4" a="1"/>
  <c r="X187" i="4" s="1"/>
  <c r="Y187" i="4" s="1"/>
  <c r="X305" i="22" a="1"/>
  <c r="X305" i="22" s="1"/>
  <c r="Y305" i="22" s="1"/>
  <c r="X281" i="22" a="1"/>
  <c r="X281" i="22" s="1"/>
  <c r="Y281" i="22" s="1"/>
  <c r="X53" i="4" a="1"/>
  <c r="X53" i="4" s="1"/>
  <c r="Y53" i="4" s="1"/>
  <c r="X33" i="4" a="1"/>
  <c r="X33" i="4" s="1"/>
  <c r="Y33" i="4" s="1"/>
  <c r="X329" i="22" a="1"/>
  <c r="X329" i="22" s="1"/>
  <c r="Y329" i="22" s="1"/>
  <c r="X242" i="22" a="1"/>
  <c r="X242" i="22" s="1"/>
  <c r="Y242" i="22" s="1"/>
  <c r="X141" i="22" a="1"/>
  <c r="X141" i="22" s="1"/>
  <c r="Y141" i="22" s="1"/>
  <c r="X100" i="4" a="1"/>
  <c r="X100" i="4" s="1"/>
  <c r="Y100" i="4" s="1"/>
  <c r="Z100" i="4" s="1"/>
  <c r="X208" i="4" a="1"/>
  <c r="X208" i="4" s="1"/>
  <c r="Y208" i="4" s="1"/>
  <c r="X228" i="4" a="1"/>
  <c r="X228" i="4" s="1"/>
  <c r="Y228" i="4" s="1"/>
  <c r="X192" i="4" a="1"/>
  <c r="X192" i="4" s="1"/>
  <c r="Y192" i="4" s="1"/>
  <c r="X126" i="4" a="1"/>
  <c r="X126" i="4" s="1"/>
  <c r="Y126" i="4" s="1"/>
  <c r="X57" i="4" a="1"/>
  <c r="X57" i="4" s="1"/>
  <c r="Y57" i="4" s="1"/>
  <c r="X63" i="22" a="1"/>
  <c r="X63" i="22" s="1"/>
  <c r="Y63" i="22" s="1"/>
  <c r="X212" i="22" a="1"/>
  <c r="X212" i="22" s="1"/>
  <c r="Y212" i="22" s="1"/>
  <c r="X307" i="4" a="1"/>
  <c r="X307" i="4" s="1"/>
  <c r="Y307" i="4" s="1"/>
  <c r="X276" i="4" a="1"/>
  <c r="X276" i="4" s="1"/>
  <c r="Y276" i="4" s="1"/>
  <c r="X159" i="4" a="1"/>
  <c r="X159" i="4" s="1"/>
  <c r="Y159" i="4" s="1"/>
  <c r="X206" i="22" a="1"/>
  <c r="X206" i="22" s="1"/>
  <c r="Y206" i="22" s="1"/>
  <c r="X254" i="22" a="1"/>
  <c r="X254" i="22" s="1"/>
  <c r="Y254" i="22" s="1"/>
  <c r="X299" i="22" a="1"/>
  <c r="X299" i="22" s="1"/>
  <c r="Y299" i="22" s="1"/>
  <c r="X9" i="4" a="1"/>
  <c r="X9" i="4" s="1"/>
  <c r="Y9" i="4" s="1"/>
  <c r="Z9" i="4" s="1"/>
  <c r="X334" i="4" a="1"/>
  <c r="X334" i="4" s="1"/>
  <c r="Y334" i="4" s="1"/>
  <c r="X305" i="4" a="1"/>
  <c r="X305" i="4" s="1"/>
  <c r="Y305" i="4" s="1"/>
  <c r="X274" i="4" a="1"/>
  <c r="X274" i="4" s="1"/>
  <c r="Y274" i="4" s="1"/>
  <c r="X245" i="4" a="1"/>
  <c r="X245" i="4" s="1"/>
  <c r="Y245" i="4" s="1"/>
  <c r="X174" i="4" a="1"/>
  <c r="X174" i="4" s="1"/>
  <c r="Y174" i="4" s="1"/>
  <c r="X145" i="4" a="1"/>
  <c r="X145" i="4" s="1"/>
  <c r="Y145" i="4" s="1"/>
  <c r="X123" i="4" a="1"/>
  <c r="X123" i="4" s="1"/>
  <c r="Y123" i="4" s="1"/>
  <c r="X55" i="4" a="1"/>
  <c r="X55" i="4" s="1"/>
  <c r="Y55" i="4" s="1"/>
  <c r="X72" i="22" a="1"/>
  <c r="X72" i="22" s="1"/>
  <c r="Y72" i="22" s="1"/>
  <c r="Z72" i="22" s="1"/>
  <c r="X167" i="22" a="1"/>
  <c r="X167" i="22" s="1"/>
  <c r="Y167" i="22" s="1"/>
  <c r="X313" i="22" a="1"/>
  <c r="X313" i="22" s="1"/>
  <c r="Y313" i="22" s="1"/>
  <c r="X336" i="22" a="1"/>
  <c r="X336" i="22" s="1"/>
  <c r="Y336" i="22" s="1"/>
  <c r="X199" i="22" a="1"/>
  <c r="X199" i="22" s="1"/>
  <c r="Y199" i="22" s="1"/>
  <c r="X31" i="4" a="1"/>
  <c r="X31" i="4" s="1"/>
  <c r="Y31" i="4" s="1"/>
  <c r="X254" i="4" a="1"/>
  <c r="X254" i="4" s="1"/>
  <c r="Y254" i="4" s="1"/>
  <c r="X332" i="4" a="1"/>
  <c r="X332" i="4" s="1"/>
  <c r="Y332" i="4" s="1"/>
  <c r="X213" i="22" a="1"/>
  <c r="X213" i="22" s="1"/>
  <c r="Y213" i="22" s="1"/>
  <c r="X178" i="22" a="1"/>
  <c r="X178" i="22" s="1"/>
  <c r="Y178" i="22" s="1"/>
  <c r="X24" i="4" a="1"/>
  <c r="X24" i="4" s="1"/>
  <c r="Y24" i="4" s="1"/>
  <c r="X148" i="4" a="1"/>
  <c r="X148" i="4" s="1"/>
  <c r="Y148" i="4" s="1"/>
  <c r="X167" i="4" a="1"/>
  <c r="X167" i="4" s="1"/>
  <c r="Y167" i="4" s="1"/>
  <c r="X84" i="22" a="1"/>
  <c r="X84" i="22" s="1"/>
  <c r="Y84" i="22" s="1"/>
  <c r="X31" i="22" a="1"/>
  <c r="X31" i="22" s="1"/>
  <c r="Y31" i="22" s="1"/>
  <c r="X17" i="22" a="1"/>
  <c r="X17" i="22" s="1"/>
  <c r="Y17" i="22" s="1"/>
  <c r="Z17" i="22" s="1"/>
  <c r="X96" i="4" a="1"/>
  <c r="X96" i="4" s="1"/>
  <c r="Y96" i="4" s="1"/>
  <c r="Z96" i="4" s="1"/>
  <c r="X185" i="4" a="1"/>
  <c r="X185" i="4" s="1"/>
  <c r="Y185" i="4" s="1"/>
  <c r="X240" i="4" a="1"/>
  <c r="X240" i="4" s="1"/>
  <c r="Y240" i="4" s="1"/>
  <c r="X323" i="22" a="1"/>
  <c r="X323" i="22" s="1"/>
  <c r="Y323" i="22" s="1"/>
  <c r="X233" i="22" a="1"/>
  <c r="X233" i="22" s="1"/>
  <c r="Y233" i="22" s="1"/>
  <c r="X58" i="22" a="1"/>
  <c r="X58" i="22" s="1"/>
  <c r="Y58" i="22" s="1"/>
  <c r="X45" i="22" a="1"/>
  <c r="X45" i="22" s="1"/>
  <c r="Y45" i="22" s="1"/>
  <c r="X58" i="4" a="1"/>
  <c r="X58" i="4" s="1"/>
  <c r="Y58" i="4" s="1"/>
  <c r="X105" i="4" a="1"/>
  <c r="X105" i="4" s="1"/>
  <c r="Y105" i="4" s="1"/>
  <c r="Z105" i="4" s="1"/>
  <c r="X213" i="4" a="1"/>
  <c r="X213" i="4" s="1"/>
  <c r="Y213" i="4" s="1"/>
  <c r="X319" i="4" a="1"/>
  <c r="X319" i="4" s="1"/>
  <c r="Y319" i="4" s="1"/>
  <c r="X105" i="22" a="1"/>
  <c r="X105" i="22" s="1"/>
  <c r="Y105" i="22" s="1"/>
  <c r="Z105" i="22" s="1"/>
  <c r="X84" i="4" a="1"/>
  <c r="X84" i="4" s="1"/>
  <c r="Y84" i="4" s="1"/>
  <c r="X340" i="22" a="1"/>
  <c r="X340" i="22" s="1"/>
  <c r="Y340" i="22" s="1"/>
  <c r="X279" i="22" a="1"/>
  <c r="X279" i="22" s="1"/>
  <c r="Y279" i="22" s="1"/>
  <c r="X226" i="22" a="1"/>
  <c r="X226" i="22" s="1"/>
  <c r="Y226" i="22" s="1"/>
  <c r="X78" i="22" a="1"/>
  <c r="X78" i="22" s="1"/>
  <c r="Y78" i="22" s="1"/>
  <c r="Z78" i="22" s="1"/>
  <c r="AA78" i="22" s="1"/>
  <c r="X118" i="4" a="1"/>
  <c r="X118" i="4" s="1"/>
  <c r="Y118" i="4" s="1"/>
  <c r="X247" i="4" a="1"/>
  <c r="X247" i="4" s="1"/>
  <c r="Y247" i="4" s="1"/>
  <c r="X24" i="22" a="1"/>
  <c r="X24" i="22" s="1"/>
  <c r="Y24" i="22" s="1"/>
  <c r="X340" i="4" a="1"/>
  <c r="X340" i="4" s="1"/>
  <c r="Y340" i="4" s="1"/>
  <c r="X327" i="22" a="1"/>
  <c r="X327" i="22" s="1"/>
  <c r="Y327" i="22" s="1"/>
  <c r="X96" i="22" a="1"/>
  <c r="X96" i="22" s="1"/>
  <c r="Y96" i="22" s="1"/>
  <c r="Z96" i="22" s="1"/>
  <c r="X38" i="22" a="1"/>
  <c r="X38" i="22" s="1"/>
  <c r="Y38" i="22" s="1"/>
  <c r="X178" i="4" a="1"/>
  <c r="X178" i="4" s="1"/>
  <c r="Y178" i="4" s="1"/>
  <c r="X226" i="4" a="1"/>
  <c r="X226" i="4" s="1"/>
  <c r="Y226" i="4" s="1"/>
  <c r="X127" i="22" a="1"/>
  <c r="X127" i="22" s="1"/>
  <c r="Y127" i="22" s="1"/>
  <c r="X279" i="4" a="1"/>
  <c r="X279" i="4" s="1"/>
  <c r="Y279" i="4" s="1"/>
  <c r="X332" i="22" a="1"/>
  <c r="X332" i="22" s="1"/>
  <c r="Y332" i="22" s="1"/>
  <c r="X192" i="22" a="1"/>
  <c r="X192" i="22" s="1"/>
  <c r="Y192" i="22" s="1"/>
  <c r="X185" i="22" a="1"/>
  <c r="X185" i="22" s="1"/>
  <c r="Y185" i="22" s="1"/>
  <c r="X199" i="4" a="1"/>
  <c r="X199" i="4" s="1"/>
  <c r="Y199" i="4" s="1"/>
  <c r="X10" i="4" a="1"/>
  <c r="X10" i="4" s="1"/>
  <c r="X17" i="4" a="1"/>
  <c r="X17" i="4" s="1"/>
  <c r="Y17" i="4" s="1"/>
  <c r="Z17" i="4" s="1"/>
  <c r="X98" i="4" a="1"/>
  <c r="X98" i="4" s="1"/>
  <c r="Y98" i="4" s="1"/>
  <c r="Z98" i="4" s="1"/>
  <c r="X327" i="4" a="1"/>
  <c r="X327" i="4" s="1"/>
  <c r="Y327" i="4" s="1"/>
  <c r="X3" i="4" a="1"/>
  <c r="X3" i="4" s="1"/>
  <c r="Y3" i="4" s="1"/>
  <c r="Z3" i="4" s="1"/>
  <c r="X45" i="4" a="1"/>
  <c r="X45" i="4" s="1"/>
  <c r="Y45" i="4" s="1"/>
  <c r="X219" i="4" a="1"/>
  <c r="X219" i="4" s="1"/>
  <c r="Y219" i="4" s="1"/>
  <c r="X344" i="4" a="1"/>
  <c r="X344" i="4" s="1"/>
  <c r="Y344" i="4" s="1"/>
  <c r="X118" i="22" a="1"/>
  <c r="X118" i="22" s="1"/>
  <c r="Y118" i="22" s="1"/>
  <c r="X206" i="4" a="1"/>
  <c r="X206" i="4" s="1"/>
  <c r="Y206" i="4" s="1"/>
  <c r="X344" i="22" a="1"/>
  <c r="X344" i="22" s="1"/>
  <c r="Y344" i="22" s="1"/>
  <c r="X10" i="22" a="1"/>
  <c r="X10" i="22" s="1"/>
  <c r="Y10" i="22" s="1"/>
  <c r="Z10" i="22" s="1"/>
  <c r="X286" i="22" a="1"/>
  <c r="X286" i="22" s="1"/>
  <c r="Y286" i="22" s="1"/>
  <c r="X98" i="22" a="1"/>
  <c r="X98" i="22" s="1"/>
  <c r="Y98" i="22" s="1"/>
  <c r="Z98" i="22" s="1"/>
  <c r="X148" i="22" a="1"/>
  <c r="X148" i="22" s="1"/>
  <c r="Y148" i="22" s="1"/>
  <c r="X204" i="22" a="1"/>
  <c r="X204" i="22" s="1"/>
  <c r="Y204" i="22" s="1"/>
  <c r="X183" i="22" a="1"/>
  <c r="X183" i="22" s="1"/>
  <c r="Y183" i="22" s="1"/>
  <c r="X110" i="22" a="1"/>
  <c r="X110" i="22" s="1"/>
  <c r="Y110" i="22" s="1"/>
  <c r="Z110" i="22" s="1"/>
  <c r="X76" i="22" a="1"/>
  <c r="X76" i="22" s="1"/>
  <c r="Y76" i="22" s="1"/>
  <c r="X50" i="4" a="1"/>
  <c r="X50" i="4" s="1"/>
  <c r="Y50" i="4" s="1"/>
  <c r="X67" i="4" a="1"/>
  <c r="X67" i="4" s="1"/>
  <c r="Y67" i="4" s="1"/>
  <c r="Z67" i="4" s="1"/>
  <c r="X183" i="4" a="1"/>
  <c r="X183" i="4" s="1"/>
  <c r="Y183" i="4" s="1"/>
  <c r="X211" i="4" a="1"/>
  <c r="X211" i="4" s="1"/>
  <c r="Y211" i="4" s="1"/>
  <c r="X238" i="4" a="1"/>
  <c r="X238" i="4" s="1"/>
  <c r="Y238" i="4" s="1"/>
  <c r="X308" i="4" a="1"/>
  <c r="X308" i="4" s="1"/>
  <c r="Y308" i="4" s="1"/>
  <c r="X316" i="4" a="1"/>
  <c r="X316" i="4" s="1"/>
  <c r="Y316" i="4" s="1"/>
  <c r="X132" i="22" a="1"/>
  <c r="X132" i="22" s="1"/>
  <c r="Y132" i="22" s="1"/>
  <c r="X89" i="22" a="1"/>
  <c r="X89" i="22" s="1"/>
  <c r="Y89" i="22" s="1"/>
  <c r="X43" i="22" a="1"/>
  <c r="X43" i="22" s="1"/>
  <c r="Y43" i="22" s="1"/>
  <c r="X76" i="4" a="1"/>
  <c r="X76" i="4" s="1"/>
  <c r="Y76" i="4" s="1"/>
  <c r="X103" i="4" a="1"/>
  <c r="X103" i="4" s="1"/>
  <c r="Y103" i="4" s="1"/>
  <c r="Z103" i="4" s="1"/>
  <c r="X204" i="4" a="1"/>
  <c r="X204" i="4" s="1"/>
  <c r="Y204" i="4" s="1"/>
  <c r="X308" i="22" a="1"/>
  <c r="X308" i="22" s="1"/>
  <c r="Y308" i="22" s="1"/>
  <c r="X277" i="22" a="1"/>
  <c r="X277" i="22" s="1"/>
  <c r="Y277" i="22" s="1"/>
  <c r="X74" i="22" a="1"/>
  <c r="X74" i="22" s="1"/>
  <c r="Y74" i="22" s="1"/>
  <c r="Z74" i="22" s="1"/>
  <c r="X8" i="22" a="1"/>
  <c r="X8" i="22" s="1"/>
  <c r="Y8" i="22" s="1"/>
  <c r="Z8" i="22" s="1"/>
  <c r="X132" i="4" a="1"/>
  <c r="X132" i="4" s="1"/>
  <c r="Y132" i="4" s="1"/>
  <c r="X259" i="22" a="1"/>
  <c r="X259" i="22" s="1"/>
  <c r="Y259" i="22" s="1"/>
  <c r="X172" i="22" a="1"/>
  <c r="X172" i="22" s="1"/>
  <c r="Y172" i="22" s="1"/>
  <c r="X146" i="22" a="1"/>
  <c r="X146" i="22" s="1"/>
  <c r="Y146" i="22" s="1"/>
  <c r="X67" i="22" a="1"/>
  <c r="X67" i="22" s="1"/>
  <c r="Y67" i="22" s="1"/>
  <c r="Z67" i="22" s="1"/>
  <c r="AA67" i="22" s="1"/>
  <c r="X15" i="22" a="1"/>
  <c r="X15" i="22" s="1"/>
  <c r="Y15" i="22" s="1"/>
  <c r="Z15" i="22" s="1"/>
  <c r="X22" i="4" a="1"/>
  <c r="X22" i="4" s="1"/>
  <c r="Y22" i="4" s="1"/>
  <c r="Z22" i="4" s="1"/>
  <c r="X82" i="4" a="1"/>
  <c r="X82" i="4" s="1"/>
  <c r="Y82" i="4" s="1"/>
  <c r="Z82" i="4" s="1"/>
  <c r="X153" i="4" a="1"/>
  <c r="X153" i="4" s="1"/>
  <c r="Y153" i="4" s="1"/>
  <c r="X224" i="4" a="1"/>
  <c r="X224" i="4" s="1"/>
  <c r="Y224" i="4" s="1"/>
  <c r="X277" i="4" a="1"/>
  <c r="X277" i="4" s="1"/>
  <c r="Y277" i="4" s="1"/>
  <c r="X297" i="4" a="1"/>
  <c r="X297" i="4" s="1"/>
  <c r="Y297" i="4" s="1"/>
  <c r="X238" i="22" a="1"/>
  <c r="X238" i="22" s="1"/>
  <c r="Y238" i="22" s="1"/>
  <c r="X284" i="22" a="1"/>
  <c r="X284" i="22" s="1"/>
  <c r="Y284" i="22" s="1"/>
  <c r="X252" i="22" a="1"/>
  <c r="X252" i="22" s="1"/>
  <c r="Y252" i="22" s="1"/>
  <c r="X245" i="22" a="1"/>
  <c r="X245" i="22" s="1"/>
  <c r="Y245" i="22" s="1"/>
  <c r="X116" i="22" a="1"/>
  <c r="X116" i="22" s="1"/>
  <c r="Y116" i="22" s="1"/>
  <c r="X71" i="4" a="1"/>
  <c r="X71" i="4" s="1"/>
  <c r="Y71" i="4" s="1"/>
  <c r="Z71" i="4" s="1"/>
  <c r="X63" i="4" a="1"/>
  <c r="X63" i="4" s="1"/>
  <c r="Y63" i="4" s="1"/>
  <c r="X316" i="22" a="1"/>
  <c r="X316" i="22" s="1"/>
  <c r="Y316" i="22" s="1"/>
  <c r="X50" i="22" a="1"/>
  <c r="X50" i="22" s="1"/>
  <c r="Y50" i="22" s="1"/>
  <c r="X36" i="4" a="1"/>
  <c r="X36" i="4" s="1"/>
  <c r="Y36" i="4" s="1"/>
  <c r="X190" i="4" a="1"/>
  <c r="X190" i="4" s="1"/>
  <c r="Y190" i="4" s="1"/>
  <c r="X297" i="22" a="1"/>
  <c r="X297" i="22" s="1"/>
  <c r="Y297" i="22" s="1"/>
  <c r="X231" i="22" a="1"/>
  <c r="X231" i="22" s="1"/>
  <c r="Y231" i="22" s="1"/>
  <c r="X29" i="22" a="1"/>
  <c r="X29" i="22" s="1"/>
  <c r="Y29" i="22" s="1"/>
  <c r="X43" i="4" a="1"/>
  <c r="X43" i="4" s="1"/>
  <c r="Y43" i="4" s="1"/>
  <c r="X110" i="4" a="1"/>
  <c r="X110" i="4" s="1"/>
  <c r="Y110" i="4" s="1"/>
  <c r="Z110" i="4" s="1"/>
  <c r="X56" i="22" a="1"/>
  <c r="X56" i="22" s="1"/>
  <c r="Y56" i="22" s="1"/>
  <c r="X302" i="22" a="1"/>
  <c r="X302" i="22" s="1"/>
  <c r="Y302" i="22" s="1"/>
  <c r="X271" i="22" a="1"/>
  <c r="X271" i="22" s="1"/>
  <c r="Y271" i="22" s="1"/>
  <c r="X211" i="22" a="1"/>
  <c r="X211" i="22" s="1"/>
  <c r="Y211" i="22" s="1"/>
  <c r="X197" i="22" a="1"/>
  <c r="X197" i="22" s="1"/>
  <c r="Y197" i="22" s="1"/>
  <c r="X71" i="22" a="1"/>
  <c r="X71" i="22" s="1"/>
  <c r="Y71" i="22" s="1"/>
  <c r="Z71" i="22" s="1"/>
  <c r="AA71" i="22" s="1"/>
  <c r="X36" i="22" a="1"/>
  <c r="X36" i="22" s="1"/>
  <c r="X314" i="4" a="1"/>
  <c r="X314" i="4" s="1"/>
  <c r="Y314" i="4" s="1"/>
  <c r="X252" i="4" a="1"/>
  <c r="X252" i="4" s="1"/>
  <c r="Y252" i="4" s="1"/>
  <c r="X15" i="4" a="1"/>
  <c r="X15" i="4" s="1"/>
  <c r="Y15" i="4" s="1"/>
  <c r="Z15" i="4" s="1"/>
  <c r="X116" i="4" a="1"/>
  <c r="X116" i="4" s="1"/>
  <c r="Y116" i="4" s="1"/>
  <c r="X271" i="4" a="1"/>
  <c r="X271" i="4" s="1"/>
  <c r="Y271" i="4" s="1"/>
  <c r="X153" i="22" a="1"/>
  <c r="X153" i="22" s="1"/>
  <c r="Y153" i="22" s="1"/>
  <c r="X284" i="4" a="1"/>
  <c r="X284" i="4" s="1"/>
  <c r="Y284" i="4" s="1"/>
  <c r="X156" i="4" a="1"/>
  <c r="X156" i="4" s="1"/>
  <c r="Y156" i="4" s="1"/>
  <c r="Z156" i="4" s="1"/>
  <c r="X89" i="4" a="1"/>
  <c r="X89" i="4" s="1"/>
  <c r="Y89" i="4" s="1"/>
  <c r="X29" i="4" a="1"/>
  <c r="X29" i="4" s="1"/>
  <c r="Y29" i="4" s="1"/>
  <c r="X190" i="22" a="1"/>
  <c r="X190" i="22" s="1"/>
  <c r="Y190" i="22" s="1"/>
  <c r="X302" i="4" a="1"/>
  <c r="X302" i="4" s="1"/>
  <c r="Y302" i="4" s="1"/>
  <c r="X244" i="4" a="1"/>
  <c r="X244" i="4" s="1"/>
  <c r="Y244" i="4" s="1"/>
  <c r="X210" i="4" a="1"/>
  <c r="X210" i="4" s="1"/>
  <c r="Y210" i="4" s="1"/>
  <c r="X173" i="4" a="1"/>
  <c r="X173" i="4" s="1"/>
  <c r="Y173" i="4" s="1"/>
  <c r="X109" i="4" a="1"/>
  <c r="X109" i="4" s="1"/>
  <c r="Y109" i="4" s="1"/>
  <c r="Z109" i="4" s="1"/>
  <c r="X90" i="4" a="1"/>
  <c r="X90" i="4" s="1"/>
  <c r="Y90" i="4" s="1"/>
  <c r="X3" i="22" a="1"/>
  <c r="X3" i="22" s="1"/>
  <c r="Y3" i="22" s="1"/>
  <c r="Z3" i="22" s="1"/>
  <c r="AA3" i="22" s="1"/>
  <c r="X73" i="22" a="1"/>
  <c r="X73" i="22" s="1"/>
  <c r="Y73" i="22" s="1"/>
  <c r="Z73" i="22" s="1"/>
  <c r="X174" i="22" a="1"/>
  <c r="X174" i="22" s="1"/>
  <c r="Y174" i="22" s="1"/>
  <c r="X247" i="22" a="1"/>
  <c r="X247" i="22" s="1"/>
  <c r="Y247" i="22" s="1"/>
  <c r="X309" i="22" a="1"/>
  <c r="X309" i="22" s="1"/>
  <c r="Y309" i="22" s="1"/>
  <c r="X30" i="22" a="1"/>
  <c r="X30" i="22" s="1"/>
  <c r="Y30" i="22" s="1"/>
  <c r="X261" i="4" a="1"/>
  <c r="X261" i="4" s="1"/>
  <c r="Y261" i="4" s="1"/>
  <c r="X104" i="22" a="1"/>
  <c r="X104" i="22" s="1"/>
  <c r="Y104" i="22" s="1"/>
  <c r="Z104" i="22" s="1"/>
  <c r="X8" i="4" a="1"/>
  <c r="X8" i="4" s="1"/>
  <c r="Y8" i="4" s="1"/>
  <c r="Z8" i="4" s="1"/>
  <c r="X78" i="4" a="1"/>
  <c r="X78" i="4" s="1"/>
  <c r="Y78" i="4" s="1"/>
  <c r="Z78" i="4" s="1"/>
  <c r="X90" i="22" a="1"/>
  <c r="X90" i="22" s="1"/>
  <c r="Y90" i="22" s="1"/>
  <c r="X124" i="22" a="1"/>
  <c r="X124" i="22" s="1"/>
  <c r="Y124" i="22" s="1"/>
  <c r="X164" i="22" a="1"/>
  <c r="X164" i="22" s="1"/>
  <c r="Y164" i="22" s="1"/>
  <c r="X240" i="22" a="1"/>
  <c r="X240" i="22" s="1"/>
  <c r="Y240" i="22" s="1"/>
  <c r="X312" i="22" a="1"/>
  <c r="X312" i="22" s="1"/>
  <c r="Y312" i="22" s="1"/>
  <c r="X300" i="22" a="1"/>
  <c r="X300" i="22" s="1"/>
  <c r="Y300" i="22" s="1"/>
  <c r="X269" i="22" a="1"/>
  <c r="X269" i="22" s="1"/>
  <c r="Y269" i="22" s="1"/>
  <c r="X250" i="22" a="1"/>
  <c r="X250" i="22" s="1"/>
  <c r="Y250" i="22" s="1"/>
  <c r="X151" i="22" a="1"/>
  <c r="X151" i="22" s="1"/>
  <c r="Y151" i="22" s="1"/>
  <c r="X54" i="22" a="1"/>
  <c r="X54" i="22" s="1"/>
  <c r="Y54" i="22" s="1"/>
  <c r="X13" i="4" a="1"/>
  <c r="X13" i="4" s="1"/>
  <c r="X130" i="4" a="1"/>
  <c r="X130" i="4" s="1"/>
  <c r="Y130" i="4" s="1"/>
  <c r="X229" i="4" a="1"/>
  <c r="X229" i="4" s="1"/>
  <c r="Y229" i="4" s="1"/>
  <c r="X263" i="4" a="1"/>
  <c r="X263" i="4" s="1"/>
  <c r="Y263" i="4" s="1"/>
  <c r="X347" i="4" a="1"/>
  <c r="X347" i="4" s="1"/>
  <c r="Y347" i="4" s="1"/>
  <c r="X330" i="22" a="1"/>
  <c r="X330" i="22" s="1"/>
  <c r="Y330" i="22" s="1"/>
  <c r="X188" i="22" a="1"/>
  <c r="X188" i="22" s="1"/>
  <c r="Y188" i="22" s="1"/>
  <c r="X41" i="4" a="1"/>
  <c r="X41" i="4" s="1"/>
  <c r="Y41" i="4" s="1"/>
  <c r="X121" i="4" a="1"/>
  <c r="X121" i="4" s="1"/>
  <c r="Y121" i="4" s="1"/>
  <c r="X335" i="22" a="1"/>
  <c r="X335" i="22" s="1"/>
  <c r="Y335" i="22" s="1"/>
  <c r="X282" i="22" a="1"/>
  <c r="X282" i="22" s="1"/>
  <c r="Y282" i="22" s="1"/>
  <c r="X243" i="22" a="1"/>
  <c r="X243" i="22" s="1"/>
  <c r="Y243" i="22" s="1"/>
  <c r="X108" i="22" a="1"/>
  <c r="X108" i="22" s="1"/>
  <c r="Y108" i="22" s="1"/>
  <c r="Z108" i="22" s="1"/>
  <c r="AA108" i="22" s="1"/>
  <c r="X65" i="22" a="1"/>
  <c r="X65" i="22" s="1"/>
  <c r="Y65" i="22" s="1"/>
  <c r="Z65" i="22" s="1"/>
  <c r="X48" i="22" a="1"/>
  <c r="X48" i="22" s="1"/>
  <c r="Y48" i="22" s="1"/>
  <c r="X176" i="4" a="1"/>
  <c r="X176" i="4" s="1"/>
  <c r="Y176" i="4" s="1"/>
  <c r="X181" i="22" a="1"/>
  <c r="X181" i="22" s="1"/>
  <c r="Y181" i="22" s="1"/>
  <c r="X176" i="22" a="1"/>
  <c r="X176" i="22" s="1"/>
  <c r="Y176" i="22" s="1"/>
  <c r="X93" i="22" a="1"/>
  <c r="X93" i="22" s="1"/>
  <c r="Y93" i="22" s="1"/>
  <c r="X188" i="4" a="1"/>
  <c r="X188" i="4" s="1"/>
  <c r="Y188" i="4" s="1"/>
  <c r="X289" i="4" a="1"/>
  <c r="X289" i="4" s="1"/>
  <c r="Y289" i="4" s="1"/>
  <c r="X312" i="4" a="1"/>
  <c r="X312" i="4" s="1"/>
  <c r="Y312" i="4" s="1"/>
  <c r="X6" i="4" a="1"/>
  <c r="X6" i="4" s="1"/>
  <c r="Y6" i="4" s="1"/>
  <c r="Z6" i="4" s="1"/>
  <c r="X289" i="22" a="1"/>
  <c r="X289" i="22" s="1"/>
  <c r="Y289" i="22" s="1"/>
  <c r="X162" i="22" a="1"/>
  <c r="X162" i="22" s="1"/>
  <c r="Y162" i="22" s="1"/>
  <c r="X87" i="22" a="1"/>
  <c r="X87" i="22" s="1"/>
  <c r="Y87" i="22" s="1"/>
  <c r="X48" i="4" a="1"/>
  <c r="X48" i="4" s="1"/>
  <c r="Y48" i="4" s="1"/>
  <c r="X61" i="4" a="1"/>
  <c r="X61" i="4" s="1"/>
  <c r="Y61" i="4" s="1"/>
  <c r="X348" i="4" a="1"/>
  <c r="X348" i="4" s="1"/>
  <c r="Y348" i="4" s="1"/>
  <c r="X339" i="22" a="1"/>
  <c r="X339" i="22" s="1"/>
  <c r="Y339" i="22" s="1"/>
  <c r="X263" i="22" a="1"/>
  <c r="X263" i="22" s="1"/>
  <c r="Y263" i="22" s="1"/>
  <c r="X144" i="4" a="1"/>
  <c r="X144" i="4" s="1"/>
  <c r="Y144" i="4" s="1"/>
  <c r="X269" i="4" a="1"/>
  <c r="X269" i="4" s="1"/>
  <c r="Y269" i="4" s="1"/>
  <c r="X322" i="22" a="1"/>
  <c r="X322" i="22" s="1"/>
  <c r="Y322" i="22" s="1"/>
  <c r="X121" i="22" a="1"/>
  <c r="X121" i="22" s="1"/>
  <c r="Y121" i="22" s="1"/>
  <c r="X13" i="22" a="1"/>
  <c r="X13" i="22" s="1"/>
  <c r="Y13" i="22" s="1"/>
  <c r="Z13" i="22" s="1"/>
  <c r="X202" i="4" a="1"/>
  <c r="X202" i="4" s="1"/>
  <c r="Y202" i="4" s="1"/>
  <c r="X257" i="4" a="1"/>
  <c r="X257" i="4" s="1"/>
  <c r="Y257" i="4" s="1"/>
  <c r="X300" i="4" a="1"/>
  <c r="X300" i="4" s="1"/>
  <c r="Y300" i="4" s="1"/>
  <c r="X330" i="4" a="1"/>
  <c r="X330" i="4" s="1"/>
  <c r="Y330" i="4" s="1"/>
  <c r="X339" i="4" a="1"/>
  <c r="X339" i="4" s="1"/>
  <c r="Y339" i="4" s="1"/>
  <c r="X209" i="22" a="1"/>
  <c r="X209" i="22" s="1"/>
  <c r="Y209" i="22" s="1"/>
  <c r="X27" i="22" a="1"/>
  <c r="X27" i="22" s="1"/>
  <c r="Y27" i="22" s="1"/>
  <c r="X202" i="22" a="1"/>
  <c r="X202" i="22" s="1"/>
  <c r="Y202" i="22" s="1"/>
  <c r="X222" i="22" a="1"/>
  <c r="X222" i="22" s="1"/>
  <c r="Y222" i="22" s="1"/>
  <c r="X229" i="22" a="1"/>
  <c r="X229" i="22" s="1"/>
  <c r="Y229" i="22" s="1"/>
  <c r="X266" i="22" a="1"/>
  <c r="X266" i="22" s="1"/>
  <c r="Y266" i="22" s="1"/>
  <c r="X295" i="22" a="1"/>
  <c r="X295" i="22" s="1"/>
  <c r="Y295" i="22" s="1"/>
  <c r="X155" i="22" a="1"/>
  <c r="X155" i="22" s="1"/>
  <c r="Y155" i="22" s="1"/>
  <c r="Z155" i="22" s="1"/>
  <c r="X85" i="22" a="1"/>
  <c r="X85" i="22" s="1"/>
  <c r="Y85" i="22" s="1"/>
  <c r="X32" i="22" a="1"/>
  <c r="X32" i="22" s="1"/>
  <c r="Y32" i="22" s="1"/>
  <c r="X59" i="4" a="1"/>
  <c r="X59" i="4" s="1"/>
  <c r="Y59" i="4" s="1"/>
  <c r="X193" i="4" a="1"/>
  <c r="X193" i="4" s="1"/>
  <c r="Y193" i="4" s="1"/>
  <c r="X280" i="4" a="1"/>
  <c r="X280" i="4" s="1"/>
  <c r="Y280" i="4" s="1"/>
  <c r="X324" i="4" a="1"/>
  <c r="X324" i="4" s="1"/>
  <c r="Y324" i="4" s="1"/>
  <c r="X341" i="22" a="1"/>
  <c r="X341" i="22" s="1"/>
  <c r="Y341" i="22" s="1"/>
  <c r="X320" i="22" a="1"/>
  <c r="X320" i="22" s="1"/>
  <c r="Y320" i="22" s="1"/>
  <c r="X287" i="22" a="1"/>
  <c r="X287" i="22" s="1"/>
  <c r="Y287" i="22" s="1"/>
  <c r="X234" i="22" a="1"/>
  <c r="X234" i="22" s="1"/>
  <c r="Y234" i="22" s="1"/>
  <c r="X18" i="22" a="1"/>
  <c r="X18" i="22" s="1"/>
  <c r="Y18" i="22" s="1"/>
  <c r="Z18" i="22" s="1"/>
  <c r="AA18" i="22" s="1"/>
  <c r="X32" i="4" a="1"/>
  <c r="X32" i="4" s="1"/>
  <c r="Y32" i="4" s="1"/>
  <c r="X85" i="4" a="1"/>
  <c r="X85" i="4" s="1"/>
  <c r="Y85" i="4" s="1"/>
  <c r="X139" i="4" a="1"/>
  <c r="X139" i="4" s="1"/>
  <c r="Y139" i="4" s="1"/>
  <c r="X220" i="4" a="1"/>
  <c r="X220" i="4" s="1"/>
  <c r="Y220" i="4" s="1"/>
  <c r="X255" i="22" a="1"/>
  <c r="X255" i="22" s="1"/>
  <c r="Y255" i="22" s="1"/>
  <c r="X193" i="22" a="1"/>
  <c r="X193" i="22" s="1"/>
  <c r="Y193" i="22" s="1"/>
  <c r="X168" i="22" a="1"/>
  <c r="X168" i="22" s="1"/>
  <c r="Y168" i="22" s="1"/>
  <c r="X160" i="22" a="1"/>
  <c r="X160" i="22" s="1"/>
  <c r="Y160" i="22" s="1"/>
  <c r="X135" i="22" a="1"/>
  <c r="X135" i="22" s="1"/>
  <c r="Y135" i="22" s="1"/>
  <c r="Z135" i="22" s="1"/>
  <c r="X99" i="22" a="1"/>
  <c r="X99" i="22" s="1"/>
  <c r="Y99" i="22" s="1"/>
  <c r="Z99" i="22" s="1"/>
  <c r="X59" i="22" a="1"/>
  <c r="X59" i="22" s="1"/>
  <c r="Y59" i="22" s="1"/>
  <c r="X112" i="4" a="1"/>
  <c r="X112" i="4" s="1"/>
  <c r="Y112" i="4" s="1"/>
  <c r="X149" i="4" a="1"/>
  <c r="X149" i="4" s="1"/>
  <c r="Y149" i="4" s="1"/>
  <c r="X158" i="4" a="1"/>
  <c r="X158" i="4" s="1"/>
  <c r="Y158" i="4" s="1"/>
  <c r="X168" i="4" a="1"/>
  <c r="X168" i="4" s="1"/>
  <c r="Y168" i="4" s="1"/>
  <c r="X248" i="4" a="1"/>
  <c r="X248" i="4" s="1"/>
  <c r="Y248" i="4" s="1"/>
  <c r="X333" i="4" a="1"/>
  <c r="X333" i="4" s="1"/>
  <c r="Y333" i="4" s="1"/>
  <c r="X4" i="4" a="1"/>
  <c r="X4" i="4" s="1"/>
  <c r="Y4" i="4" s="1"/>
  <c r="Z4" i="4" s="1"/>
  <c r="X79" i="22" a="1"/>
  <c r="X79" i="22" s="1"/>
  <c r="Y79" i="22" s="1"/>
  <c r="Z79" i="22" s="1"/>
  <c r="AA79" i="22" s="1"/>
  <c r="X39" i="22" a="1"/>
  <c r="X39" i="22" s="1"/>
  <c r="Y39" i="22" s="1"/>
  <c r="X328" i="4" a="1"/>
  <c r="X328" i="4" s="1"/>
  <c r="Y328" i="4" s="1"/>
  <c r="X119" i="4" a="1"/>
  <c r="X119" i="4" s="1"/>
  <c r="Y119" i="4" s="1"/>
  <c r="X227" i="4" a="1"/>
  <c r="X227" i="4" s="1"/>
  <c r="Y227" i="4" s="1"/>
  <c r="X304" i="22" a="1"/>
  <c r="X304" i="22" s="1"/>
  <c r="Y304" i="22" s="1"/>
  <c r="X128" i="22" a="1"/>
  <c r="X128" i="22" s="1"/>
  <c r="Y128" i="22" s="1"/>
  <c r="X25" i="22" a="1"/>
  <c r="X25" i="22" s="1"/>
  <c r="Y25" i="22" s="1"/>
  <c r="X25" i="4" a="1"/>
  <c r="X25" i="4" s="1"/>
  <c r="Y25" i="4" s="1"/>
  <c r="X106" i="4" a="1"/>
  <c r="X106" i="4" s="1"/>
  <c r="Y106" i="4" s="1"/>
  <c r="Z106" i="4" s="1"/>
  <c r="X214" i="4" a="1"/>
  <c r="X214" i="4" s="1"/>
  <c r="Y214" i="4" s="1"/>
  <c r="X287" i="4" a="1"/>
  <c r="X287" i="4" s="1"/>
  <c r="Y287" i="4" s="1"/>
  <c r="X310" i="4" a="1"/>
  <c r="X310" i="4" s="1"/>
  <c r="Y310" i="4" s="1"/>
  <c r="X320" i="4" a="1"/>
  <c r="X320" i="4" s="1"/>
  <c r="Y320" i="4" s="1"/>
  <c r="X186" i="22" a="1"/>
  <c r="X186" i="22" s="1"/>
  <c r="Y186" i="22" s="1"/>
  <c r="X139" i="22" a="1"/>
  <c r="X139" i="22" s="1"/>
  <c r="Y139" i="22" s="1"/>
  <c r="X333" i="22" a="1"/>
  <c r="X333" i="22" s="1"/>
  <c r="Y333" i="22" s="1"/>
  <c r="X328" i="22" a="1"/>
  <c r="X328" i="22" s="1"/>
  <c r="Y328" i="22" s="1"/>
  <c r="X220" i="22" a="1"/>
  <c r="X220" i="22" s="1"/>
  <c r="Y220" i="22" s="1"/>
  <c r="X106" i="22" a="1"/>
  <c r="X106" i="22" s="1"/>
  <c r="Y106" i="22" s="1"/>
  <c r="Z106" i="22" s="1"/>
  <c r="AA106" i="22" s="1"/>
  <c r="X11" i="4" a="1"/>
  <c r="X11" i="4" s="1"/>
  <c r="Y11" i="4" s="1"/>
  <c r="Z11" i="4" s="1"/>
  <c r="X345" i="22" a="1"/>
  <c r="X345" i="22" s="1"/>
  <c r="Y345" i="22" s="1"/>
  <c r="X155" i="4" a="1"/>
  <c r="X155" i="4" s="1"/>
  <c r="Y155" i="4" s="1"/>
  <c r="Z155" i="4" s="1"/>
  <c r="X331" i="4" a="1"/>
  <c r="X331" i="4" s="1"/>
  <c r="Y331" i="4" s="1"/>
  <c r="X241" i="4" a="1"/>
  <c r="X241" i="4" s="1"/>
  <c r="Y241" i="4" s="1"/>
  <c r="X222" i="4" a="1"/>
  <c r="X222" i="4" s="1"/>
  <c r="Y222" i="4" s="1"/>
  <c r="X207" i="4" a="1"/>
  <c r="X207" i="4" s="1"/>
  <c r="Y207" i="4" s="1"/>
  <c r="X186" i="4" a="1"/>
  <c r="X186" i="4" s="1"/>
  <c r="Y186" i="4" s="1"/>
  <c r="X170" i="4" a="1"/>
  <c r="X170" i="4" s="1"/>
  <c r="Y170" i="4" s="1"/>
  <c r="X151" i="4" a="1"/>
  <c r="X151" i="4" s="1"/>
  <c r="Y151" i="4" s="1"/>
  <c r="X65" i="4" a="1"/>
  <c r="X65" i="4" s="1"/>
  <c r="Y65" i="4" s="1"/>
  <c r="Z65" i="4" s="1"/>
  <c r="X46" i="4" a="1"/>
  <c r="X46" i="4" s="1"/>
  <c r="X69" i="22" a="1"/>
  <c r="X69" i="22" s="1"/>
  <c r="Y69" i="22" s="1"/>
  <c r="Z69" i="22" s="1"/>
  <c r="X216" i="22" a="1"/>
  <c r="X216" i="22" s="1"/>
  <c r="Y216" i="22" s="1"/>
  <c r="X306" i="22" a="1"/>
  <c r="X306" i="22" s="1"/>
  <c r="Y306" i="22" s="1"/>
  <c r="X41" i="22" a="1"/>
  <c r="X41" i="22" s="1"/>
  <c r="Y41" i="22" s="1"/>
  <c r="X91" i="22" a="1"/>
  <c r="X91" i="22" s="1"/>
  <c r="Y91" i="22" s="1"/>
  <c r="X236" i="22" a="1"/>
  <c r="X236" i="22" s="1"/>
  <c r="Y236" i="22" s="1"/>
  <c r="X34" i="22" a="1"/>
  <c r="X34" i="22" s="1"/>
  <c r="Y34" i="22" s="1"/>
  <c r="X87" i="4" a="1"/>
  <c r="X87" i="4" s="1"/>
  <c r="Y87" i="4" s="1"/>
  <c r="X114" i="4" a="1"/>
  <c r="X114" i="4" s="1"/>
  <c r="Y114" i="4" s="1"/>
  <c r="X80" i="4" a="1"/>
  <c r="X80" i="4" s="1"/>
  <c r="Y80" i="4" s="1"/>
  <c r="Z80" i="4" s="1"/>
  <c r="X273" i="22" a="1"/>
  <c r="X273" i="22" s="1"/>
  <c r="Y273" i="22" s="1"/>
  <c r="X343" i="4" a="1"/>
  <c r="X343" i="4" s="1"/>
  <c r="Y343" i="4" s="1"/>
  <c r="X295" i="4" a="1"/>
  <c r="X295" i="4" s="1"/>
  <c r="Y295" i="4" s="1"/>
  <c r="X282" i="4" a="1"/>
  <c r="X282" i="4" s="1"/>
  <c r="Y282" i="4" s="1"/>
  <c r="X266" i="4" a="1"/>
  <c r="X266" i="4" s="1"/>
  <c r="Y266" i="4" s="1"/>
  <c r="X236" i="4" a="1"/>
  <c r="X236" i="4" s="1"/>
  <c r="Y236" i="4" s="1"/>
  <c r="X200" i="4" a="1"/>
  <c r="X200" i="4" s="1"/>
  <c r="Y200" i="4" s="1"/>
  <c r="X181" i="4" a="1"/>
  <c r="X181" i="4" s="1"/>
  <c r="Y181" i="4" s="1"/>
  <c r="X79" i="4" a="1"/>
  <c r="X79" i="4" s="1"/>
  <c r="Y79" i="4" s="1"/>
  <c r="Z79" i="4" s="1"/>
  <c r="X101" i="22" a="1"/>
  <c r="X101" i="22" s="1"/>
  <c r="Y101" i="22" s="1"/>
  <c r="Z101" i="22" s="1"/>
  <c r="AA101" i="22" s="1"/>
  <c r="X114" i="22" a="1"/>
  <c r="X114" i="22" s="1"/>
  <c r="Y114" i="22" s="1"/>
  <c r="X149" i="22" a="1"/>
  <c r="X149" i="22" s="1"/>
  <c r="Y149" i="22" s="1"/>
  <c r="X324" i="22" a="1"/>
  <c r="X324" i="22" s="1"/>
  <c r="Y324" i="22" s="1"/>
  <c r="X331" i="22" a="1"/>
  <c r="X331" i="22" s="1"/>
  <c r="Y331" i="22" s="1"/>
  <c r="X27" i="4" a="1"/>
  <c r="X27" i="4" s="1"/>
  <c r="Y27" i="4" s="1"/>
  <c r="X20" i="22" a="1"/>
  <c r="X20" i="22" s="1"/>
  <c r="Y20" i="22" s="1"/>
  <c r="Z20" i="22" s="1"/>
  <c r="AA20" i="22" s="1"/>
  <c r="X61" i="22" a="1"/>
  <c r="X61" i="22" s="1"/>
  <c r="Y61" i="22" s="1"/>
  <c r="G52" i="22"/>
  <c r="I52" i="22" s="1"/>
  <c r="G15" i="22"/>
  <c r="I15" i="22" s="1"/>
  <c r="J15" i="22" s="1"/>
  <c r="K15" i="22" s="1"/>
  <c r="L15" i="22" s="1"/>
  <c r="G7" i="22"/>
  <c r="I7" i="22" s="1"/>
  <c r="G63" i="22"/>
  <c r="I63" i="22" s="1"/>
  <c r="G71" i="22"/>
  <c r="I71" i="22" s="1"/>
  <c r="U71" i="22" s="1"/>
  <c r="V71" i="22" s="1"/>
  <c r="G43" i="22"/>
  <c r="I43" i="22" s="1"/>
  <c r="G39" i="22"/>
  <c r="I39" i="22" s="1"/>
  <c r="W39" i="22" s="1"/>
  <c r="G13" i="22"/>
  <c r="I13" i="22" s="1"/>
  <c r="J13" i="22" s="1"/>
  <c r="K13" i="22" s="1"/>
  <c r="G90" i="22"/>
  <c r="I90" i="22" s="1"/>
  <c r="R90" i="22" s="1"/>
  <c r="G25" i="22"/>
  <c r="I25" i="22" s="1"/>
  <c r="G18" i="22"/>
  <c r="I18" i="22" s="1"/>
  <c r="G89" i="22"/>
  <c r="I89" i="22" s="1"/>
  <c r="G83" i="22"/>
  <c r="I83" i="22" s="1"/>
  <c r="G69" i="22"/>
  <c r="I69" i="22" s="1"/>
  <c r="G55" i="22"/>
  <c r="I55" i="22" s="1"/>
  <c r="G44" i="22"/>
  <c r="I44" i="22" s="1"/>
  <c r="G4" i="22"/>
  <c r="G92" i="22"/>
  <c r="I92" i="22" s="1"/>
  <c r="AA92" i="22" s="1"/>
  <c r="G78" i="22"/>
  <c r="I78" i="22" s="1"/>
  <c r="S78" i="22" s="1"/>
  <c r="G37" i="22"/>
  <c r="I37" i="22" s="1"/>
  <c r="R37" i="22" s="1"/>
  <c r="G19" i="22"/>
  <c r="I19" i="22" s="1"/>
  <c r="G11" i="22"/>
  <c r="I11" i="22" s="1"/>
  <c r="S11" i="22" s="1"/>
  <c r="G64" i="22"/>
  <c r="I64" i="22" s="1"/>
  <c r="G51" i="22"/>
  <c r="I51" i="22" s="1"/>
  <c r="G47" i="22"/>
  <c r="I47" i="22" s="1"/>
  <c r="G33" i="22"/>
  <c r="I33" i="22" s="1"/>
  <c r="S33" i="22" s="1"/>
  <c r="G29" i="22"/>
  <c r="I29" i="22" s="1"/>
  <c r="W29" i="22" s="1"/>
  <c r="G22" i="22"/>
  <c r="I22" i="22" s="1"/>
  <c r="W22" i="22" s="1"/>
  <c r="G14" i="22"/>
  <c r="I14" i="22" s="1"/>
  <c r="S14" i="22" s="1"/>
  <c r="G3" i="22"/>
  <c r="I3" i="22" s="1"/>
  <c r="O3" i="22" s="1"/>
  <c r="P3" i="22" s="1"/>
  <c r="G40" i="22"/>
  <c r="I40" i="22" s="1"/>
  <c r="W40" i="22" s="1"/>
  <c r="G26" i="22"/>
  <c r="I26" i="22" s="1"/>
  <c r="G17" i="22"/>
  <c r="I17" i="22" s="1"/>
  <c r="S17" i="22" s="1"/>
  <c r="G88" i="22"/>
  <c r="I88" i="22" s="1"/>
  <c r="U88" i="22" s="1"/>
  <c r="V88" i="22" s="1"/>
  <c r="G77" i="22"/>
  <c r="I77" i="22" s="1"/>
  <c r="G67" i="22"/>
  <c r="I67" i="22" s="1"/>
  <c r="G76" i="22"/>
  <c r="I76" i="22" s="1"/>
  <c r="R76" i="22" s="1"/>
  <c r="G16" i="22"/>
  <c r="I16" i="22" s="1"/>
  <c r="G35" i="22"/>
  <c r="I35" i="22" s="1"/>
  <c r="G20" i="22"/>
  <c r="I20" i="22" s="1"/>
  <c r="U20" i="22" s="1"/>
  <c r="V20" i="22" s="1"/>
  <c r="G56" i="22"/>
  <c r="I56" i="22" s="1"/>
  <c r="G31" i="22"/>
  <c r="I31" i="22" s="1"/>
  <c r="AA31" i="22" s="1"/>
  <c r="G12" i="22"/>
  <c r="I12" i="22" s="1"/>
  <c r="G9" i="22"/>
  <c r="I9" i="22" s="1"/>
  <c r="O9" i="22" s="1"/>
  <c r="P9" i="22" s="1"/>
  <c r="G87" i="22"/>
  <c r="I87" i="22" s="1"/>
  <c r="W87" i="22" s="1"/>
  <c r="G27" i="22"/>
  <c r="I27" i="22" s="1"/>
  <c r="G5" i="22"/>
  <c r="I5" i="22" s="1"/>
  <c r="G79" i="22"/>
  <c r="I79" i="22" s="1"/>
  <c r="G24" i="22"/>
  <c r="I24" i="22" s="1"/>
  <c r="AA26" i="22"/>
  <c r="Y18" i="4"/>
  <c r="Z18" i="4" s="1"/>
  <c r="F23" i="7"/>
  <c r="G23" i="7" s="1"/>
  <c r="H23" i="7" s="1"/>
  <c r="I23" i="7" s="1"/>
  <c r="J23" i="7" s="1"/>
  <c r="Y73" i="4"/>
  <c r="Z73" i="4" s="1"/>
  <c r="Y49" i="4"/>
  <c r="Y37" i="4"/>
  <c r="Y13" i="4"/>
  <c r="Z13" i="4" s="1"/>
  <c r="Y36" i="22"/>
  <c r="F22" i="7"/>
  <c r="G22" i="7" s="1"/>
  <c r="H22" i="7" s="1"/>
  <c r="I22" i="7" s="1"/>
  <c r="J22" i="7" s="1"/>
  <c r="Y12" i="4"/>
  <c r="Z12" i="4" s="1"/>
  <c r="F21" i="7"/>
  <c r="G21" i="7" s="1"/>
  <c r="H21" i="7" s="1"/>
  <c r="I21" i="7" s="1"/>
  <c r="J21" i="7" s="1"/>
  <c r="Y40" i="22"/>
  <c r="F20" i="7"/>
  <c r="G20" i="7" s="1"/>
  <c r="H20" i="7" s="1"/>
  <c r="I20" i="7" s="1"/>
  <c r="J20" i="7" s="1"/>
  <c r="Y46" i="4"/>
  <c r="Y34" i="4"/>
  <c r="Y10" i="4"/>
  <c r="Z10" i="4" s="1"/>
  <c r="Y14" i="22"/>
  <c r="Z14" i="22" s="1"/>
  <c r="AA14" i="22" s="1"/>
  <c r="AA87" i="22"/>
  <c r="F16" i="7"/>
  <c r="G16" i="7" s="1"/>
  <c r="H16" i="7" s="1"/>
  <c r="I16" i="7" s="1"/>
  <c r="J16" i="7" s="1"/>
  <c r="R77" i="22"/>
  <c r="S77" i="22"/>
  <c r="W77" i="22"/>
  <c r="U77" i="22"/>
  <c r="V77" i="22" s="1"/>
  <c r="O7" i="22"/>
  <c r="P7" i="22" s="1"/>
  <c r="U7" i="22"/>
  <c r="V7" i="22" s="1"/>
  <c r="S7" i="22"/>
  <c r="R7" i="22"/>
  <c r="W7" i="22"/>
  <c r="J7" i="22"/>
  <c r="K7" i="22" s="1"/>
  <c r="M149" i="22"/>
  <c r="L149" i="22"/>
  <c r="N149" i="22"/>
  <c r="Q3" i="22"/>
  <c r="T3" i="22"/>
  <c r="J24" i="22"/>
  <c r="K24" i="22" s="1"/>
  <c r="R12" i="22"/>
  <c r="O12" i="22"/>
  <c r="P12" i="22" s="1"/>
  <c r="J12" i="22"/>
  <c r="K12" i="22" s="1"/>
  <c r="U12" i="22"/>
  <c r="V12" i="22" s="1"/>
  <c r="W12" i="22"/>
  <c r="J29" i="22"/>
  <c r="K29" i="22" s="1"/>
  <c r="W165" i="22"/>
  <c r="J165" i="22"/>
  <c r="K165" i="22" s="1"/>
  <c r="R165" i="22"/>
  <c r="S165" i="22"/>
  <c r="AA165" i="22"/>
  <c r="U165" i="22"/>
  <c r="V165" i="22" s="1"/>
  <c r="O165" i="22"/>
  <c r="P165" i="22" s="1"/>
  <c r="R20" i="22"/>
  <c r="S20" i="22"/>
  <c r="O20" i="22"/>
  <c r="P20" i="22" s="1"/>
  <c r="W20" i="22"/>
  <c r="J20" i="22"/>
  <c r="K20" i="22" s="1"/>
  <c r="W35" i="22"/>
  <c r="S35" i="22"/>
  <c r="R35" i="22"/>
  <c r="O35" i="22"/>
  <c r="P35" i="22" s="1"/>
  <c r="AA38" i="22"/>
  <c r="W47" i="22"/>
  <c r="W63" i="22"/>
  <c r="R63" i="22"/>
  <c r="O63" i="22"/>
  <c r="P63" i="22" s="1"/>
  <c r="J63" i="22"/>
  <c r="K63" i="22" s="1"/>
  <c r="U100" i="22"/>
  <c r="V100" i="22" s="1"/>
  <c r="S100" i="22"/>
  <c r="W100" i="22"/>
  <c r="R100" i="22"/>
  <c r="J100" i="22"/>
  <c r="K100" i="22" s="1"/>
  <c r="O100" i="22"/>
  <c r="P100" i="22" s="1"/>
  <c r="O151" i="22"/>
  <c r="P151" i="22" s="1"/>
  <c r="AA151" i="22"/>
  <c r="W151" i="22"/>
  <c r="S151" i="22"/>
  <c r="R151" i="22"/>
  <c r="U151" i="22"/>
  <c r="V151" i="22" s="1"/>
  <c r="J151" i="22"/>
  <c r="K151" i="22" s="1"/>
  <c r="S12" i="22"/>
  <c r="S16" i="22"/>
  <c r="J37" i="22"/>
  <c r="K37" i="22" s="1"/>
  <c r="U63" i="22"/>
  <c r="V63" i="22" s="1"/>
  <c r="S97" i="22"/>
  <c r="J97" i="22"/>
  <c r="K97" i="22" s="1"/>
  <c r="U97" i="22"/>
  <c r="V97" i="22" s="1"/>
  <c r="R97" i="22"/>
  <c r="W97" i="22"/>
  <c r="O97" i="22"/>
  <c r="P97" i="22" s="1"/>
  <c r="AA122" i="22"/>
  <c r="R136" i="22"/>
  <c r="U136" i="22"/>
  <c r="V136" i="22" s="1"/>
  <c r="O136" i="22"/>
  <c r="P136" i="22" s="1"/>
  <c r="J136" i="22"/>
  <c r="K136" i="22" s="1"/>
  <c r="S136" i="22"/>
  <c r="AA24" i="22"/>
  <c r="J56" i="22"/>
  <c r="K56" i="22" s="1"/>
  <c r="S56" i="22"/>
  <c r="R56" i="22"/>
  <c r="O56" i="22"/>
  <c r="P56" i="22" s="1"/>
  <c r="AA63" i="22"/>
  <c r="J78" i="22"/>
  <c r="K78" i="22" s="1"/>
  <c r="W78" i="22"/>
  <c r="O78" i="22"/>
  <c r="P78" i="22" s="1"/>
  <c r="U78" i="22"/>
  <c r="V78" i="22" s="1"/>
  <c r="W31" i="22"/>
  <c r="S31" i="22"/>
  <c r="R31" i="22"/>
  <c r="O31" i="22"/>
  <c r="P31" i="22" s="1"/>
  <c r="J90" i="22"/>
  <c r="K90" i="22" s="1"/>
  <c r="J22" i="22"/>
  <c r="K22" i="22" s="1"/>
  <c r="S22" i="22"/>
  <c r="R22" i="22"/>
  <c r="O22" i="22"/>
  <c r="P22" i="22" s="1"/>
  <c r="O33" i="22"/>
  <c r="P33" i="22" s="1"/>
  <c r="R33" i="22"/>
  <c r="J14" i="22"/>
  <c r="K14" i="22" s="1"/>
  <c r="O14" i="22"/>
  <c r="P14" i="22" s="1"/>
  <c r="U14" i="22"/>
  <c r="V14" i="22" s="1"/>
  <c r="W14" i="22"/>
  <c r="W92" i="22"/>
  <c r="J92" i="22"/>
  <c r="K92" i="22" s="1"/>
  <c r="U92" i="22"/>
  <c r="V92" i="22" s="1"/>
  <c r="R92" i="22"/>
  <c r="S92" i="22"/>
  <c r="O92" i="22"/>
  <c r="P92" i="22" s="1"/>
  <c r="R51" i="22"/>
  <c r="U51" i="22"/>
  <c r="V51" i="22" s="1"/>
  <c r="S51" i="22"/>
  <c r="W3" i="22"/>
  <c r="J3" i="22"/>
  <c r="K3" i="22" s="1"/>
  <c r="R3" i="22"/>
  <c r="J35" i="22"/>
  <c r="K35" i="22" s="1"/>
  <c r="S63" i="22"/>
  <c r="R14" i="22"/>
  <c r="R16" i="22"/>
  <c r="O16" i="22"/>
  <c r="P16" i="22" s="1"/>
  <c r="J16" i="22"/>
  <c r="K16" i="22" s="1"/>
  <c r="W16" i="22"/>
  <c r="U22" i="22"/>
  <c r="V22" i="22" s="1"/>
  <c r="U149" i="22"/>
  <c r="V149" i="22" s="1"/>
  <c r="S149" i="22"/>
  <c r="R149" i="22"/>
  <c r="O149" i="22"/>
  <c r="P149" i="22" s="1"/>
  <c r="W149" i="22"/>
  <c r="S40" i="22"/>
  <c r="R40" i="22"/>
  <c r="O40" i="22"/>
  <c r="P40" i="22" s="1"/>
  <c r="AA35" i="22"/>
  <c r="R44" i="22"/>
  <c r="W44" i="22"/>
  <c r="O44" i="22"/>
  <c r="P44" i="22" s="1"/>
  <c r="S44" i="22"/>
  <c r="U56" i="22"/>
  <c r="V56" i="22" s="1"/>
  <c r="G133" i="22"/>
  <c r="I133" i="22" s="1"/>
  <c r="G129" i="22"/>
  <c r="I129" i="22" s="1"/>
  <c r="G131" i="22"/>
  <c r="I131" i="22" s="1"/>
  <c r="AA131" i="22" s="1"/>
  <c r="G127" i="22"/>
  <c r="I127" i="22" s="1"/>
  <c r="G123" i="22"/>
  <c r="I123" i="22" s="1"/>
  <c r="G119" i="22"/>
  <c r="I119" i="22" s="1"/>
  <c r="G117" i="22"/>
  <c r="I117" i="22" s="1"/>
  <c r="G114" i="22"/>
  <c r="I114" i="22" s="1"/>
  <c r="G107" i="22"/>
  <c r="I107" i="22" s="1"/>
  <c r="G105" i="22"/>
  <c r="I105" i="22" s="1"/>
  <c r="G126" i="22"/>
  <c r="I126" i="22" s="1"/>
  <c r="G125" i="22"/>
  <c r="I125" i="22" s="1"/>
  <c r="G120" i="22"/>
  <c r="I120" i="22" s="1"/>
  <c r="G116" i="22"/>
  <c r="I116" i="22" s="1"/>
  <c r="AA116" i="22" s="1"/>
  <c r="G102" i="22"/>
  <c r="I102" i="22" s="1"/>
  <c r="G132" i="22"/>
  <c r="I132" i="22" s="1"/>
  <c r="G124" i="22"/>
  <c r="I124" i="22" s="1"/>
  <c r="G106" i="22"/>
  <c r="I106" i="22" s="1"/>
  <c r="G109" i="22"/>
  <c r="I109" i="22" s="1"/>
  <c r="G108" i="22"/>
  <c r="I108" i="22" s="1"/>
  <c r="G98" i="22"/>
  <c r="G118" i="22"/>
  <c r="I118" i="22" s="1"/>
  <c r="G96" i="22"/>
  <c r="I96" i="22" s="1"/>
  <c r="G103" i="22"/>
  <c r="I103" i="22" s="1"/>
  <c r="G112" i="22"/>
  <c r="I112" i="22" s="1"/>
  <c r="G128" i="22"/>
  <c r="I128" i="22" s="1"/>
  <c r="G104" i="22"/>
  <c r="I104" i="22" s="1"/>
  <c r="G113" i="22"/>
  <c r="I113" i="22" s="1"/>
  <c r="AA113" i="22" s="1"/>
  <c r="G115" i="22"/>
  <c r="I115" i="22" s="1"/>
  <c r="G122" i="22"/>
  <c r="I122" i="22" s="1"/>
  <c r="G121" i="22"/>
  <c r="I121" i="22" s="1"/>
  <c r="G101" i="22"/>
  <c r="I101" i="22" s="1"/>
  <c r="G111" i="22"/>
  <c r="I111" i="22" s="1"/>
  <c r="G130" i="22"/>
  <c r="I130" i="22" s="1"/>
  <c r="G99" i="22"/>
  <c r="I99" i="22" s="1"/>
  <c r="AA109" i="22"/>
  <c r="J18" i="22"/>
  <c r="K18" i="22" s="1"/>
  <c r="R18" i="22"/>
  <c r="O18" i="22"/>
  <c r="P18" i="22" s="1"/>
  <c r="W18" i="22"/>
  <c r="J44" i="22"/>
  <c r="K44" i="22" s="1"/>
  <c r="W56" i="22"/>
  <c r="G110" i="22"/>
  <c r="I110" i="22" s="1"/>
  <c r="I4" i="22"/>
  <c r="AA37" i="22"/>
  <c r="O29" i="22"/>
  <c r="P29" i="22" s="1"/>
  <c r="S29" i="22"/>
  <c r="R29" i="22"/>
  <c r="AA29" i="22"/>
  <c r="AA76" i="22"/>
  <c r="W76" i="22"/>
  <c r="J76" i="22"/>
  <c r="K76" i="22" s="1"/>
  <c r="O76" i="22"/>
  <c r="P76" i="22" s="1"/>
  <c r="U76" i="22"/>
  <c r="V76" i="22" s="1"/>
  <c r="S76" i="22"/>
  <c r="AA327" i="22"/>
  <c r="J39" i="22"/>
  <c r="K39" i="22" s="1"/>
  <c r="J55" i="22"/>
  <c r="K55" i="22" s="1"/>
  <c r="W71" i="22"/>
  <c r="J71" i="22"/>
  <c r="K71" i="22" s="1"/>
  <c r="AA159" i="22"/>
  <c r="O277" i="22"/>
  <c r="P277" i="22" s="1"/>
  <c r="S277" i="22"/>
  <c r="J277" i="22"/>
  <c r="K277" i="22" s="1"/>
  <c r="U277" i="22"/>
  <c r="V277" i="22" s="1"/>
  <c r="R277" i="22"/>
  <c r="W277" i="22"/>
  <c r="G93" i="22"/>
  <c r="G74" i="22"/>
  <c r="I74" i="22" s="1"/>
  <c r="G70" i="22"/>
  <c r="I70" i="22" s="1"/>
  <c r="G66" i="22"/>
  <c r="I66" i="22" s="1"/>
  <c r="G94" i="22"/>
  <c r="I94" i="22" s="1"/>
  <c r="G75" i="22"/>
  <c r="I75" i="22" s="1"/>
  <c r="G61" i="22"/>
  <c r="I61" i="22" s="1"/>
  <c r="G57" i="22"/>
  <c r="I57" i="22" s="1"/>
  <c r="G53" i="22"/>
  <c r="I53" i="22" s="1"/>
  <c r="G49" i="22"/>
  <c r="I49" i="22" s="1"/>
  <c r="AA49" i="22" s="1"/>
  <c r="G45" i="22"/>
  <c r="I45" i="22" s="1"/>
  <c r="G41" i="22"/>
  <c r="I41" i="22" s="1"/>
  <c r="AA41" i="22" s="1"/>
  <c r="G91" i="22"/>
  <c r="I91" i="22" s="1"/>
  <c r="AA91" i="22" s="1"/>
  <c r="G65" i="22"/>
  <c r="I65" i="22" s="1"/>
  <c r="G73" i="22"/>
  <c r="I73" i="22" s="1"/>
  <c r="G68" i="22"/>
  <c r="I68" i="22" s="1"/>
  <c r="G62" i="22"/>
  <c r="I62" i="22" s="1"/>
  <c r="AA62" i="22" s="1"/>
  <c r="G58" i="22"/>
  <c r="I58" i="22" s="1"/>
  <c r="G54" i="22"/>
  <c r="I54" i="22" s="1"/>
  <c r="AA54" i="22" s="1"/>
  <c r="G50" i="22"/>
  <c r="I50" i="22" s="1"/>
  <c r="G46" i="22"/>
  <c r="I46" i="22" s="1"/>
  <c r="G42" i="22"/>
  <c r="I42" i="22" s="1"/>
  <c r="G38" i="22"/>
  <c r="I38" i="22" s="1"/>
  <c r="G80" i="22"/>
  <c r="I80" i="22" s="1"/>
  <c r="AA80" i="22" s="1"/>
  <c r="G82" i="22"/>
  <c r="I82" i="22" s="1"/>
  <c r="G72" i="22"/>
  <c r="I72" i="22" s="1"/>
  <c r="G34" i="22"/>
  <c r="I34" i="22" s="1"/>
  <c r="AA34" i="22" s="1"/>
  <c r="G30" i="22"/>
  <c r="I30" i="22" s="1"/>
  <c r="AA30" i="22" s="1"/>
  <c r="G59" i="22"/>
  <c r="I59" i="22" s="1"/>
  <c r="G6" i="22"/>
  <c r="I6" i="22" s="1"/>
  <c r="G8" i="22"/>
  <c r="I8" i="22" s="1"/>
  <c r="G10" i="22"/>
  <c r="I10" i="22" s="1"/>
  <c r="G28" i="22"/>
  <c r="I28" i="22" s="1"/>
  <c r="G32" i="22"/>
  <c r="I32" i="22" s="1"/>
  <c r="G36" i="22"/>
  <c r="I36" i="22" s="1"/>
  <c r="AA40" i="22"/>
  <c r="G48" i="22"/>
  <c r="I48" i="22" s="1"/>
  <c r="AA48" i="22" s="1"/>
  <c r="G60" i="22"/>
  <c r="I60" i="22" s="1"/>
  <c r="O154" i="22"/>
  <c r="P154" i="22" s="1"/>
  <c r="W154" i="22"/>
  <c r="J154" i="22"/>
  <c r="K154" i="22" s="1"/>
  <c r="U154" i="22"/>
  <c r="V154" i="22" s="1"/>
  <c r="R154" i="22"/>
  <c r="AA225" i="22"/>
  <c r="O55" i="22"/>
  <c r="P55" i="22" s="1"/>
  <c r="O71" i="22"/>
  <c r="P71" i="22" s="1"/>
  <c r="U87" i="22"/>
  <c r="V87" i="22" s="1"/>
  <c r="S87" i="22"/>
  <c r="O87" i="22"/>
  <c r="P87" i="22" s="1"/>
  <c r="W168" i="22"/>
  <c r="O168" i="22"/>
  <c r="P168" i="22" s="1"/>
  <c r="J168" i="22"/>
  <c r="K168" i="22" s="1"/>
  <c r="AA168" i="22"/>
  <c r="G84" i="22"/>
  <c r="I84" i="22" s="1"/>
  <c r="AA84" i="22"/>
  <c r="J87" i="22"/>
  <c r="K87" i="22" s="1"/>
  <c r="AA103" i="22"/>
  <c r="R168" i="22"/>
  <c r="AA55" i="22"/>
  <c r="G21" i="22"/>
  <c r="I21" i="22" s="1"/>
  <c r="G23" i="22"/>
  <c r="I23" i="22" s="1"/>
  <c r="G81" i="22"/>
  <c r="I81" i="22" s="1"/>
  <c r="G85" i="22"/>
  <c r="I85" i="22" s="1"/>
  <c r="G86" i="22"/>
  <c r="I86" i="22" s="1"/>
  <c r="AA86" i="22" s="1"/>
  <c r="AA117" i="22"/>
  <c r="S168" i="22"/>
  <c r="AA170" i="22"/>
  <c r="W223" i="22"/>
  <c r="J223" i="22"/>
  <c r="K223" i="22" s="1"/>
  <c r="R223" i="22"/>
  <c r="O223" i="22"/>
  <c r="P223" i="22" s="1"/>
  <c r="U223" i="22"/>
  <c r="V223" i="22" s="1"/>
  <c r="S223" i="22"/>
  <c r="AA249" i="22"/>
  <c r="AA252" i="22"/>
  <c r="J257" i="22"/>
  <c r="K257" i="22" s="1"/>
  <c r="O257" i="22"/>
  <c r="P257" i="22" s="1"/>
  <c r="U257" i="22"/>
  <c r="V257" i="22" s="1"/>
  <c r="S257" i="22"/>
  <c r="R257" i="22"/>
  <c r="W257" i="22"/>
  <c r="AA56" i="22"/>
  <c r="U5" i="22"/>
  <c r="V5" i="22" s="1"/>
  <c r="U17" i="22"/>
  <c r="V17" i="22" s="1"/>
  <c r="R39" i="22"/>
  <c r="R55" i="22"/>
  <c r="R71" i="22"/>
  <c r="U168" i="22"/>
  <c r="V168" i="22" s="1"/>
  <c r="AA207" i="22"/>
  <c r="R261" i="22"/>
  <c r="O261" i="22"/>
  <c r="P261" i="22" s="1"/>
  <c r="W261" i="22"/>
  <c r="U261" i="22"/>
  <c r="V261" i="22" s="1"/>
  <c r="S261" i="22"/>
  <c r="J261" i="22"/>
  <c r="K261" i="22" s="1"/>
  <c r="S39" i="22"/>
  <c r="W43" i="22"/>
  <c r="S43" i="22"/>
  <c r="S55" i="22"/>
  <c r="O64" i="22"/>
  <c r="P64" i="22" s="1"/>
  <c r="S71" i="22"/>
  <c r="AA114" i="22"/>
  <c r="AA152" i="22"/>
  <c r="J164" i="22"/>
  <c r="K164" i="22" s="1"/>
  <c r="S164" i="22"/>
  <c r="R164" i="22"/>
  <c r="O164" i="22"/>
  <c r="P164" i="22" s="1"/>
  <c r="W164" i="22"/>
  <c r="U164" i="22"/>
  <c r="V164" i="22" s="1"/>
  <c r="Q174" i="22"/>
  <c r="T174" i="22"/>
  <c r="R156" i="22"/>
  <c r="U156" i="22"/>
  <c r="V156" i="22" s="1"/>
  <c r="S156" i="22"/>
  <c r="O156" i="22"/>
  <c r="P156" i="22" s="1"/>
  <c r="J156" i="22"/>
  <c r="K156" i="22" s="1"/>
  <c r="W156" i="22"/>
  <c r="J5" i="22"/>
  <c r="K5" i="22" s="1"/>
  <c r="W5" i="22"/>
  <c r="U9" i="22"/>
  <c r="V9" i="22" s="1"/>
  <c r="S9" i="22"/>
  <c r="J43" i="22"/>
  <c r="K43" i="22" s="1"/>
  <c r="AA44" i="22"/>
  <c r="AA52" i="22"/>
  <c r="R64" i="22"/>
  <c r="R79" i="22"/>
  <c r="O79" i="22"/>
  <c r="P79" i="22" s="1"/>
  <c r="O83" i="22"/>
  <c r="P83" i="22" s="1"/>
  <c r="AA186" i="22"/>
  <c r="O186" i="22"/>
  <c r="P186" i="22" s="1"/>
  <c r="W186" i="22"/>
  <c r="J186" i="22"/>
  <c r="K186" i="22" s="1"/>
  <c r="U186" i="22"/>
  <c r="V186" i="22" s="1"/>
  <c r="S186" i="22"/>
  <c r="R186" i="22"/>
  <c r="W239" i="22"/>
  <c r="J239" i="22"/>
  <c r="K239" i="22" s="1"/>
  <c r="R239" i="22"/>
  <c r="O239" i="22"/>
  <c r="P239" i="22" s="1"/>
  <c r="U239" i="22"/>
  <c r="V239" i="22" s="1"/>
  <c r="S239" i="22"/>
  <c r="S241" i="22"/>
  <c r="O241" i="22"/>
  <c r="P241" i="22" s="1"/>
  <c r="W241" i="22"/>
  <c r="U241" i="22"/>
  <c r="V241" i="22" s="1"/>
  <c r="R241" i="22"/>
  <c r="J241" i="22"/>
  <c r="K241" i="22" s="1"/>
  <c r="M296" i="22"/>
  <c r="L296" i="22"/>
  <c r="N296" i="22"/>
  <c r="R213" i="22"/>
  <c r="S213" i="22"/>
  <c r="U213" i="22"/>
  <c r="V213" i="22" s="1"/>
  <c r="O213" i="22"/>
  <c r="P213" i="22" s="1"/>
  <c r="W213" i="22"/>
  <c r="J213" i="22"/>
  <c r="K213" i="22" s="1"/>
  <c r="W216" i="22"/>
  <c r="S216" i="22"/>
  <c r="R216" i="22"/>
  <c r="O216" i="22"/>
  <c r="P216" i="22" s="1"/>
  <c r="J216" i="22"/>
  <c r="K216" i="22" s="1"/>
  <c r="AA216" i="22"/>
  <c r="U216" i="22"/>
  <c r="V216" i="22" s="1"/>
  <c r="AA224" i="22"/>
  <c r="W224" i="22"/>
  <c r="S224" i="22"/>
  <c r="R224" i="22"/>
  <c r="O224" i="22"/>
  <c r="P224" i="22" s="1"/>
  <c r="J224" i="22"/>
  <c r="K224" i="22" s="1"/>
  <c r="U224" i="22"/>
  <c r="V224" i="22" s="1"/>
  <c r="G153" i="22"/>
  <c r="I153" i="22" s="1"/>
  <c r="W176" i="22"/>
  <c r="O176" i="22"/>
  <c r="P176" i="22" s="1"/>
  <c r="J176" i="22"/>
  <c r="K176" i="22" s="1"/>
  <c r="U176" i="22"/>
  <c r="V176" i="22" s="1"/>
  <c r="S176" i="22"/>
  <c r="R176" i="22"/>
  <c r="W220" i="22"/>
  <c r="R220" i="22"/>
  <c r="AA220" i="22"/>
  <c r="U220" i="22"/>
  <c r="V220" i="22" s="1"/>
  <c r="S220" i="22"/>
  <c r="O220" i="22"/>
  <c r="P220" i="22" s="1"/>
  <c r="AA129" i="22"/>
  <c r="O181" i="22"/>
  <c r="P181" i="22" s="1"/>
  <c r="W181" i="22"/>
  <c r="J181" i="22"/>
  <c r="K181" i="22" s="1"/>
  <c r="R181" i="22"/>
  <c r="N220" i="22"/>
  <c r="M220" i="22"/>
  <c r="L220" i="22"/>
  <c r="G155" i="22"/>
  <c r="I155" i="22" s="1"/>
  <c r="G162" i="22"/>
  <c r="I162" i="22" s="1"/>
  <c r="G144" i="22"/>
  <c r="I144" i="22" s="1"/>
  <c r="AA144" i="22" s="1"/>
  <c r="G141" i="22"/>
  <c r="I141" i="22" s="1"/>
  <c r="G137" i="22"/>
  <c r="I137" i="22" s="1"/>
  <c r="G158" i="22"/>
  <c r="I158" i="22" s="1"/>
  <c r="G147" i="22"/>
  <c r="I147" i="22" s="1"/>
  <c r="G138" i="22"/>
  <c r="I138" i="22" s="1"/>
  <c r="G163" i="22"/>
  <c r="I163" i="22" s="1"/>
  <c r="G148" i="22"/>
  <c r="I148" i="22" s="1"/>
  <c r="G145" i="22"/>
  <c r="I145" i="22" s="1"/>
  <c r="G146" i="22"/>
  <c r="G143" i="22"/>
  <c r="I143" i="22" s="1"/>
  <c r="G140" i="22"/>
  <c r="I140" i="22" s="1"/>
  <c r="G139" i="22"/>
  <c r="I139" i="22" s="1"/>
  <c r="G161" i="22"/>
  <c r="I161" i="22" s="1"/>
  <c r="G159" i="22"/>
  <c r="I159" i="22" s="1"/>
  <c r="G157" i="22"/>
  <c r="I157" i="22" s="1"/>
  <c r="G152" i="22"/>
  <c r="I152" i="22" s="1"/>
  <c r="G142" i="22"/>
  <c r="I142" i="22" s="1"/>
  <c r="G135" i="22"/>
  <c r="I135" i="22" s="1"/>
  <c r="G150" i="22"/>
  <c r="I150" i="22" s="1"/>
  <c r="AA154" i="22"/>
  <c r="G160" i="22"/>
  <c r="I160" i="22" s="1"/>
  <c r="S174" i="22"/>
  <c r="R174" i="22"/>
  <c r="U174" i="22"/>
  <c r="V174" i="22" s="1"/>
  <c r="J174" i="22"/>
  <c r="K174" i="22" s="1"/>
  <c r="AA174" i="22"/>
  <c r="AA217" i="22"/>
  <c r="S194" i="22"/>
  <c r="R194" i="22"/>
  <c r="O194" i="22"/>
  <c r="P194" i="22" s="1"/>
  <c r="AA194" i="22"/>
  <c r="W194" i="22"/>
  <c r="U194" i="22"/>
  <c r="V194" i="22" s="1"/>
  <c r="J194" i="22"/>
  <c r="K194" i="22" s="1"/>
  <c r="U208" i="22"/>
  <c r="V208" i="22" s="1"/>
  <c r="S208" i="22"/>
  <c r="R208" i="22"/>
  <c r="O208" i="22"/>
  <c r="P208" i="22" s="1"/>
  <c r="W208" i="22"/>
  <c r="J208" i="22"/>
  <c r="K208" i="22" s="1"/>
  <c r="AA124" i="22"/>
  <c r="AA208" i="22"/>
  <c r="AA211" i="22"/>
  <c r="AA162" i="22"/>
  <c r="G323" i="22"/>
  <c r="I323" i="22" s="1"/>
  <c r="G319" i="22"/>
  <c r="I319" i="22" s="1"/>
  <c r="G324" i="22"/>
  <c r="I324" i="22" s="1"/>
  <c r="G320" i="22"/>
  <c r="I320" i="22" s="1"/>
  <c r="G321" i="22"/>
  <c r="I321" i="22" s="1"/>
  <c r="G325" i="22"/>
  <c r="I325" i="22" s="1"/>
  <c r="G322" i="22"/>
  <c r="I322" i="22" s="1"/>
  <c r="G271" i="22"/>
  <c r="I271" i="22" s="1"/>
  <c r="G262" i="22"/>
  <c r="I262" i="22" s="1"/>
  <c r="G258" i="22"/>
  <c r="I258" i="22" s="1"/>
  <c r="G254" i="22"/>
  <c r="I254" i="22" s="1"/>
  <c r="AA254" i="22" s="1"/>
  <c r="G250" i="22"/>
  <c r="I250" i="22" s="1"/>
  <c r="G246" i="22"/>
  <c r="I246" i="22" s="1"/>
  <c r="G242" i="22"/>
  <c r="I242" i="22" s="1"/>
  <c r="G238" i="22"/>
  <c r="I238" i="22" s="1"/>
  <c r="AA238" i="22" s="1"/>
  <c r="G234" i="22"/>
  <c r="I234" i="22" s="1"/>
  <c r="G230" i="22"/>
  <c r="I230" i="22" s="1"/>
  <c r="G226" i="22"/>
  <c r="I226" i="22" s="1"/>
  <c r="G222" i="22"/>
  <c r="I222" i="22" s="1"/>
  <c r="G218" i="22"/>
  <c r="I218" i="22" s="1"/>
  <c r="G214" i="22"/>
  <c r="I214" i="22" s="1"/>
  <c r="G210" i="22"/>
  <c r="I210" i="22" s="1"/>
  <c r="AA210" i="22" s="1"/>
  <c r="G206" i="22"/>
  <c r="I206" i="22" s="1"/>
  <c r="G269" i="22"/>
  <c r="I269" i="22" s="1"/>
  <c r="G247" i="22"/>
  <c r="I247" i="22" s="1"/>
  <c r="G245" i="22"/>
  <c r="I245" i="22" s="1"/>
  <c r="G265" i="22"/>
  <c r="I265" i="22" s="1"/>
  <c r="G260" i="22"/>
  <c r="I260" i="22" s="1"/>
  <c r="G240" i="22"/>
  <c r="I240" i="22" s="1"/>
  <c r="G270" i="22"/>
  <c r="I270" i="22" s="1"/>
  <c r="G264" i="22"/>
  <c r="I264" i="22" s="1"/>
  <c r="G255" i="22"/>
  <c r="I255" i="22" s="1"/>
  <c r="G253" i="22"/>
  <c r="I253" i="22" s="1"/>
  <c r="G231" i="22"/>
  <c r="I231" i="22" s="1"/>
  <c r="G229" i="22"/>
  <c r="I229" i="22" s="1"/>
  <c r="G259" i="22"/>
  <c r="I259" i="22" s="1"/>
  <c r="G237" i="22"/>
  <c r="I237" i="22" s="1"/>
  <c r="G267" i="22"/>
  <c r="I267" i="22" s="1"/>
  <c r="G266" i="22"/>
  <c r="I266" i="22" s="1"/>
  <c r="G235" i="22"/>
  <c r="I235" i="22" s="1"/>
  <c r="G256" i="22"/>
  <c r="I256" i="22" s="1"/>
  <c r="G251" i="22"/>
  <c r="I251" i="22" s="1"/>
  <c r="G221" i="22"/>
  <c r="I221" i="22" s="1"/>
  <c r="G211" i="22"/>
  <c r="I211" i="22" s="1"/>
  <c r="G236" i="22"/>
  <c r="I236" i="22" s="1"/>
  <c r="G203" i="22"/>
  <c r="I203" i="22" s="1"/>
  <c r="G199" i="22"/>
  <c r="G195" i="22"/>
  <c r="I195" i="22" s="1"/>
  <c r="G191" i="22"/>
  <c r="I191" i="22" s="1"/>
  <c r="G187" i="22"/>
  <c r="I187" i="22" s="1"/>
  <c r="G183" i="22"/>
  <c r="I183" i="22" s="1"/>
  <c r="G179" i="22"/>
  <c r="I179" i="22" s="1"/>
  <c r="G175" i="22"/>
  <c r="I175" i="22" s="1"/>
  <c r="G171" i="22"/>
  <c r="I171" i="22" s="1"/>
  <c r="G167" i="22"/>
  <c r="I167" i="22" s="1"/>
  <c r="G243" i="22"/>
  <c r="I243" i="22" s="1"/>
  <c r="G263" i="22"/>
  <c r="I263" i="22" s="1"/>
  <c r="G252" i="22"/>
  <c r="I252" i="22" s="1"/>
  <c r="G204" i="22"/>
  <c r="I204" i="22" s="1"/>
  <c r="G200" i="22"/>
  <c r="I200" i="22" s="1"/>
  <c r="G196" i="22"/>
  <c r="I196" i="22" s="1"/>
  <c r="AA196" i="22" s="1"/>
  <c r="G248" i="22"/>
  <c r="I248" i="22" s="1"/>
  <c r="G244" i="22"/>
  <c r="I244" i="22" s="1"/>
  <c r="G198" i="22"/>
  <c r="I198" i="22" s="1"/>
  <c r="G182" i="22"/>
  <c r="I182" i="22" s="1"/>
  <c r="G177" i="22"/>
  <c r="I177" i="22" s="1"/>
  <c r="G172" i="22"/>
  <c r="I172" i="22" s="1"/>
  <c r="G232" i="22"/>
  <c r="I232" i="22" s="1"/>
  <c r="G227" i="22"/>
  <c r="I227" i="22" s="1"/>
  <c r="G215" i="22"/>
  <c r="I215" i="22" s="1"/>
  <c r="G202" i="22"/>
  <c r="I202" i="22" s="1"/>
  <c r="G190" i="22"/>
  <c r="I190" i="22" s="1"/>
  <c r="G185" i="22"/>
  <c r="I185" i="22" s="1"/>
  <c r="G180" i="22"/>
  <c r="I180" i="22" s="1"/>
  <c r="AA180" i="22" s="1"/>
  <c r="G193" i="22"/>
  <c r="I193" i="22" s="1"/>
  <c r="G188" i="22"/>
  <c r="I188" i="22" s="1"/>
  <c r="G249" i="22"/>
  <c r="I249" i="22" s="1"/>
  <c r="G217" i="22"/>
  <c r="I217" i="22" s="1"/>
  <c r="G197" i="22"/>
  <c r="I197" i="22" s="1"/>
  <c r="G178" i="22"/>
  <c r="I178" i="22" s="1"/>
  <c r="G173" i="22"/>
  <c r="I173" i="22" s="1"/>
  <c r="G228" i="22"/>
  <c r="I228" i="22" s="1"/>
  <c r="G212" i="22"/>
  <c r="I212" i="22" s="1"/>
  <c r="G233" i="22"/>
  <c r="I233" i="22" s="1"/>
  <c r="G209" i="22"/>
  <c r="I209" i="22" s="1"/>
  <c r="G207" i="22"/>
  <c r="I207" i="22" s="1"/>
  <c r="G189" i="22"/>
  <c r="I189" i="22" s="1"/>
  <c r="G225" i="22"/>
  <c r="I225" i="22" s="1"/>
  <c r="G219" i="22"/>
  <c r="I219" i="22" s="1"/>
  <c r="G170" i="22"/>
  <c r="I170" i="22" s="1"/>
  <c r="G169" i="22"/>
  <c r="I169" i="22" s="1"/>
  <c r="G205" i="22"/>
  <c r="I205" i="22" s="1"/>
  <c r="AA205" i="22" s="1"/>
  <c r="G192" i="22"/>
  <c r="I192" i="22" s="1"/>
  <c r="AA176" i="22"/>
  <c r="G184" i="22"/>
  <c r="I184" i="22" s="1"/>
  <c r="AA251" i="22"/>
  <c r="AA198" i="22"/>
  <c r="G201" i="22"/>
  <c r="I201" i="22" s="1"/>
  <c r="AA181" i="22"/>
  <c r="AA169" i="22"/>
  <c r="AA171" i="22"/>
  <c r="AA197" i="22"/>
  <c r="AA231" i="22"/>
  <c r="AA133" i="22"/>
  <c r="AA140" i="22"/>
  <c r="AA167" i="22"/>
  <c r="J283" i="22"/>
  <c r="K283" i="22" s="1"/>
  <c r="W283" i="22"/>
  <c r="U283" i="22"/>
  <c r="V283" i="22" s="1"/>
  <c r="R283" i="22"/>
  <c r="O283" i="22"/>
  <c r="P283" i="22" s="1"/>
  <c r="AA291" i="22"/>
  <c r="R311" i="22"/>
  <c r="O311" i="22"/>
  <c r="P311" i="22" s="1"/>
  <c r="S311" i="22"/>
  <c r="W311" i="22"/>
  <c r="U311" i="22"/>
  <c r="V311" i="22" s="1"/>
  <c r="J311" i="22"/>
  <c r="K311" i="22" s="1"/>
  <c r="AA121" i="22"/>
  <c r="AA149" i="22"/>
  <c r="AA177" i="22"/>
  <c r="AA244" i="22"/>
  <c r="S283" i="22"/>
  <c r="Q274" i="22"/>
  <c r="T274" i="22"/>
  <c r="AA239" i="22"/>
  <c r="AA223" i="22"/>
  <c r="AA286" i="22"/>
  <c r="AA302" i="22"/>
  <c r="O345" i="22"/>
  <c r="P345" i="22" s="1"/>
  <c r="W345" i="22"/>
  <c r="R345" i="22"/>
  <c r="U345" i="22"/>
  <c r="V345" i="22" s="1"/>
  <c r="AA345" i="22"/>
  <c r="S345" i="22"/>
  <c r="J345" i="22"/>
  <c r="K345" i="22" s="1"/>
  <c r="W329" i="22"/>
  <c r="J329" i="22"/>
  <c r="K329" i="22" s="1"/>
  <c r="S329" i="22"/>
  <c r="U329" i="22"/>
  <c r="V329" i="22" s="1"/>
  <c r="R329" i="22"/>
  <c r="O329" i="22"/>
  <c r="P329" i="22" s="1"/>
  <c r="AA256" i="22"/>
  <c r="AA213" i="22"/>
  <c r="AA277" i="22"/>
  <c r="AA298" i="22"/>
  <c r="W309" i="22"/>
  <c r="R309" i="22"/>
  <c r="J309" i="22"/>
  <c r="K309" i="22" s="1"/>
  <c r="U309" i="22"/>
  <c r="V309" i="22" s="1"/>
  <c r="S309" i="22"/>
  <c r="O309" i="22"/>
  <c r="P309" i="22" s="1"/>
  <c r="R314" i="22"/>
  <c r="S314" i="22"/>
  <c r="O314" i="22"/>
  <c r="P314" i="22" s="1"/>
  <c r="W314" i="22"/>
  <c r="J314" i="22"/>
  <c r="K314" i="22" s="1"/>
  <c r="U314" i="22"/>
  <c r="V314" i="22" s="1"/>
  <c r="J273" i="22"/>
  <c r="K273" i="22" s="1"/>
  <c r="AA273" i="22"/>
  <c r="W285" i="22"/>
  <c r="J285" i="22"/>
  <c r="K285" i="22" s="1"/>
  <c r="O285" i="22"/>
  <c r="P285" i="22" s="1"/>
  <c r="R285" i="22"/>
  <c r="U285" i="22"/>
  <c r="V285" i="22" s="1"/>
  <c r="S285" i="22"/>
  <c r="AA267" i="22"/>
  <c r="AA241" i="22"/>
  <c r="S273" i="22"/>
  <c r="AA314" i="22"/>
  <c r="AA245" i="22"/>
  <c r="AA253" i="22"/>
  <c r="AA260" i="22"/>
  <c r="W272" i="22"/>
  <c r="J272" i="22"/>
  <c r="K272" i="22" s="1"/>
  <c r="R272" i="22"/>
  <c r="S272" i="22"/>
  <c r="O272" i="22"/>
  <c r="P272" i="22" s="1"/>
  <c r="U272" i="22"/>
  <c r="V272" i="22" s="1"/>
  <c r="T273" i="22"/>
  <c r="T310" i="22"/>
  <c r="Q310" i="22"/>
  <c r="AA293" i="22"/>
  <c r="AA300" i="22"/>
  <c r="W305" i="22"/>
  <c r="J305" i="22"/>
  <c r="K305" i="22" s="1"/>
  <c r="S305" i="22"/>
  <c r="AA305" i="22"/>
  <c r="R305" i="22"/>
  <c r="O305" i="22"/>
  <c r="P305" i="22" s="1"/>
  <c r="R346" i="22"/>
  <c r="J346" i="22"/>
  <c r="K346" i="22" s="1"/>
  <c r="W346" i="22"/>
  <c r="U346" i="22"/>
  <c r="V346" i="22" s="1"/>
  <c r="AA346" i="22"/>
  <c r="S346" i="22"/>
  <c r="S296" i="22"/>
  <c r="R296" i="22"/>
  <c r="O296" i="22"/>
  <c r="P296" i="22" s="1"/>
  <c r="O346" i="22"/>
  <c r="P346" i="22" s="1"/>
  <c r="AA221" i="22"/>
  <c r="S274" i="22"/>
  <c r="J274" i="22"/>
  <c r="K274" i="22" s="1"/>
  <c r="W274" i="22"/>
  <c r="W310" i="22"/>
  <c r="J310" i="22"/>
  <c r="K310" i="22" s="1"/>
  <c r="S310" i="22"/>
  <c r="U310" i="22"/>
  <c r="V310" i="22" s="1"/>
  <c r="G291" i="22"/>
  <c r="I291" i="22" s="1"/>
  <c r="G292" i="22"/>
  <c r="I292" i="22" s="1"/>
  <c r="AA261" i="22"/>
  <c r="G297" i="22"/>
  <c r="I297" i="22" s="1"/>
  <c r="AA299" i="22"/>
  <c r="AA257" i="22"/>
  <c r="AA270" i="22"/>
  <c r="G316" i="22"/>
  <c r="I316" i="22" s="1"/>
  <c r="G312" i="22"/>
  <c r="I312" i="22" s="1"/>
  <c r="AA312" i="22" s="1"/>
  <c r="G308" i="22"/>
  <c r="I308" i="22" s="1"/>
  <c r="AA308" i="22" s="1"/>
  <c r="G304" i="22"/>
  <c r="I304" i="22" s="1"/>
  <c r="G317" i="22"/>
  <c r="I317" i="22" s="1"/>
  <c r="G307" i="22"/>
  <c r="I307" i="22" s="1"/>
  <c r="G302" i="22"/>
  <c r="I302" i="22" s="1"/>
  <c r="G299" i="22"/>
  <c r="I299" i="22" s="1"/>
  <c r="G288" i="22"/>
  <c r="I288" i="22" s="1"/>
  <c r="G284" i="22"/>
  <c r="I284" i="22" s="1"/>
  <c r="G280" i="22"/>
  <c r="I280" i="22" s="1"/>
  <c r="G315" i="22"/>
  <c r="I315" i="22" s="1"/>
  <c r="G294" i="22"/>
  <c r="I294" i="22" s="1"/>
  <c r="G306" i="22"/>
  <c r="I306" i="22" s="1"/>
  <c r="AA306" i="22" s="1"/>
  <c r="G293" i="22"/>
  <c r="I293" i="22" s="1"/>
  <c r="G286" i="22"/>
  <c r="I286" i="22" s="1"/>
  <c r="G303" i="22"/>
  <c r="I303" i="22" s="1"/>
  <c r="G298" i="22"/>
  <c r="I298" i="22" s="1"/>
  <c r="G290" i="22"/>
  <c r="I290" i="22" s="1"/>
  <c r="G275" i="22"/>
  <c r="I275" i="22" s="1"/>
  <c r="G301" i="22"/>
  <c r="I301" i="22" s="1"/>
  <c r="G295" i="22"/>
  <c r="I295" i="22" s="1"/>
  <c r="G281" i="22"/>
  <c r="I281" i="22" s="1"/>
  <c r="G279" i="22"/>
  <c r="I279" i="22" s="1"/>
  <c r="AA279" i="22" s="1"/>
  <c r="G289" i="22"/>
  <c r="I289" i="22" s="1"/>
  <c r="G276" i="22"/>
  <c r="I276" i="22" s="1"/>
  <c r="G300" i="22"/>
  <c r="I300" i="22" s="1"/>
  <c r="G278" i="22"/>
  <c r="I278" i="22" s="1"/>
  <c r="G313" i="22"/>
  <c r="I313" i="22" s="1"/>
  <c r="G282" i="22"/>
  <c r="I282" i="22" s="1"/>
  <c r="AA274" i="22"/>
  <c r="G287" i="22"/>
  <c r="I287" i="22" s="1"/>
  <c r="AA311" i="22"/>
  <c r="G347" i="22"/>
  <c r="I347" i="22" s="1"/>
  <c r="G343" i="22"/>
  <c r="I343" i="22" s="1"/>
  <c r="G339" i="22"/>
  <c r="I339" i="22" s="1"/>
  <c r="AA339" i="22" s="1"/>
  <c r="G335" i="22"/>
  <c r="I335" i="22" s="1"/>
  <c r="G331" i="22"/>
  <c r="I331" i="22" s="1"/>
  <c r="G327" i="22"/>
  <c r="I327" i="22" s="1"/>
  <c r="G348" i="22"/>
  <c r="I348" i="22" s="1"/>
  <c r="G344" i="22"/>
  <c r="I344" i="22" s="1"/>
  <c r="G340" i="22"/>
  <c r="I340" i="22" s="1"/>
  <c r="G336" i="22"/>
  <c r="I336" i="22" s="1"/>
  <c r="G332" i="22"/>
  <c r="I332" i="22" s="1"/>
  <c r="G328" i="22"/>
  <c r="I328" i="22" s="1"/>
  <c r="G341" i="22"/>
  <c r="I341" i="22" s="1"/>
  <c r="G334" i="22"/>
  <c r="I334" i="22" s="1"/>
  <c r="AA334" i="22" s="1"/>
  <c r="G333" i="22"/>
  <c r="I333" i="22" s="1"/>
  <c r="G326" i="22"/>
  <c r="G330" i="22"/>
  <c r="I330" i="22" s="1"/>
  <c r="G337" i="22"/>
  <c r="I337" i="22" s="1"/>
  <c r="G342" i="22"/>
  <c r="I342" i="22" s="1"/>
  <c r="G338" i="22"/>
  <c r="I338" i="22" s="1"/>
  <c r="AA337" i="22"/>
  <c r="AA310" i="22"/>
  <c r="AA342" i="22"/>
  <c r="AA297" i="22"/>
  <c r="AA287" i="22"/>
  <c r="AA324" i="22"/>
  <c r="AA283" i="22"/>
  <c r="AA309" i="22"/>
  <c r="AA313" i="22"/>
  <c r="AA329" i="22"/>
  <c r="AA321" i="22"/>
  <c r="AA335" i="22"/>
  <c r="AA331" i="22"/>
  <c r="AA340" i="22"/>
  <c r="AA303" i="22"/>
  <c r="AA333" i="22"/>
  <c r="D15" i="1"/>
  <c r="G4" i="1"/>
  <c r="G331" i="4"/>
  <c r="I331" i="4" s="1"/>
  <c r="G297" i="4"/>
  <c r="I297" i="4" s="1"/>
  <c r="G246" i="4"/>
  <c r="I246" i="4" s="1"/>
  <c r="G159" i="4"/>
  <c r="I159" i="4" s="1"/>
  <c r="G129" i="4"/>
  <c r="I129" i="4" s="1"/>
  <c r="G128" i="4"/>
  <c r="I128" i="4" s="1"/>
  <c r="G132" i="4"/>
  <c r="I132" i="4" s="1"/>
  <c r="G90" i="4"/>
  <c r="I90" i="4" s="1"/>
  <c r="G83" i="4"/>
  <c r="I83" i="4" s="1"/>
  <c r="C12" i="1"/>
  <c r="D12" i="1" s="1"/>
  <c r="B12" i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AA74" i="22" l="1"/>
  <c r="AA137" i="22"/>
  <c r="AA21" i="22"/>
  <c r="AA8" i="22"/>
  <c r="AA73" i="22"/>
  <c r="AA70" i="22"/>
  <c r="AA99" i="22"/>
  <c r="AA96" i="22"/>
  <c r="AA72" i="22"/>
  <c r="AA68" i="22"/>
  <c r="W17" i="22"/>
  <c r="AA19" i="22"/>
  <c r="W79" i="22"/>
  <c r="S79" i="22"/>
  <c r="J79" i="22"/>
  <c r="K79" i="22" s="1"/>
  <c r="U79" i="22"/>
  <c r="V79" i="22" s="1"/>
  <c r="R67" i="22"/>
  <c r="O67" i="22"/>
  <c r="P67" i="22" s="1"/>
  <c r="T67" i="22" s="1"/>
  <c r="J67" i="22"/>
  <c r="K67" i="22" s="1"/>
  <c r="N67" i="22" s="1"/>
  <c r="W67" i="22"/>
  <c r="S67" i="22"/>
  <c r="AA51" i="22"/>
  <c r="W51" i="22"/>
  <c r="O51" i="22"/>
  <c r="P51" i="22" s="1"/>
  <c r="J51" i="22"/>
  <c r="K51" i="22" s="1"/>
  <c r="AA89" i="22"/>
  <c r="O89" i="22"/>
  <c r="P89" i="22" s="1"/>
  <c r="U89" i="22"/>
  <c r="V89" i="22" s="1"/>
  <c r="W89" i="22"/>
  <c r="S89" i="22"/>
  <c r="R88" i="22"/>
  <c r="AA17" i="22"/>
  <c r="S5" i="22"/>
  <c r="O5" i="22"/>
  <c r="P5" i="22" s="1"/>
  <c r="R5" i="22"/>
  <c r="AA5" i="22"/>
  <c r="O77" i="22"/>
  <c r="P77" i="22" s="1"/>
  <c r="J77" i="22"/>
  <c r="K77" i="22" s="1"/>
  <c r="AA77" i="22"/>
  <c r="J27" i="22"/>
  <c r="K27" i="22" s="1"/>
  <c r="W27" i="22"/>
  <c r="O27" i="22"/>
  <c r="P27" i="22" s="1"/>
  <c r="U27" i="22" s="1"/>
  <c r="V27" i="22" s="1"/>
  <c r="AA27" i="22"/>
  <c r="W88" i="22"/>
  <c r="W11" i="22"/>
  <c r="AA11" i="22"/>
  <c r="R11" i="22"/>
  <c r="J11" i="22"/>
  <c r="K11" i="22" s="1"/>
  <c r="O19" i="22"/>
  <c r="P19" i="22" s="1"/>
  <c r="S19" i="22"/>
  <c r="U19" i="22"/>
  <c r="V19" i="22" s="1"/>
  <c r="J19" i="22"/>
  <c r="K19" i="22" s="1"/>
  <c r="R19" i="22"/>
  <c r="W19" i="22"/>
  <c r="S88" i="22"/>
  <c r="J88" i="22"/>
  <c r="K88" i="22" s="1"/>
  <c r="L88" i="22" s="1"/>
  <c r="U11" i="22"/>
  <c r="V11" i="22" s="1"/>
  <c r="AA88" i="22"/>
  <c r="W25" i="22"/>
  <c r="AA25" i="22"/>
  <c r="J25" i="22"/>
  <c r="K25" i="22" s="1"/>
  <c r="O25" i="22"/>
  <c r="P25" i="22" s="1"/>
  <c r="J17" i="22"/>
  <c r="K17" i="22" s="1"/>
  <c r="R17" i="22"/>
  <c r="O17" i="22"/>
  <c r="P17" i="22" s="1"/>
  <c r="O11" i="22"/>
  <c r="P11" i="22" s="1"/>
  <c r="Q11" i="22" s="1"/>
  <c r="U67" i="22"/>
  <c r="V67" i="22" s="1"/>
  <c r="AA82" i="22"/>
  <c r="O88" i="22"/>
  <c r="P88" i="22" s="1"/>
  <c r="J89" i="22"/>
  <c r="K89" i="22" s="1"/>
  <c r="M89" i="22" s="1"/>
  <c r="U16" i="22"/>
  <c r="V16" i="22" s="1"/>
  <c r="AA16" i="22"/>
  <c r="W33" i="22"/>
  <c r="AA33" i="22"/>
  <c r="J33" i="22"/>
  <c r="K33" i="22" s="1"/>
  <c r="U69" i="22"/>
  <c r="V69" i="22" s="1"/>
  <c r="W69" i="22"/>
  <c r="O69" i="22"/>
  <c r="P69" i="22" s="1"/>
  <c r="Q69" i="22" s="1"/>
  <c r="J69" i="22"/>
  <c r="K69" i="22" s="1"/>
  <c r="M69" i="22" s="1"/>
  <c r="R69" i="22"/>
  <c r="S69" i="22"/>
  <c r="R89" i="22"/>
  <c r="O24" i="22"/>
  <c r="P24" i="22" s="1"/>
  <c r="W24" i="22"/>
  <c r="R47" i="22"/>
  <c r="J47" i="22"/>
  <c r="K47" i="22" s="1"/>
  <c r="U47" i="22"/>
  <c r="V47" i="22" s="1"/>
  <c r="S47" i="22"/>
  <c r="AA47" i="22"/>
  <c r="O47" i="22"/>
  <c r="P47" i="22" s="1"/>
  <c r="R83" i="22"/>
  <c r="W83" i="22"/>
  <c r="S83" i="22"/>
  <c r="J83" i="22"/>
  <c r="K83" i="22" s="1"/>
  <c r="M83" i="22" s="1"/>
  <c r="AA83" i="22"/>
  <c r="U83" i="22"/>
  <c r="V83" i="22" s="1"/>
  <c r="J52" i="22"/>
  <c r="K52" i="22" s="1"/>
  <c r="R52" i="22"/>
  <c r="O52" i="22"/>
  <c r="P52" i="22" s="1"/>
  <c r="S52" i="22"/>
  <c r="U52" i="22"/>
  <c r="V52" i="22" s="1"/>
  <c r="W52" i="22"/>
  <c r="W64" i="22"/>
  <c r="U64" i="22"/>
  <c r="V64" i="22" s="1"/>
  <c r="U18" i="22"/>
  <c r="V18" i="22" s="1"/>
  <c r="S18" i="22"/>
  <c r="J26" i="22"/>
  <c r="K26" i="22" s="1"/>
  <c r="O26" i="22"/>
  <c r="P26" i="22" s="1"/>
  <c r="AA15" i="22"/>
  <c r="S13" i="22"/>
  <c r="N15" i="22"/>
  <c r="U15" i="22"/>
  <c r="V15" i="22" s="1"/>
  <c r="J31" i="22"/>
  <c r="K31" i="22" s="1"/>
  <c r="N31" i="22" s="1"/>
  <c r="S90" i="22"/>
  <c r="W37" i="22"/>
  <c r="AA64" i="22"/>
  <c r="M15" i="22"/>
  <c r="S3" i="22"/>
  <c r="U90" i="22"/>
  <c r="V90" i="22" s="1"/>
  <c r="R78" i="22"/>
  <c r="S37" i="22"/>
  <c r="AA90" i="22"/>
  <c r="J64" i="22"/>
  <c r="K64" i="22" s="1"/>
  <c r="R9" i="22"/>
  <c r="J9" i="22"/>
  <c r="K9" i="22" s="1"/>
  <c r="R13" i="22"/>
  <c r="O13" i="22"/>
  <c r="P13" i="22" s="1"/>
  <c r="W13" i="22"/>
  <c r="W26" i="22"/>
  <c r="S15" i="22"/>
  <c r="W90" i="22"/>
  <c r="O37" i="22"/>
  <c r="P37" i="22" s="1"/>
  <c r="S64" i="22"/>
  <c r="R15" i="22"/>
  <c r="O90" i="22"/>
  <c r="P90" i="22" s="1"/>
  <c r="AA13" i="22"/>
  <c r="AA69" i="22"/>
  <c r="AA43" i="22"/>
  <c r="O43" i="22"/>
  <c r="P43" i="22" s="1"/>
  <c r="R43" i="22"/>
  <c r="U13" i="22"/>
  <c r="V13" i="22" s="1"/>
  <c r="AA39" i="22"/>
  <c r="W15" i="22"/>
  <c r="W9" i="22"/>
  <c r="R87" i="22"/>
  <c r="O39" i="22"/>
  <c r="P39" i="22" s="1"/>
  <c r="AA6" i="22"/>
  <c r="O15" i="22"/>
  <c r="P15" i="22" s="1"/>
  <c r="J40" i="22"/>
  <c r="K40" i="22" s="1"/>
  <c r="U3" i="22"/>
  <c r="V3" i="22" s="1"/>
  <c r="AA9" i="22"/>
  <c r="W55" i="22"/>
  <c r="U55" i="22"/>
  <c r="V55" i="22" s="1"/>
  <c r="AA246" i="4"/>
  <c r="W246" i="4"/>
  <c r="R246" i="4"/>
  <c r="S246" i="4"/>
  <c r="U246" i="4"/>
  <c r="V246" i="4" s="1"/>
  <c r="W132" i="4"/>
  <c r="S132" i="4"/>
  <c r="U132" i="4"/>
  <c r="V132" i="4" s="1"/>
  <c r="AA132" i="4"/>
  <c r="R132" i="4"/>
  <c r="R129" i="4"/>
  <c r="AA129" i="4"/>
  <c r="W129" i="4"/>
  <c r="U129" i="4"/>
  <c r="V129" i="4" s="1"/>
  <c r="S129" i="4"/>
  <c r="R128" i="4"/>
  <c r="U128" i="4"/>
  <c r="V128" i="4" s="1"/>
  <c r="S128" i="4"/>
  <c r="AA128" i="4"/>
  <c r="W128" i="4"/>
  <c r="U83" i="4"/>
  <c r="V83" i="4" s="1"/>
  <c r="AA83" i="4"/>
  <c r="R83" i="4"/>
  <c r="W83" i="4"/>
  <c r="S83" i="4"/>
  <c r="W90" i="4"/>
  <c r="AA90" i="4"/>
  <c r="R90" i="4"/>
  <c r="S90" i="4"/>
  <c r="U90" i="4"/>
  <c r="V90" i="4" s="1"/>
  <c r="AA159" i="4"/>
  <c r="U159" i="4"/>
  <c r="V159" i="4" s="1"/>
  <c r="W159" i="4"/>
  <c r="S297" i="4"/>
  <c r="R297" i="4"/>
  <c r="U297" i="4"/>
  <c r="V297" i="4" s="1"/>
  <c r="AA297" i="4"/>
  <c r="W297" i="4"/>
  <c r="R331" i="4"/>
  <c r="U331" i="4"/>
  <c r="V331" i="4" s="1"/>
  <c r="S331" i="4"/>
  <c r="AA331" i="4"/>
  <c r="W331" i="4"/>
  <c r="W289" i="22"/>
  <c r="J289" i="22"/>
  <c r="K289" i="22" s="1"/>
  <c r="O289" i="22"/>
  <c r="P289" i="22" s="1"/>
  <c r="S289" i="22"/>
  <c r="R289" i="22"/>
  <c r="U289" i="22"/>
  <c r="V289" i="22" s="1"/>
  <c r="O161" i="22"/>
  <c r="P161" i="22" s="1"/>
  <c r="W161" i="22"/>
  <c r="J161" i="22"/>
  <c r="K161" i="22" s="1"/>
  <c r="U161" i="22"/>
  <c r="V161" i="22" s="1"/>
  <c r="R161" i="22"/>
  <c r="S161" i="22"/>
  <c r="J102" i="22"/>
  <c r="K102" i="22" s="1"/>
  <c r="S102" i="22"/>
  <c r="W102" i="22"/>
  <c r="R102" i="22"/>
  <c r="O102" i="22"/>
  <c r="P102" i="22" s="1"/>
  <c r="U102" i="22"/>
  <c r="V102" i="22" s="1"/>
  <c r="W259" i="22"/>
  <c r="J259" i="22"/>
  <c r="K259" i="22" s="1"/>
  <c r="O259" i="22"/>
  <c r="P259" i="22" s="1"/>
  <c r="U259" i="22"/>
  <c r="V259" i="22" s="1"/>
  <c r="S259" i="22"/>
  <c r="R259" i="22"/>
  <c r="AA259" i="22"/>
  <c r="N216" i="22"/>
  <c r="M216" i="22"/>
  <c r="L216" i="22"/>
  <c r="S280" i="22"/>
  <c r="R280" i="22"/>
  <c r="O280" i="22"/>
  <c r="P280" i="22" s="1"/>
  <c r="W280" i="22"/>
  <c r="U280" i="22"/>
  <c r="V280" i="22" s="1"/>
  <c r="J280" i="22"/>
  <c r="K280" i="22" s="1"/>
  <c r="AA280" i="22"/>
  <c r="W184" i="22"/>
  <c r="R184" i="22"/>
  <c r="U184" i="22"/>
  <c r="V184" i="22" s="1"/>
  <c r="O184" i="22"/>
  <c r="P184" i="22" s="1"/>
  <c r="J184" i="22"/>
  <c r="K184" i="22" s="1"/>
  <c r="S184" i="22"/>
  <c r="AA184" i="22"/>
  <c r="Q79" i="22"/>
  <c r="T79" i="22"/>
  <c r="S57" i="22"/>
  <c r="R57" i="22"/>
  <c r="O57" i="22"/>
  <c r="P57" i="22" s="1"/>
  <c r="U57" i="22"/>
  <c r="V57" i="22" s="1"/>
  <c r="J57" i="22"/>
  <c r="K57" i="22" s="1"/>
  <c r="W57" i="22"/>
  <c r="R203" i="22"/>
  <c r="O203" i="22"/>
  <c r="P203" i="22" s="1"/>
  <c r="W203" i="22"/>
  <c r="J203" i="22"/>
  <c r="K203" i="22" s="1"/>
  <c r="AA203" i="22"/>
  <c r="S203" i="22"/>
  <c r="U203" i="22"/>
  <c r="V203" i="22" s="1"/>
  <c r="N5" i="22"/>
  <c r="M5" i="22"/>
  <c r="L5" i="22"/>
  <c r="Q277" i="22"/>
  <c r="T277" i="22"/>
  <c r="U35" i="22"/>
  <c r="V35" i="22" s="1"/>
  <c r="T35" i="22"/>
  <c r="Q35" i="22"/>
  <c r="W236" i="22"/>
  <c r="S236" i="22"/>
  <c r="J236" i="22"/>
  <c r="K236" i="22" s="1"/>
  <c r="AA236" i="22"/>
  <c r="U236" i="22"/>
  <c r="V236" i="22" s="1"/>
  <c r="O236" i="22"/>
  <c r="P236" i="22" s="1"/>
  <c r="R236" i="22"/>
  <c r="R209" i="22"/>
  <c r="O209" i="22"/>
  <c r="P209" i="22" s="1"/>
  <c r="J209" i="22"/>
  <c r="K209" i="22" s="1"/>
  <c r="W209" i="22"/>
  <c r="U209" i="22"/>
  <c r="V209" i="22" s="1"/>
  <c r="S209" i="22"/>
  <c r="R237" i="22"/>
  <c r="W237" i="22"/>
  <c r="U237" i="22"/>
  <c r="V237" i="22" s="1"/>
  <c r="J237" i="22"/>
  <c r="K237" i="22" s="1"/>
  <c r="O237" i="22"/>
  <c r="P237" i="22" s="1"/>
  <c r="S237" i="22"/>
  <c r="J323" i="22"/>
  <c r="K323" i="22" s="1"/>
  <c r="U323" i="22"/>
  <c r="V323" i="22" s="1"/>
  <c r="S323" i="22"/>
  <c r="O323" i="22"/>
  <c r="P323" i="22" s="1"/>
  <c r="R323" i="22"/>
  <c r="W323" i="22"/>
  <c r="AA161" i="22"/>
  <c r="Q257" i="22"/>
  <c r="T257" i="22"/>
  <c r="N55" i="22"/>
  <c r="M55" i="22"/>
  <c r="L55" i="22"/>
  <c r="T69" i="22"/>
  <c r="N40" i="22"/>
  <c r="M40" i="22"/>
  <c r="L40" i="22"/>
  <c r="M31" i="22"/>
  <c r="L37" i="22"/>
  <c r="N37" i="22"/>
  <c r="M37" i="22"/>
  <c r="U343" i="22"/>
  <c r="V343" i="22" s="1"/>
  <c r="J343" i="22"/>
  <c r="K343" i="22" s="1"/>
  <c r="S343" i="22"/>
  <c r="O343" i="22"/>
  <c r="P343" i="22" s="1"/>
  <c r="W343" i="22"/>
  <c r="R343" i="22"/>
  <c r="J233" i="22"/>
  <c r="K233" i="22" s="1"/>
  <c r="R233" i="22"/>
  <c r="U233" i="22"/>
  <c r="V233" i="22" s="1"/>
  <c r="S233" i="22"/>
  <c r="O233" i="22"/>
  <c r="P233" i="22" s="1"/>
  <c r="W233" i="22"/>
  <c r="W269" i="22"/>
  <c r="U269" i="22"/>
  <c r="V269" i="22" s="1"/>
  <c r="S269" i="22"/>
  <c r="AA269" i="22"/>
  <c r="R269" i="22"/>
  <c r="J269" i="22"/>
  <c r="K269" i="22" s="1"/>
  <c r="O269" i="22"/>
  <c r="P269" i="22" s="1"/>
  <c r="J10" i="22"/>
  <c r="K10" i="22" s="1"/>
  <c r="O10" i="22"/>
  <c r="P10" i="22" s="1"/>
  <c r="W10" i="22"/>
  <c r="U10" i="22"/>
  <c r="V10" i="22" s="1"/>
  <c r="S10" i="22"/>
  <c r="R10" i="22"/>
  <c r="S129" i="22"/>
  <c r="R129" i="22"/>
  <c r="W129" i="22"/>
  <c r="U129" i="22"/>
  <c r="V129" i="22" s="1"/>
  <c r="O129" i="22"/>
  <c r="P129" i="22" s="1"/>
  <c r="J129" i="22"/>
  <c r="K129" i="22" s="1"/>
  <c r="Q136" i="22"/>
  <c r="T136" i="22"/>
  <c r="O341" i="22"/>
  <c r="P341" i="22" s="1"/>
  <c r="W341" i="22"/>
  <c r="U341" i="22"/>
  <c r="V341" i="22" s="1"/>
  <c r="AA341" i="22"/>
  <c r="J341" i="22"/>
  <c r="K341" i="22" s="1"/>
  <c r="R341" i="22"/>
  <c r="S341" i="22"/>
  <c r="N346" i="22"/>
  <c r="M346" i="22"/>
  <c r="L346" i="22"/>
  <c r="W204" i="22"/>
  <c r="J204" i="22"/>
  <c r="K204" i="22" s="1"/>
  <c r="U204" i="22"/>
  <c r="V204" i="22" s="1"/>
  <c r="S204" i="22"/>
  <c r="R204" i="22"/>
  <c r="O204" i="22"/>
  <c r="P204" i="22" s="1"/>
  <c r="AA204" i="22"/>
  <c r="S206" i="22"/>
  <c r="U206" i="22"/>
  <c r="V206" i="22" s="1"/>
  <c r="J206" i="22"/>
  <c r="K206" i="22" s="1"/>
  <c r="W206" i="22"/>
  <c r="R206" i="22"/>
  <c r="O206" i="22"/>
  <c r="P206" i="22" s="1"/>
  <c r="AA206" i="22"/>
  <c r="R140" i="22"/>
  <c r="O140" i="22"/>
  <c r="P140" i="22" s="1"/>
  <c r="S140" i="22"/>
  <c r="W140" i="22"/>
  <c r="U140" i="22"/>
  <c r="V140" i="22" s="1"/>
  <c r="J140" i="22"/>
  <c r="K140" i="22" s="1"/>
  <c r="T216" i="22"/>
  <c r="Q216" i="22"/>
  <c r="W50" i="22"/>
  <c r="J50" i="22"/>
  <c r="K50" i="22" s="1"/>
  <c r="R50" i="22"/>
  <c r="AA50" i="22"/>
  <c r="S50" i="22"/>
  <c r="U50" i="22"/>
  <c r="V50" i="22" s="1"/>
  <c r="O50" i="22"/>
  <c r="P50" i="22" s="1"/>
  <c r="O120" i="22"/>
  <c r="P120" i="22" s="1"/>
  <c r="W120" i="22"/>
  <c r="R120" i="22"/>
  <c r="J120" i="22"/>
  <c r="K120" i="22" s="1"/>
  <c r="S120" i="22"/>
  <c r="U120" i="22"/>
  <c r="V120" i="22" s="1"/>
  <c r="W328" i="22"/>
  <c r="S328" i="22"/>
  <c r="R328" i="22"/>
  <c r="O328" i="22"/>
  <c r="P328" i="22" s="1"/>
  <c r="U328" i="22"/>
  <c r="V328" i="22" s="1"/>
  <c r="J328" i="22"/>
  <c r="K328" i="22" s="1"/>
  <c r="T285" i="22"/>
  <c r="Q285" i="22"/>
  <c r="S252" i="22"/>
  <c r="R252" i="22"/>
  <c r="O252" i="22"/>
  <c r="P252" i="22" s="1"/>
  <c r="U252" i="22"/>
  <c r="V252" i="22" s="1"/>
  <c r="J252" i="22"/>
  <c r="K252" i="22" s="1"/>
  <c r="W252" i="22"/>
  <c r="Q164" i="22"/>
  <c r="T164" i="22"/>
  <c r="W60" i="22"/>
  <c r="R60" i="22"/>
  <c r="O60" i="22"/>
  <c r="P60" i="22" s="1"/>
  <c r="J60" i="22"/>
  <c r="K60" i="22" s="1"/>
  <c r="U60" i="22"/>
  <c r="V60" i="22" s="1"/>
  <c r="S60" i="22"/>
  <c r="Q16" i="22"/>
  <c r="T16" i="22"/>
  <c r="T24" i="22"/>
  <c r="U24" i="22"/>
  <c r="V24" i="22" s="1"/>
  <c r="Q24" i="22"/>
  <c r="S288" i="22"/>
  <c r="J288" i="22"/>
  <c r="K288" i="22" s="1"/>
  <c r="U288" i="22"/>
  <c r="V288" i="22" s="1"/>
  <c r="AA288" i="22"/>
  <c r="O288" i="22"/>
  <c r="P288" i="22" s="1"/>
  <c r="R288" i="22"/>
  <c r="W288" i="22"/>
  <c r="R263" i="22"/>
  <c r="S263" i="22"/>
  <c r="O263" i="22"/>
  <c r="P263" i="22" s="1"/>
  <c r="J263" i="22"/>
  <c r="K263" i="22" s="1"/>
  <c r="AA263" i="22"/>
  <c r="U263" i="22"/>
  <c r="V263" i="22" s="1"/>
  <c r="W263" i="22"/>
  <c r="J160" i="22"/>
  <c r="K160" i="22" s="1"/>
  <c r="W160" i="22"/>
  <c r="R160" i="22"/>
  <c r="U160" i="22"/>
  <c r="V160" i="22" s="1"/>
  <c r="O160" i="22"/>
  <c r="P160" i="22" s="1"/>
  <c r="S160" i="22"/>
  <c r="Q88" i="22"/>
  <c r="T88" i="22"/>
  <c r="W75" i="22"/>
  <c r="U75" i="22"/>
  <c r="V75" i="22" s="1"/>
  <c r="R75" i="22"/>
  <c r="O75" i="22"/>
  <c r="P75" i="22" s="1"/>
  <c r="S75" i="22"/>
  <c r="J75" i="22"/>
  <c r="K75" i="22" s="1"/>
  <c r="H2" i="22"/>
  <c r="O287" i="22"/>
  <c r="P287" i="22" s="1"/>
  <c r="R287" i="22"/>
  <c r="J287" i="22"/>
  <c r="K287" i="22" s="1"/>
  <c r="W287" i="22"/>
  <c r="S287" i="22"/>
  <c r="U287" i="22"/>
  <c r="V287" i="22" s="1"/>
  <c r="U178" i="22"/>
  <c r="V178" i="22" s="1"/>
  <c r="W178" i="22"/>
  <c r="S178" i="22"/>
  <c r="R178" i="22"/>
  <c r="O178" i="22"/>
  <c r="P178" i="22" s="1"/>
  <c r="J178" i="22"/>
  <c r="K178" i="22" s="1"/>
  <c r="W255" i="22"/>
  <c r="J255" i="22"/>
  <c r="K255" i="22" s="1"/>
  <c r="AA255" i="22"/>
  <c r="R255" i="22"/>
  <c r="O255" i="22"/>
  <c r="P255" i="22" s="1"/>
  <c r="S255" i="22"/>
  <c r="U255" i="22"/>
  <c r="V255" i="22" s="1"/>
  <c r="Q194" i="22"/>
  <c r="T194" i="22"/>
  <c r="M156" i="22"/>
  <c r="L156" i="22"/>
  <c r="N156" i="22"/>
  <c r="M87" i="22"/>
  <c r="L87" i="22"/>
  <c r="N87" i="22"/>
  <c r="R94" i="22"/>
  <c r="U94" i="22"/>
  <c r="V94" i="22" s="1"/>
  <c r="S94" i="22"/>
  <c r="J94" i="22"/>
  <c r="K94" i="22" s="1"/>
  <c r="W94" i="22"/>
  <c r="O94" i="22"/>
  <c r="P94" i="22" s="1"/>
  <c r="AA94" i="22"/>
  <c r="J118" i="22"/>
  <c r="K118" i="22" s="1"/>
  <c r="U118" i="22"/>
  <c r="V118" i="22" s="1"/>
  <c r="S118" i="22"/>
  <c r="W118" i="22"/>
  <c r="O118" i="22"/>
  <c r="P118" i="22" s="1"/>
  <c r="R118" i="22"/>
  <c r="AA118" i="22"/>
  <c r="Q149" i="22"/>
  <c r="T149" i="22"/>
  <c r="Q33" i="22"/>
  <c r="U33" i="22"/>
  <c r="V33" i="22" s="1"/>
  <c r="T33" i="22"/>
  <c r="Q97" i="22"/>
  <c r="T97" i="22"/>
  <c r="S290" i="22"/>
  <c r="J290" i="22"/>
  <c r="K290" i="22" s="1"/>
  <c r="W290" i="22"/>
  <c r="AA290" i="22"/>
  <c r="U290" i="22"/>
  <c r="V290" i="22" s="1"/>
  <c r="R290" i="22"/>
  <c r="O290" i="22"/>
  <c r="P290" i="22" s="1"/>
  <c r="W302" i="22"/>
  <c r="J302" i="22"/>
  <c r="K302" i="22" s="1"/>
  <c r="U302" i="22"/>
  <c r="V302" i="22" s="1"/>
  <c r="S302" i="22"/>
  <c r="R302" i="22"/>
  <c r="O302" i="22"/>
  <c r="P302" i="22" s="1"/>
  <c r="AA237" i="22"/>
  <c r="N311" i="22"/>
  <c r="M311" i="22"/>
  <c r="L311" i="22"/>
  <c r="S169" i="22"/>
  <c r="R169" i="22"/>
  <c r="O169" i="22"/>
  <c r="P169" i="22" s="1"/>
  <c r="J169" i="22"/>
  <c r="K169" i="22" s="1"/>
  <c r="U169" i="22"/>
  <c r="V169" i="22" s="1"/>
  <c r="W169" i="22"/>
  <c r="W197" i="22"/>
  <c r="O197" i="22"/>
  <c r="P197" i="22" s="1"/>
  <c r="U197" i="22"/>
  <c r="V197" i="22" s="1"/>
  <c r="J197" i="22"/>
  <c r="K197" i="22" s="1"/>
  <c r="S197" i="22"/>
  <c r="R197" i="22"/>
  <c r="W172" i="22"/>
  <c r="U172" i="22"/>
  <c r="V172" i="22" s="1"/>
  <c r="S172" i="22"/>
  <c r="O172" i="22"/>
  <c r="P172" i="22" s="1"/>
  <c r="R172" i="22"/>
  <c r="J172" i="22"/>
  <c r="K172" i="22" s="1"/>
  <c r="U167" i="22"/>
  <c r="V167" i="22" s="1"/>
  <c r="S167" i="22"/>
  <c r="O167" i="22"/>
  <c r="P167" i="22" s="1"/>
  <c r="R167" i="22"/>
  <c r="W167" i="22"/>
  <c r="J167" i="22"/>
  <c r="K167" i="22" s="1"/>
  <c r="R221" i="22"/>
  <c r="J221" i="22"/>
  <c r="K221" i="22" s="1"/>
  <c r="W221" i="22"/>
  <c r="U221" i="22"/>
  <c r="V221" i="22" s="1"/>
  <c r="O221" i="22"/>
  <c r="P221" i="22" s="1"/>
  <c r="S221" i="22"/>
  <c r="J264" i="22"/>
  <c r="K264" i="22" s="1"/>
  <c r="U264" i="22"/>
  <c r="V264" i="22" s="1"/>
  <c r="R264" i="22"/>
  <c r="W264" i="22"/>
  <c r="O264" i="22"/>
  <c r="P264" i="22" s="1"/>
  <c r="AA264" i="22"/>
  <c r="S264" i="22"/>
  <c r="S222" i="22"/>
  <c r="W222" i="22"/>
  <c r="U222" i="22"/>
  <c r="V222" i="22" s="1"/>
  <c r="R222" i="22"/>
  <c r="O222" i="22"/>
  <c r="P222" i="22" s="1"/>
  <c r="J222" i="22"/>
  <c r="K222" i="22" s="1"/>
  <c r="AA222" i="22"/>
  <c r="W322" i="22"/>
  <c r="U322" i="22"/>
  <c r="V322" i="22" s="1"/>
  <c r="R322" i="22"/>
  <c r="O322" i="22"/>
  <c r="P322" i="22" s="1"/>
  <c r="J322" i="22"/>
  <c r="K322" i="22" s="1"/>
  <c r="S322" i="22"/>
  <c r="W150" i="22"/>
  <c r="J150" i="22"/>
  <c r="K150" i="22" s="1"/>
  <c r="R150" i="22"/>
  <c r="U150" i="22"/>
  <c r="V150" i="22" s="1"/>
  <c r="S150" i="22"/>
  <c r="AA150" i="22"/>
  <c r="O150" i="22"/>
  <c r="P150" i="22" s="1"/>
  <c r="R148" i="22"/>
  <c r="W148" i="22"/>
  <c r="J148" i="22"/>
  <c r="K148" i="22" s="1"/>
  <c r="U148" i="22"/>
  <c r="V148" i="22" s="1"/>
  <c r="AA148" i="22"/>
  <c r="S148" i="22"/>
  <c r="O148" i="22"/>
  <c r="P148" i="22" s="1"/>
  <c r="T224" i="22"/>
  <c r="Q224" i="22"/>
  <c r="N213" i="22"/>
  <c r="M213" i="22"/>
  <c r="L213" i="22"/>
  <c r="T156" i="22"/>
  <c r="Q156" i="22"/>
  <c r="M164" i="22"/>
  <c r="N164" i="22"/>
  <c r="L164" i="22"/>
  <c r="Q223" i="22"/>
  <c r="T223" i="22"/>
  <c r="S81" i="22"/>
  <c r="O81" i="22"/>
  <c r="P81" i="22" s="1"/>
  <c r="J81" i="22"/>
  <c r="K81" i="22" s="1"/>
  <c r="W81" i="22"/>
  <c r="U81" i="22"/>
  <c r="V81" i="22" s="1"/>
  <c r="R81" i="22"/>
  <c r="J48" i="22"/>
  <c r="K48" i="22" s="1"/>
  <c r="S48" i="22"/>
  <c r="R48" i="22"/>
  <c r="O48" i="22"/>
  <c r="P48" i="22" s="1"/>
  <c r="W48" i="22"/>
  <c r="U48" i="22"/>
  <c r="V48" i="22" s="1"/>
  <c r="R30" i="22"/>
  <c r="W30" i="22"/>
  <c r="J30" i="22"/>
  <c r="K30" i="22" s="1"/>
  <c r="S30" i="22"/>
  <c r="O30" i="22"/>
  <c r="P30" i="22" s="1"/>
  <c r="W68" i="22"/>
  <c r="J68" i="22"/>
  <c r="K68" i="22" s="1"/>
  <c r="U68" i="22"/>
  <c r="V68" i="22" s="1"/>
  <c r="R68" i="22"/>
  <c r="O68" i="22"/>
  <c r="P68" i="22" s="1"/>
  <c r="S68" i="22"/>
  <c r="W66" i="22"/>
  <c r="U66" i="22"/>
  <c r="V66" i="22" s="1"/>
  <c r="O66" i="22"/>
  <c r="P66" i="22" s="1"/>
  <c r="J66" i="22"/>
  <c r="K66" i="22" s="1"/>
  <c r="AA66" i="22"/>
  <c r="S66" i="22"/>
  <c r="R66" i="22"/>
  <c r="L18" i="22"/>
  <c r="M18" i="22"/>
  <c r="N18" i="22"/>
  <c r="J111" i="22"/>
  <c r="K111" i="22" s="1"/>
  <c r="R111" i="22"/>
  <c r="U111" i="22"/>
  <c r="V111" i="22" s="1"/>
  <c r="S111" i="22"/>
  <c r="W111" i="22"/>
  <c r="O111" i="22"/>
  <c r="P111" i="22" s="1"/>
  <c r="AA111" i="22"/>
  <c r="H95" i="22"/>
  <c r="I98" i="22"/>
  <c r="J107" i="22"/>
  <c r="K107" i="22" s="1"/>
  <c r="W107" i="22"/>
  <c r="R107" i="22"/>
  <c r="U107" i="22"/>
  <c r="V107" i="22" s="1"/>
  <c r="S107" i="22"/>
  <c r="O107" i="22"/>
  <c r="P107" i="22" s="1"/>
  <c r="Q44" i="22"/>
  <c r="U44" i="22"/>
  <c r="V44" i="22" s="1"/>
  <c r="T44" i="22"/>
  <c r="Q22" i="22"/>
  <c r="T22" i="22"/>
  <c r="U31" i="22"/>
  <c r="V31" i="22" s="1"/>
  <c r="T31" i="22"/>
  <c r="Q31" i="22"/>
  <c r="Q78" i="22"/>
  <c r="T78" i="22"/>
  <c r="T37" i="22"/>
  <c r="Q37" i="22"/>
  <c r="U37" i="22"/>
  <c r="V37" i="22" s="1"/>
  <c r="AA322" i="22"/>
  <c r="J338" i="22"/>
  <c r="K338" i="22" s="1"/>
  <c r="W338" i="22"/>
  <c r="S338" i="22"/>
  <c r="R338" i="22"/>
  <c r="O338" i="22"/>
  <c r="P338" i="22" s="1"/>
  <c r="U338" i="22"/>
  <c r="V338" i="22" s="1"/>
  <c r="AA338" i="22"/>
  <c r="W344" i="22"/>
  <c r="U344" i="22"/>
  <c r="V344" i="22" s="1"/>
  <c r="AA344" i="22"/>
  <c r="J344" i="22"/>
  <c r="K344" i="22" s="1"/>
  <c r="R344" i="22"/>
  <c r="O344" i="22"/>
  <c r="P344" i="22" s="1"/>
  <c r="S344" i="22"/>
  <c r="R282" i="22"/>
  <c r="AA282" i="22"/>
  <c r="W282" i="22"/>
  <c r="U282" i="22"/>
  <c r="V282" i="22" s="1"/>
  <c r="S282" i="22"/>
  <c r="J282" i="22"/>
  <c r="K282" i="22" s="1"/>
  <c r="O282" i="22"/>
  <c r="P282" i="22" s="1"/>
  <c r="S298" i="22"/>
  <c r="O298" i="22"/>
  <c r="P298" i="22" s="1"/>
  <c r="J298" i="22"/>
  <c r="K298" i="22" s="1"/>
  <c r="W298" i="22"/>
  <c r="R298" i="22"/>
  <c r="U298" i="22"/>
  <c r="V298" i="22" s="1"/>
  <c r="W307" i="22"/>
  <c r="J307" i="22"/>
  <c r="K307" i="22" s="1"/>
  <c r="U307" i="22"/>
  <c r="V307" i="22" s="1"/>
  <c r="S307" i="22"/>
  <c r="O307" i="22"/>
  <c r="P307" i="22" s="1"/>
  <c r="AA307" i="22"/>
  <c r="R307" i="22"/>
  <c r="T296" i="22"/>
  <c r="Q296" i="22"/>
  <c r="AA343" i="22"/>
  <c r="H268" i="22"/>
  <c r="N273" i="22"/>
  <c r="M273" i="22"/>
  <c r="L273" i="22"/>
  <c r="M309" i="22"/>
  <c r="N309" i="22"/>
  <c r="L309" i="22"/>
  <c r="N329" i="22"/>
  <c r="M329" i="22"/>
  <c r="L329" i="22"/>
  <c r="AA172" i="22"/>
  <c r="W170" i="22"/>
  <c r="J170" i="22"/>
  <c r="K170" i="22" s="1"/>
  <c r="R170" i="22"/>
  <c r="O170" i="22"/>
  <c r="P170" i="22" s="1"/>
  <c r="U170" i="22"/>
  <c r="V170" i="22" s="1"/>
  <c r="S170" i="22"/>
  <c r="R217" i="22"/>
  <c r="U217" i="22"/>
  <c r="V217" i="22" s="1"/>
  <c r="S217" i="22"/>
  <c r="O217" i="22"/>
  <c r="P217" i="22" s="1"/>
  <c r="W217" i="22"/>
  <c r="J217" i="22"/>
  <c r="K217" i="22" s="1"/>
  <c r="U177" i="22"/>
  <c r="V177" i="22" s="1"/>
  <c r="S177" i="22"/>
  <c r="O177" i="22"/>
  <c r="P177" i="22" s="1"/>
  <c r="R177" i="22"/>
  <c r="J177" i="22"/>
  <c r="K177" i="22" s="1"/>
  <c r="W177" i="22"/>
  <c r="O171" i="22"/>
  <c r="P171" i="22" s="1"/>
  <c r="W171" i="22"/>
  <c r="J171" i="22"/>
  <c r="K171" i="22" s="1"/>
  <c r="R171" i="22"/>
  <c r="U171" i="22"/>
  <c r="V171" i="22" s="1"/>
  <c r="S171" i="22"/>
  <c r="W251" i="22"/>
  <c r="J251" i="22"/>
  <c r="K251" i="22" s="1"/>
  <c r="U251" i="22"/>
  <c r="V251" i="22" s="1"/>
  <c r="O251" i="22"/>
  <c r="P251" i="22" s="1"/>
  <c r="S251" i="22"/>
  <c r="R251" i="22"/>
  <c r="R270" i="22"/>
  <c r="O270" i="22"/>
  <c r="P270" i="22" s="1"/>
  <c r="J270" i="22"/>
  <c r="K270" i="22" s="1"/>
  <c r="U270" i="22"/>
  <c r="V270" i="22" s="1"/>
  <c r="S270" i="22"/>
  <c r="W270" i="22"/>
  <c r="S226" i="22"/>
  <c r="AA226" i="22"/>
  <c r="W226" i="22"/>
  <c r="R226" i="22"/>
  <c r="O226" i="22"/>
  <c r="P226" i="22" s="1"/>
  <c r="U226" i="22"/>
  <c r="V226" i="22" s="1"/>
  <c r="J226" i="22"/>
  <c r="K226" i="22" s="1"/>
  <c r="W325" i="22"/>
  <c r="J325" i="22"/>
  <c r="K325" i="22" s="1"/>
  <c r="O325" i="22"/>
  <c r="P325" i="22" s="1"/>
  <c r="AA325" i="22"/>
  <c r="U325" i="22"/>
  <c r="V325" i="22" s="1"/>
  <c r="S325" i="22"/>
  <c r="R325" i="22"/>
  <c r="N208" i="22"/>
  <c r="M208" i="22"/>
  <c r="L208" i="22"/>
  <c r="O135" i="22"/>
  <c r="P135" i="22" s="1"/>
  <c r="W135" i="22"/>
  <c r="U135" i="22"/>
  <c r="V135" i="22" s="1"/>
  <c r="S135" i="22"/>
  <c r="R135" i="22"/>
  <c r="AA135" i="22"/>
  <c r="J135" i="22"/>
  <c r="K135" i="22" s="1"/>
  <c r="S163" i="22"/>
  <c r="W163" i="22"/>
  <c r="J163" i="22"/>
  <c r="K163" i="22" s="1"/>
  <c r="U163" i="22"/>
  <c r="V163" i="22" s="1"/>
  <c r="R163" i="22"/>
  <c r="AA163" i="22"/>
  <c r="O163" i="22"/>
  <c r="P163" i="22" s="1"/>
  <c r="Q241" i="22"/>
  <c r="T241" i="22"/>
  <c r="N43" i="22"/>
  <c r="M43" i="22"/>
  <c r="L43" i="22"/>
  <c r="AA160" i="22"/>
  <c r="U84" i="22"/>
  <c r="V84" i="22" s="1"/>
  <c r="R84" i="22"/>
  <c r="W84" i="22"/>
  <c r="J84" i="22"/>
  <c r="K84" i="22" s="1"/>
  <c r="O84" i="22"/>
  <c r="P84" i="22" s="1"/>
  <c r="S84" i="22"/>
  <c r="T87" i="22"/>
  <c r="Q87" i="22"/>
  <c r="R34" i="22"/>
  <c r="J34" i="22"/>
  <c r="K34" i="22" s="1"/>
  <c r="W34" i="22"/>
  <c r="S34" i="22"/>
  <c r="O34" i="22"/>
  <c r="P34" i="22" s="1"/>
  <c r="W73" i="22"/>
  <c r="J73" i="22"/>
  <c r="K73" i="22" s="1"/>
  <c r="U73" i="22"/>
  <c r="V73" i="22" s="1"/>
  <c r="O73" i="22"/>
  <c r="P73" i="22" s="1"/>
  <c r="S73" i="22"/>
  <c r="R73" i="22"/>
  <c r="U70" i="22"/>
  <c r="V70" i="22" s="1"/>
  <c r="R70" i="22"/>
  <c r="J70" i="22"/>
  <c r="K70" i="22" s="1"/>
  <c r="S70" i="22"/>
  <c r="O70" i="22"/>
  <c r="P70" i="22" s="1"/>
  <c r="W70" i="22"/>
  <c r="J110" i="22"/>
  <c r="K110" i="22" s="1"/>
  <c r="S110" i="22"/>
  <c r="W110" i="22"/>
  <c r="U110" i="22"/>
  <c r="V110" i="22" s="1"/>
  <c r="R110" i="22"/>
  <c r="O110" i="22"/>
  <c r="P110" i="22" s="1"/>
  <c r="AA110" i="22"/>
  <c r="S101" i="22"/>
  <c r="U101" i="22"/>
  <c r="V101" i="22" s="1"/>
  <c r="O101" i="22"/>
  <c r="P101" i="22" s="1"/>
  <c r="J101" i="22"/>
  <c r="K101" i="22" s="1"/>
  <c r="R101" i="22"/>
  <c r="W101" i="22"/>
  <c r="W108" i="22"/>
  <c r="O108" i="22"/>
  <c r="P108" i="22" s="1"/>
  <c r="J108" i="22"/>
  <c r="K108" i="22" s="1"/>
  <c r="U108" i="22"/>
  <c r="V108" i="22" s="1"/>
  <c r="R108" i="22"/>
  <c r="S108" i="22"/>
  <c r="J114" i="22"/>
  <c r="K114" i="22" s="1"/>
  <c r="U114" i="22"/>
  <c r="V114" i="22" s="1"/>
  <c r="S114" i="22"/>
  <c r="R114" i="22"/>
  <c r="O114" i="22"/>
  <c r="P114" i="22" s="1"/>
  <c r="W114" i="22"/>
  <c r="N20" i="22"/>
  <c r="L20" i="22"/>
  <c r="M20" i="22"/>
  <c r="U339" i="22"/>
  <c r="V339" i="22" s="1"/>
  <c r="S339" i="22"/>
  <c r="R339" i="22"/>
  <c r="J339" i="22"/>
  <c r="K339" i="22" s="1"/>
  <c r="O339" i="22"/>
  <c r="P339" i="22" s="1"/>
  <c r="W339" i="22"/>
  <c r="W104" i="22"/>
  <c r="U104" i="22"/>
  <c r="V104" i="22" s="1"/>
  <c r="O104" i="22"/>
  <c r="P104" i="22" s="1"/>
  <c r="S104" i="22"/>
  <c r="R104" i="22"/>
  <c r="J104" i="22"/>
  <c r="K104" i="22" s="1"/>
  <c r="T165" i="22"/>
  <c r="Q165" i="22"/>
  <c r="M305" i="22"/>
  <c r="N305" i="22"/>
  <c r="L305" i="22"/>
  <c r="N39" i="22"/>
  <c r="M39" i="22"/>
  <c r="L39" i="22"/>
  <c r="Q40" i="22"/>
  <c r="U40" i="22"/>
  <c r="V40" i="22" s="1"/>
  <c r="T40" i="22"/>
  <c r="L29" i="22"/>
  <c r="N29" i="22"/>
  <c r="M29" i="22"/>
  <c r="Q64" i="22"/>
  <c r="T64" i="22"/>
  <c r="N274" i="22"/>
  <c r="M274" i="22"/>
  <c r="L274" i="22"/>
  <c r="W215" i="22"/>
  <c r="J215" i="22"/>
  <c r="K215" i="22" s="1"/>
  <c r="R215" i="22"/>
  <c r="AA215" i="22"/>
  <c r="U215" i="22"/>
  <c r="V215" i="22" s="1"/>
  <c r="S215" i="22"/>
  <c r="O215" i="22"/>
  <c r="P215" i="22" s="1"/>
  <c r="N241" i="22"/>
  <c r="M241" i="22"/>
  <c r="L241" i="22"/>
  <c r="T39" i="22"/>
  <c r="Q39" i="22"/>
  <c r="U39" i="22"/>
  <c r="V39" i="22" s="1"/>
  <c r="S125" i="22"/>
  <c r="R125" i="22"/>
  <c r="J125" i="22"/>
  <c r="K125" i="22" s="1"/>
  <c r="O125" i="22"/>
  <c r="P125" i="22" s="1"/>
  <c r="U125" i="22"/>
  <c r="V125" i="22" s="1"/>
  <c r="W125" i="22"/>
  <c r="Q345" i="22"/>
  <c r="T345" i="22"/>
  <c r="W58" i="22"/>
  <c r="J58" i="22"/>
  <c r="K58" i="22" s="1"/>
  <c r="O58" i="22"/>
  <c r="P58" i="22" s="1"/>
  <c r="S58" i="22"/>
  <c r="R58" i="22"/>
  <c r="U58" i="22"/>
  <c r="V58" i="22" s="1"/>
  <c r="W348" i="22"/>
  <c r="R348" i="22"/>
  <c r="O348" i="22"/>
  <c r="P348" i="22" s="1"/>
  <c r="T348" i="22" s="1"/>
  <c r="S348" i="22"/>
  <c r="J348" i="22"/>
  <c r="K348" i="22" s="1"/>
  <c r="AA348" i="22"/>
  <c r="U348" i="22"/>
  <c r="V348" i="22" s="1"/>
  <c r="U256" i="22"/>
  <c r="V256" i="22" s="1"/>
  <c r="R256" i="22"/>
  <c r="J256" i="22"/>
  <c r="K256" i="22" s="1"/>
  <c r="O256" i="22"/>
  <c r="P256" i="22" s="1"/>
  <c r="W256" i="22"/>
  <c r="S256" i="22"/>
  <c r="O74" i="22"/>
  <c r="P74" i="22" s="1"/>
  <c r="J74" i="22"/>
  <c r="K74" i="22" s="1"/>
  <c r="U74" i="22"/>
  <c r="V74" i="22" s="1"/>
  <c r="R74" i="22"/>
  <c r="S74" i="22"/>
  <c r="W74" i="22"/>
  <c r="L92" i="22"/>
  <c r="M92" i="22"/>
  <c r="N92" i="22"/>
  <c r="M78" i="22"/>
  <c r="L78" i="22"/>
  <c r="N78" i="22"/>
  <c r="M7" i="22"/>
  <c r="N7" i="22"/>
  <c r="L7" i="22"/>
  <c r="O316" i="22"/>
  <c r="P316" i="22" s="1"/>
  <c r="W316" i="22"/>
  <c r="U316" i="22"/>
  <c r="V316" i="22" s="1"/>
  <c r="S316" i="22"/>
  <c r="J316" i="22"/>
  <c r="K316" i="22" s="1"/>
  <c r="R316" i="22"/>
  <c r="AA316" i="22"/>
  <c r="N272" i="22"/>
  <c r="M272" i="22"/>
  <c r="L272" i="22"/>
  <c r="AA191" i="22"/>
  <c r="O191" i="22"/>
  <c r="P191" i="22" s="1"/>
  <c r="W191" i="22"/>
  <c r="J191" i="22"/>
  <c r="K191" i="22" s="1"/>
  <c r="R191" i="22"/>
  <c r="U191" i="22"/>
  <c r="V191" i="22" s="1"/>
  <c r="S191" i="22"/>
  <c r="S246" i="22"/>
  <c r="O246" i="22"/>
  <c r="P246" i="22" s="1"/>
  <c r="U246" i="22"/>
  <c r="V246" i="22" s="1"/>
  <c r="R246" i="22"/>
  <c r="W246" i="22"/>
  <c r="J246" i="22"/>
  <c r="K246" i="22" s="1"/>
  <c r="Q176" i="22"/>
  <c r="T176" i="22"/>
  <c r="N25" i="22"/>
  <c r="M25" i="22"/>
  <c r="L25" i="22"/>
  <c r="T15" i="22"/>
  <c r="Q15" i="22"/>
  <c r="N136" i="22"/>
  <c r="L136" i="22"/>
  <c r="M136" i="22"/>
  <c r="W315" i="22"/>
  <c r="J315" i="22"/>
  <c r="K315" i="22" s="1"/>
  <c r="S315" i="22"/>
  <c r="O315" i="22"/>
  <c r="P315" i="22" s="1"/>
  <c r="U315" i="22"/>
  <c r="V315" i="22" s="1"/>
  <c r="R315" i="22"/>
  <c r="W190" i="22"/>
  <c r="J190" i="22"/>
  <c r="K190" i="22" s="1"/>
  <c r="U190" i="22"/>
  <c r="V190" i="22" s="1"/>
  <c r="S190" i="22"/>
  <c r="R190" i="22"/>
  <c r="AA190" i="22"/>
  <c r="O190" i="22"/>
  <c r="P190" i="22" s="1"/>
  <c r="S250" i="22"/>
  <c r="AA250" i="22"/>
  <c r="R250" i="22"/>
  <c r="J250" i="22"/>
  <c r="K250" i="22" s="1"/>
  <c r="W250" i="22"/>
  <c r="O250" i="22"/>
  <c r="P250" i="22" s="1"/>
  <c r="U250" i="22"/>
  <c r="V250" i="22" s="1"/>
  <c r="R144" i="22"/>
  <c r="U144" i="22"/>
  <c r="V144" i="22" s="1"/>
  <c r="O144" i="22"/>
  <c r="P144" i="22" s="1"/>
  <c r="J144" i="22"/>
  <c r="K144" i="22" s="1"/>
  <c r="W144" i="22"/>
  <c r="S144" i="22"/>
  <c r="T27" i="22"/>
  <c r="Q27" i="22"/>
  <c r="O112" i="22"/>
  <c r="P112" i="22" s="1"/>
  <c r="U112" i="22"/>
  <c r="V112" i="22" s="1"/>
  <c r="S112" i="22"/>
  <c r="W112" i="22"/>
  <c r="R112" i="22"/>
  <c r="J112" i="22"/>
  <c r="K112" i="22" s="1"/>
  <c r="N16" i="22"/>
  <c r="M16" i="22"/>
  <c r="L16" i="22"/>
  <c r="J295" i="22"/>
  <c r="K295" i="22" s="1"/>
  <c r="AA295" i="22"/>
  <c r="U295" i="22"/>
  <c r="V295" i="22" s="1"/>
  <c r="R295" i="22"/>
  <c r="W295" i="22"/>
  <c r="S295" i="22"/>
  <c r="O295" i="22"/>
  <c r="P295" i="22" s="1"/>
  <c r="O228" i="22"/>
  <c r="P228" i="22" s="1"/>
  <c r="R228" i="22"/>
  <c r="U228" i="22"/>
  <c r="V228" i="22" s="1"/>
  <c r="S228" i="22"/>
  <c r="J228" i="22"/>
  <c r="K228" i="22" s="1"/>
  <c r="W228" i="22"/>
  <c r="AA228" i="22"/>
  <c r="S258" i="22"/>
  <c r="W258" i="22"/>
  <c r="R258" i="22"/>
  <c r="U258" i="22"/>
  <c r="V258" i="22" s="1"/>
  <c r="J258" i="22"/>
  <c r="K258" i="22" s="1"/>
  <c r="AA258" i="22"/>
  <c r="O258" i="22"/>
  <c r="P258" i="22" s="1"/>
  <c r="O155" i="22"/>
  <c r="P155" i="22" s="1"/>
  <c r="U155" i="22"/>
  <c r="V155" i="22" s="1"/>
  <c r="S155" i="22"/>
  <c r="R155" i="22"/>
  <c r="J155" i="22"/>
  <c r="K155" i="22" s="1"/>
  <c r="W155" i="22"/>
  <c r="R8" i="22"/>
  <c r="W8" i="22"/>
  <c r="J8" i="22"/>
  <c r="K8" i="22" s="1"/>
  <c r="U8" i="22"/>
  <c r="V8" i="22" s="1"/>
  <c r="S8" i="22"/>
  <c r="O8" i="22"/>
  <c r="P8" i="22" s="1"/>
  <c r="T89" i="22"/>
  <c r="Q89" i="22"/>
  <c r="AA10" i="22"/>
  <c r="W332" i="22"/>
  <c r="U332" i="22"/>
  <c r="V332" i="22" s="1"/>
  <c r="S332" i="22"/>
  <c r="J332" i="22"/>
  <c r="K332" i="22" s="1"/>
  <c r="AA332" i="22"/>
  <c r="R332" i="22"/>
  <c r="O332" i="22"/>
  <c r="P332" i="22" s="1"/>
  <c r="W297" i="22"/>
  <c r="J297" i="22"/>
  <c r="K297" i="22" s="1"/>
  <c r="S297" i="22"/>
  <c r="R297" i="22"/>
  <c r="U297" i="22"/>
  <c r="V297" i="22" s="1"/>
  <c r="O297" i="22"/>
  <c r="P297" i="22" s="1"/>
  <c r="W192" i="22"/>
  <c r="S192" i="22"/>
  <c r="R192" i="22"/>
  <c r="AA192" i="22"/>
  <c r="O192" i="22"/>
  <c r="P192" i="22" s="1"/>
  <c r="U192" i="22"/>
  <c r="V192" i="22" s="1"/>
  <c r="J192" i="22"/>
  <c r="K192" i="22" s="1"/>
  <c r="W253" i="22"/>
  <c r="R253" i="22"/>
  <c r="J253" i="22"/>
  <c r="K253" i="22" s="1"/>
  <c r="S253" i="22"/>
  <c r="O253" i="22"/>
  <c r="P253" i="22" s="1"/>
  <c r="U253" i="22"/>
  <c r="V253" i="22" s="1"/>
  <c r="Q18" i="22"/>
  <c r="T18" i="22"/>
  <c r="J126" i="22"/>
  <c r="K126" i="22" s="1"/>
  <c r="U126" i="22"/>
  <c r="V126" i="22" s="1"/>
  <c r="S126" i="22"/>
  <c r="W126" i="22"/>
  <c r="R126" i="22"/>
  <c r="O126" i="22"/>
  <c r="P126" i="22" s="1"/>
  <c r="AA126" i="22"/>
  <c r="Q92" i="22"/>
  <c r="T92" i="22"/>
  <c r="T77" i="22"/>
  <c r="Q77" i="22"/>
  <c r="J299" i="22"/>
  <c r="K299" i="22" s="1"/>
  <c r="U299" i="22"/>
  <c r="V299" i="22" s="1"/>
  <c r="S299" i="22"/>
  <c r="R299" i="22"/>
  <c r="O299" i="22"/>
  <c r="P299" i="22" s="1"/>
  <c r="W299" i="22"/>
  <c r="M283" i="22"/>
  <c r="L283" i="22"/>
  <c r="N283" i="22"/>
  <c r="W243" i="22"/>
  <c r="J243" i="22"/>
  <c r="K243" i="22" s="1"/>
  <c r="S243" i="22"/>
  <c r="U243" i="22"/>
  <c r="V243" i="22" s="1"/>
  <c r="O243" i="22"/>
  <c r="P243" i="22" s="1"/>
  <c r="R243" i="22"/>
  <c r="AA243" i="22"/>
  <c r="S271" i="22"/>
  <c r="J271" i="22"/>
  <c r="K271" i="22" s="1"/>
  <c r="U271" i="22"/>
  <c r="V271" i="22" s="1"/>
  <c r="R271" i="22"/>
  <c r="AA271" i="22"/>
  <c r="W271" i="22"/>
  <c r="O271" i="22"/>
  <c r="P271" i="22" s="1"/>
  <c r="U145" i="22"/>
  <c r="V145" i="22" s="1"/>
  <c r="W145" i="22"/>
  <c r="J145" i="22"/>
  <c r="K145" i="22" s="1"/>
  <c r="AA145" i="22"/>
  <c r="S145" i="22"/>
  <c r="O145" i="22"/>
  <c r="P145" i="22" s="1"/>
  <c r="R145" i="22"/>
  <c r="S85" i="22"/>
  <c r="O85" i="22"/>
  <c r="P85" i="22" s="1"/>
  <c r="J85" i="22"/>
  <c r="K85" i="22" s="1"/>
  <c r="W85" i="22"/>
  <c r="AA85" i="22"/>
  <c r="R85" i="22"/>
  <c r="U85" i="22"/>
  <c r="V85" i="22" s="1"/>
  <c r="T168" i="22"/>
  <c r="Q168" i="22"/>
  <c r="AA120" i="22"/>
  <c r="R4" i="22"/>
  <c r="O4" i="22"/>
  <c r="P4" i="22" s="1"/>
  <c r="W4" i="22"/>
  <c r="J4" i="22"/>
  <c r="K4" i="22" s="1"/>
  <c r="S4" i="22"/>
  <c r="U4" i="22"/>
  <c r="V4" i="22" s="1"/>
  <c r="W130" i="22"/>
  <c r="J130" i="22"/>
  <c r="K130" i="22" s="1"/>
  <c r="U130" i="22"/>
  <c r="V130" i="22" s="1"/>
  <c r="S130" i="22"/>
  <c r="R130" i="22"/>
  <c r="O130" i="22"/>
  <c r="P130" i="22" s="1"/>
  <c r="AA130" i="22"/>
  <c r="S105" i="22"/>
  <c r="J105" i="22"/>
  <c r="K105" i="22" s="1"/>
  <c r="R105" i="22"/>
  <c r="O105" i="22"/>
  <c r="P105" i="22" s="1"/>
  <c r="W105" i="22"/>
  <c r="U105" i="22"/>
  <c r="V105" i="22" s="1"/>
  <c r="Q63" i="22"/>
  <c r="T63" i="22"/>
  <c r="W340" i="22"/>
  <c r="O340" i="22"/>
  <c r="P340" i="22" s="1"/>
  <c r="J340" i="22"/>
  <c r="K340" i="22" s="1"/>
  <c r="U340" i="22"/>
  <c r="V340" i="22" s="1"/>
  <c r="S340" i="22"/>
  <c r="R340" i="22"/>
  <c r="Q346" i="22"/>
  <c r="T346" i="22"/>
  <c r="R342" i="22"/>
  <c r="S342" i="22"/>
  <c r="O342" i="22"/>
  <c r="P342" i="22" s="1"/>
  <c r="J342" i="22"/>
  <c r="K342" i="22" s="1"/>
  <c r="U342" i="22"/>
  <c r="V342" i="22" s="1"/>
  <c r="W342" i="22"/>
  <c r="W313" i="22"/>
  <c r="O313" i="22"/>
  <c r="P313" i="22" s="1"/>
  <c r="S313" i="22"/>
  <c r="U313" i="22"/>
  <c r="V313" i="22" s="1"/>
  <c r="J313" i="22"/>
  <c r="K313" i="22" s="1"/>
  <c r="R313" i="22"/>
  <c r="O303" i="22"/>
  <c r="P303" i="22" s="1"/>
  <c r="J303" i="22"/>
  <c r="K303" i="22" s="1"/>
  <c r="W303" i="22"/>
  <c r="U303" i="22"/>
  <c r="V303" i="22" s="1"/>
  <c r="S303" i="22"/>
  <c r="R303" i="22"/>
  <c r="W317" i="22"/>
  <c r="J317" i="22"/>
  <c r="K317" i="22" s="1"/>
  <c r="U317" i="22"/>
  <c r="V317" i="22" s="1"/>
  <c r="S317" i="22"/>
  <c r="R317" i="22"/>
  <c r="O317" i="22"/>
  <c r="P317" i="22" s="1"/>
  <c r="AA317" i="22"/>
  <c r="W292" i="22"/>
  <c r="J292" i="22"/>
  <c r="K292" i="22" s="1"/>
  <c r="O292" i="22"/>
  <c r="P292" i="22" s="1"/>
  <c r="U292" i="22"/>
  <c r="V292" i="22" s="1"/>
  <c r="R292" i="22"/>
  <c r="S292" i="22"/>
  <c r="AA292" i="22"/>
  <c r="AA323" i="22"/>
  <c r="AA246" i="22"/>
  <c r="AA112" i="22"/>
  <c r="W219" i="22"/>
  <c r="J219" i="22"/>
  <c r="K219" i="22" s="1"/>
  <c r="R219" i="22"/>
  <c r="AA219" i="22"/>
  <c r="U219" i="22"/>
  <c r="V219" i="22" s="1"/>
  <c r="S219" i="22"/>
  <c r="O219" i="22"/>
  <c r="P219" i="22" s="1"/>
  <c r="J249" i="22"/>
  <c r="K249" i="22" s="1"/>
  <c r="W249" i="22"/>
  <c r="U249" i="22"/>
  <c r="V249" i="22" s="1"/>
  <c r="R249" i="22"/>
  <c r="S249" i="22"/>
  <c r="O249" i="22"/>
  <c r="P249" i="22" s="1"/>
  <c r="U182" i="22"/>
  <c r="V182" i="22" s="1"/>
  <c r="S182" i="22"/>
  <c r="AA182" i="22"/>
  <c r="O182" i="22"/>
  <c r="P182" i="22" s="1"/>
  <c r="R182" i="22"/>
  <c r="J182" i="22"/>
  <c r="K182" i="22" s="1"/>
  <c r="W182" i="22"/>
  <c r="W175" i="22"/>
  <c r="J175" i="22"/>
  <c r="K175" i="22" s="1"/>
  <c r="S175" i="22"/>
  <c r="R175" i="22"/>
  <c r="U175" i="22"/>
  <c r="V175" i="22" s="1"/>
  <c r="O175" i="22"/>
  <c r="P175" i="22" s="1"/>
  <c r="AA175" i="22"/>
  <c r="J240" i="22"/>
  <c r="K240" i="22" s="1"/>
  <c r="U240" i="22"/>
  <c r="V240" i="22" s="1"/>
  <c r="R240" i="22"/>
  <c r="AA240" i="22"/>
  <c r="W240" i="22"/>
  <c r="S240" i="22"/>
  <c r="O240" i="22"/>
  <c r="P240" i="22" s="1"/>
  <c r="S230" i="22"/>
  <c r="O230" i="22"/>
  <c r="P230" i="22" s="1"/>
  <c r="W230" i="22"/>
  <c r="U230" i="22"/>
  <c r="V230" i="22" s="1"/>
  <c r="R230" i="22"/>
  <c r="J230" i="22"/>
  <c r="K230" i="22" s="1"/>
  <c r="AA230" i="22"/>
  <c r="W321" i="22"/>
  <c r="J321" i="22"/>
  <c r="K321" i="22" s="1"/>
  <c r="S321" i="22"/>
  <c r="R321" i="22"/>
  <c r="U321" i="22"/>
  <c r="V321" i="22" s="1"/>
  <c r="O321" i="22"/>
  <c r="P321" i="22" s="1"/>
  <c r="O142" i="22"/>
  <c r="P142" i="22" s="1"/>
  <c r="J142" i="22"/>
  <c r="K142" i="22" s="1"/>
  <c r="S142" i="22"/>
  <c r="R142" i="22"/>
  <c r="W142" i="22"/>
  <c r="U142" i="22"/>
  <c r="V142" i="22" s="1"/>
  <c r="W138" i="22"/>
  <c r="J138" i="22"/>
  <c r="K138" i="22" s="1"/>
  <c r="R138" i="22"/>
  <c r="S138" i="22"/>
  <c r="U138" i="22"/>
  <c r="V138" i="22" s="1"/>
  <c r="O138" i="22"/>
  <c r="P138" i="22" s="1"/>
  <c r="N181" i="22"/>
  <c r="M181" i="22"/>
  <c r="L181" i="22"/>
  <c r="Q213" i="22"/>
  <c r="T213" i="22"/>
  <c r="U25" i="22"/>
  <c r="V25" i="22" s="1"/>
  <c r="T25" i="22"/>
  <c r="Q25" i="22"/>
  <c r="M223" i="22"/>
  <c r="N223" i="22"/>
  <c r="L223" i="22"/>
  <c r="AA81" i="22"/>
  <c r="L154" i="22"/>
  <c r="M154" i="22"/>
  <c r="N154" i="22"/>
  <c r="AA36" i="22"/>
  <c r="O36" i="22"/>
  <c r="P36" i="22" s="1"/>
  <c r="J36" i="22"/>
  <c r="K36" i="22" s="1"/>
  <c r="W36" i="22"/>
  <c r="S36" i="22"/>
  <c r="R36" i="22"/>
  <c r="S72" i="22"/>
  <c r="R72" i="22"/>
  <c r="W72" i="22"/>
  <c r="U72" i="22"/>
  <c r="V72" i="22" s="1"/>
  <c r="O72" i="22"/>
  <c r="P72" i="22" s="1"/>
  <c r="J72" i="22"/>
  <c r="K72" i="22" s="1"/>
  <c r="U65" i="22"/>
  <c r="V65" i="22" s="1"/>
  <c r="S65" i="22"/>
  <c r="O65" i="22"/>
  <c r="P65" i="22" s="1"/>
  <c r="J65" i="22"/>
  <c r="K65" i="22" s="1"/>
  <c r="R65" i="22"/>
  <c r="W65" i="22"/>
  <c r="S121" i="22"/>
  <c r="R121" i="22"/>
  <c r="J121" i="22"/>
  <c r="K121" i="22" s="1"/>
  <c r="O121" i="22"/>
  <c r="P121" i="22" s="1"/>
  <c r="W121" i="22"/>
  <c r="U121" i="22"/>
  <c r="V121" i="22" s="1"/>
  <c r="S109" i="22"/>
  <c r="J109" i="22"/>
  <c r="K109" i="22" s="1"/>
  <c r="U109" i="22"/>
  <c r="V109" i="22" s="1"/>
  <c r="O109" i="22"/>
  <c r="P109" i="22" s="1"/>
  <c r="W109" i="22"/>
  <c r="R109" i="22"/>
  <c r="S117" i="22"/>
  <c r="R117" i="22"/>
  <c r="O117" i="22"/>
  <c r="P117" i="22" s="1"/>
  <c r="J117" i="22"/>
  <c r="K117" i="22" s="1"/>
  <c r="W117" i="22"/>
  <c r="U117" i="22"/>
  <c r="V117" i="22" s="1"/>
  <c r="AA57" i="22"/>
  <c r="N51" i="22"/>
  <c r="M51" i="22"/>
  <c r="L51" i="22"/>
  <c r="W337" i="22"/>
  <c r="R337" i="22"/>
  <c r="U337" i="22"/>
  <c r="V337" i="22" s="1"/>
  <c r="O337" i="22"/>
  <c r="P337" i="22" s="1"/>
  <c r="S337" i="22"/>
  <c r="J337" i="22"/>
  <c r="K337" i="22" s="1"/>
  <c r="J327" i="22"/>
  <c r="K327" i="22" s="1"/>
  <c r="W327" i="22"/>
  <c r="U327" i="22"/>
  <c r="V327" i="22" s="1"/>
  <c r="S327" i="22"/>
  <c r="R327" i="22"/>
  <c r="O327" i="22"/>
  <c r="P327" i="22" s="1"/>
  <c r="J278" i="22"/>
  <c r="K278" i="22" s="1"/>
  <c r="U278" i="22"/>
  <c r="V278" i="22" s="1"/>
  <c r="R278" i="22"/>
  <c r="O278" i="22"/>
  <c r="P278" i="22" s="1"/>
  <c r="W278" i="22"/>
  <c r="S278" i="22"/>
  <c r="AA278" i="22"/>
  <c r="S286" i="22"/>
  <c r="O286" i="22"/>
  <c r="P286" i="22" s="1"/>
  <c r="W286" i="22"/>
  <c r="U286" i="22"/>
  <c r="V286" i="22" s="1"/>
  <c r="R286" i="22"/>
  <c r="J286" i="22"/>
  <c r="K286" i="22" s="1"/>
  <c r="U304" i="22"/>
  <c r="V304" i="22" s="1"/>
  <c r="R304" i="22"/>
  <c r="J304" i="22"/>
  <c r="K304" i="22" s="1"/>
  <c r="W304" i="22"/>
  <c r="AA304" i="22"/>
  <c r="S304" i="22"/>
  <c r="O304" i="22"/>
  <c r="P304" i="22" s="1"/>
  <c r="J291" i="22"/>
  <c r="K291" i="22" s="1"/>
  <c r="S291" i="22"/>
  <c r="R291" i="22"/>
  <c r="O291" i="22"/>
  <c r="P291" i="22" s="1"/>
  <c r="W291" i="22"/>
  <c r="U291" i="22"/>
  <c r="V291" i="22" s="1"/>
  <c r="Q305" i="22"/>
  <c r="T305" i="22"/>
  <c r="Q272" i="22"/>
  <c r="T272" i="22"/>
  <c r="AA209" i="22"/>
  <c r="AA125" i="22"/>
  <c r="AA233" i="22"/>
  <c r="S225" i="22"/>
  <c r="O225" i="22"/>
  <c r="P225" i="22" s="1"/>
  <c r="W225" i="22"/>
  <c r="R225" i="22"/>
  <c r="U225" i="22"/>
  <c r="V225" i="22" s="1"/>
  <c r="J225" i="22"/>
  <c r="K225" i="22" s="1"/>
  <c r="W188" i="22"/>
  <c r="J188" i="22"/>
  <c r="K188" i="22" s="1"/>
  <c r="U188" i="22"/>
  <c r="V188" i="22" s="1"/>
  <c r="S188" i="22"/>
  <c r="O188" i="22"/>
  <c r="P188" i="22" s="1"/>
  <c r="AA188" i="22"/>
  <c r="R188" i="22"/>
  <c r="U198" i="22"/>
  <c r="V198" i="22" s="1"/>
  <c r="R198" i="22"/>
  <c r="O198" i="22"/>
  <c r="P198" i="22" s="1"/>
  <c r="W198" i="22"/>
  <c r="S198" i="22"/>
  <c r="J198" i="22"/>
  <c r="K198" i="22" s="1"/>
  <c r="R179" i="22"/>
  <c r="J179" i="22"/>
  <c r="K179" i="22" s="1"/>
  <c r="W179" i="22"/>
  <c r="AA179" i="22"/>
  <c r="O179" i="22"/>
  <c r="P179" i="22" s="1"/>
  <c r="U179" i="22"/>
  <c r="V179" i="22" s="1"/>
  <c r="S179" i="22"/>
  <c r="W235" i="22"/>
  <c r="J235" i="22"/>
  <c r="K235" i="22" s="1"/>
  <c r="AA235" i="22"/>
  <c r="U235" i="22"/>
  <c r="V235" i="22" s="1"/>
  <c r="O235" i="22"/>
  <c r="P235" i="22" s="1"/>
  <c r="S235" i="22"/>
  <c r="R235" i="22"/>
  <c r="W260" i="22"/>
  <c r="S260" i="22"/>
  <c r="J260" i="22"/>
  <c r="K260" i="22" s="1"/>
  <c r="R260" i="22"/>
  <c r="U260" i="22"/>
  <c r="V260" i="22" s="1"/>
  <c r="O260" i="22"/>
  <c r="P260" i="22" s="1"/>
  <c r="S234" i="22"/>
  <c r="W234" i="22"/>
  <c r="R234" i="22"/>
  <c r="J234" i="22"/>
  <c r="K234" i="22" s="1"/>
  <c r="U234" i="22"/>
  <c r="V234" i="22" s="1"/>
  <c r="O234" i="22"/>
  <c r="P234" i="22" s="1"/>
  <c r="AA234" i="22"/>
  <c r="W320" i="22"/>
  <c r="O320" i="22"/>
  <c r="P320" i="22" s="1"/>
  <c r="AA320" i="22"/>
  <c r="J320" i="22"/>
  <c r="K320" i="22" s="1"/>
  <c r="U320" i="22"/>
  <c r="V320" i="22" s="1"/>
  <c r="S320" i="22"/>
  <c r="R320" i="22"/>
  <c r="T208" i="22"/>
  <c r="Q208" i="22"/>
  <c r="R152" i="22"/>
  <c r="S152" i="22"/>
  <c r="O152" i="22"/>
  <c r="P152" i="22" s="1"/>
  <c r="W152" i="22"/>
  <c r="J152" i="22"/>
  <c r="K152" i="22" s="1"/>
  <c r="U152" i="22"/>
  <c r="V152" i="22" s="1"/>
  <c r="O147" i="22"/>
  <c r="P147" i="22" s="1"/>
  <c r="W147" i="22"/>
  <c r="J147" i="22"/>
  <c r="K147" i="22" s="1"/>
  <c r="U147" i="22"/>
  <c r="V147" i="22" s="1"/>
  <c r="S147" i="22"/>
  <c r="R147" i="22"/>
  <c r="AA147" i="22"/>
  <c r="N186" i="22"/>
  <c r="M186" i="22"/>
  <c r="L186" i="22"/>
  <c r="M19" i="22"/>
  <c r="N19" i="22"/>
  <c r="L19" i="22"/>
  <c r="O23" i="22"/>
  <c r="P23" i="22" s="1"/>
  <c r="J23" i="22"/>
  <c r="K23" i="22" s="1"/>
  <c r="W23" i="22"/>
  <c r="U23" i="22"/>
  <c r="V23" i="22" s="1"/>
  <c r="S23" i="22"/>
  <c r="R23" i="22"/>
  <c r="AA23" i="22"/>
  <c r="N64" i="22"/>
  <c r="M64" i="22"/>
  <c r="L64" i="22"/>
  <c r="AA32" i="22"/>
  <c r="O32" i="22"/>
  <c r="P32" i="22" s="1"/>
  <c r="J32" i="22"/>
  <c r="K32" i="22" s="1"/>
  <c r="W32" i="22"/>
  <c r="S32" i="22"/>
  <c r="R32" i="22"/>
  <c r="J82" i="22"/>
  <c r="K82" i="22" s="1"/>
  <c r="S82" i="22"/>
  <c r="R82" i="22"/>
  <c r="U82" i="22"/>
  <c r="V82" i="22" s="1"/>
  <c r="W82" i="22"/>
  <c r="O82" i="22"/>
  <c r="P82" i="22" s="1"/>
  <c r="U91" i="22"/>
  <c r="V91" i="22" s="1"/>
  <c r="S91" i="22"/>
  <c r="J91" i="22"/>
  <c r="K91" i="22" s="1"/>
  <c r="W91" i="22"/>
  <c r="R91" i="22"/>
  <c r="O91" i="22"/>
  <c r="P91" i="22" s="1"/>
  <c r="W93" i="22"/>
  <c r="I93" i="22"/>
  <c r="N71" i="22"/>
  <c r="M71" i="22"/>
  <c r="L71" i="22"/>
  <c r="T76" i="22"/>
  <c r="Q76" i="22"/>
  <c r="J122" i="22"/>
  <c r="K122" i="22" s="1"/>
  <c r="U122" i="22"/>
  <c r="V122" i="22" s="1"/>
  <c r="S122" i="22"/>
  <c r="W122" i="22"/>
  <c r="R122" i="22"/>
  <c r="O122" i="22"/>
  <c r="P122" i="22" s="1"/>
  <c r="J106" i="22"/>
  <c r="K106" i="22" s="1"/>
  <c r="S106" i="22"/>
  <c r="O106" i="22"/>
  <c r="P106" i="22" s="1"/>
  <c r="W106" i="22"/>
  <c r="U106" i="22"/>
  <c r="V106" i="22" s="1"/>
  <c r="R106" i="22"/>
  <c r="J119" i="22"/>
  <c r="K119" i="22" s="1"/>
  <c r="R119" i="22"/>
  <c r="AA119" i="22"/>
  <c r="O119" i="22"/>
  <c r="P119" i="22" s="1"/>
  <c r="W119" i="22"/>
  <c r="U119" i="22"/>
  <c r="V119" i="22" s="1"/>
  <c r="S119" i="22"/>
  <c r="T51" i="22"/>
  <c r="Q51" i="22"/>
  <c r="L22" i="22"/>
  <c r="N22" i="22"/>
  <c r="M22" i="22"/>
  <c r="AA65" i="22"/>
  <c r="L97" i="22"/>
  <c r="N97" i="22"/>
  <c r="M97" i="22"/>
  <c r="T151" i="22"/>
  <c r="Q151" i="22"/>
  <c r="N47" i="22"/>
  <c r="M47" i="22"/>
  <c r="L47" i="22"/>
  <c r="Q20" i="22"/>
  <c r="T20" i="22"/>
  <c r="AA75" i="22"/>
  <c r="S294" i="22"/>
  <c r="U294" i="22"/>
  <c r="V294" i="22" s="1"/>
  <c r="O294" i="22"/>
  <c r="P294" i="22" s="1"/>
  <c r="W294" i="22"/>
  <c r="R294" i="22"/>
  <c r="J294" i="22"/>
  <c r="K294" i="22" s="1"/>
  <c r="AA294" i="22"/>
  <c r="W185" i="22"/>
  <c r="J185" i="22"/>
  <c r="K185" i="22" s="1"/>
  <c r="U185" i="22"/>
  <c r="V185" i="22" s="1"/>
  <c r="S185" i="22"/>
  <c r="R185" i="22"/>
  <c r="O185" i="22"/>
  <c r="P185" i="22" s="1"/>
  <c r="AA185" i="22"/>
  <c r="W247" i="22"/>
  <c r="J247" i="22"/>
  <c r="K247" i="22" s="1"/>
  <c r="U247" i="22"/>
  <c r="V247" i="22" s="1"/>
  <c r="S247" i="22"/>
  <c r="R247" i="22"/>
  <c r="O247" i="22"/>
  <c r="P247" i="22" s="1"/>
  <c r="U141" i="22"/>
  <c r="V141" i="22" s="1"/>
  <c r="S141" i="22"/>
  <c r="O141" i="22"/>
  <c r="P141" i="22" s="1"/>
  <c r="W141" i="22"/>
  <c r="R141" i="22"/>
  <c r="J141" i="22"/>
  <c r="K141" i="22" s="1"/>
  <c r="W42" i="22"/>
  <c r="J42" i="22"/>
  <c r="K42" i="22" s="1"/>
  <c r="O42" i="22"/>
  <c r="P42" i="22" s="1"/>
  <c r="AA42" i="22"/>
  <c r="S42" i="22"/>
  <c r="R42" i="22"/>
  <c r="J131" i="22"/>
  <c r="K131" i="22" s="1"/>
  <c r="U131" i="22"/>
  <c r="V131" i="22" s="1"/>
  <c r="S131" i="22"/>
  <c r="R131" i="22"/>
  <c r="O131" i="22"/>
  <c r="P131" i="22" s="1"/>
  <c r="W131" i="22"/>
  <c r="Q14" i="22"/>
  <c r="T14" i="22"/>
  <c r="W334" i="22"/>
  <c r="U334" i="22"/>
  <c r="V334" i="22" s="1"/>
  <c r="J334" i="22"/>
  <c r="K334" i="22" s="1"/>
  <c r="R334" i="22"/>
  <c r="O334" i="22"/>
  <c r="P334" i="22" s="1"/>
  <c r="S334" i="22"/>
  <c r="Q283" i="22"/>
  <c r="T283" i="22"/>
  <c r="W200" i="22"/>
  <c r="U200" i="22"/>
  <c r="V200" i="22" s="1"/>
  <c r="R200" i="22"/>
  <c r="O200" i="22"/>
  <c r="P200" i="22" s="1"/>
  <c r="S200" i="22"/>
  <c r="J200" i="22"/>
  <c r="K200" i="22" s="1"/>
  <c r="O139" i="22"/>
  <c r="P139" i="22" s="1"/>
  <c r="W139" i="22"/>
  <c r="U139" i="22"/>
  <c r="V139" i="22" s="1"/>
  <c r="R139" i="22"/>
  <c r="J139" i="22"/>
  <c r="K139" i="22" s="1"/>
  <c r="AA139" i="22"/>
  <c r="S139" i="22"/>
  <c r="N257" i="22"/>
  <c r="M257" i="22"/>
  <c r="L257" i="22"/>
  <c r="T55" i="22"/>
  <c r="Q55" i="22"/>
  <c r="S53" i="22"/>
  <c r="U53" i="22"/>
  <c r="V53" i="22" s="1"/>
  <c r="W53" i="22"/>
  <c r="R53" i="22"/>
  <c r="O53" i="22"/>
  <c r="P53" i="22" s="1"/>
  <c r="AA53" i="22"/>
  <c r="J53" i="22"/>
  <c r="K53" i="22" s="1"/>
  <c r="AA128" i="22"/>
  <c r="O128" i="22"/>
  <c r="P128" i="22" s="1"/>
  <c r="W128" i="22"/>
  <c r="U128" i="22"/>
  <c r="V128" i="22" s="1"/>
  <c r="S128" i="22"/>
  <c r="R128" i="22"/>
  <c r="J128" i="22"/>
  <c r="K128" i="22" s="1"/>
  <c r="L14" i="22"/>
  <c r="N14" i="22"/>
  <c r="M14" i="22"/>
  <c r="AA104" i="22"/>
  <c r="W281" i="22"/>
  <c r="J281" i="22"/>
  <c r="K281" i="22" s="1"/>
  <c r="R281" i="22"/>
  <c r="O281" i="22"/>
  <c r="P281" i="22" s="1"/>
  <c r="S281" i="22"/>
  <c r="U281" i="22"/>
  <c r="V281" i="22" s="1"/>
  <c r="AA281" i="22"/>
  <c r="W212" i="22"/>
  <c r="U212" i="22"/>
  <c r="V212" i="22" s="1"/>
  <c r="R212" i="22"/>
  <c r="S212" i="22"/>
  <c r="O212" i="22"/>
  <c r="P212" i="22" s="1"/>
  <c r="J212" i="22"/>
  <c r="K212" i="22" s="1"/>
  <c r="W229" i="22"/>
  <c r="J229" i="22"/>
  <c r="K229" i="22" s="1"/>
  <c r="S229" i="22"/>
  <c r="O229" i="22"/>
  <c r="P229" i="22" s="1"/>
  <c r="U229" i="22"/>
  <c r="V229" i="22" s="1"/>
  <c r="R229" i="22"/>
  <c r="T220" i="22"/>
  <c r="Q220" i="22"/>
  <c r="T9" i="22"/>
  <c r="Q9" i="22"/>
  <c r="N44" i="22"/>
  <c r="M44" i="22"/>
  <c r="L44" i="22"/>
  <c r="S284" i="22"/>
  <c r="R284" i="22"/>
  <c r="U284" i="22"/>
  <c r="V284" i="22" s="1"/>
  <c r="O284" i="22"/>
  <c r="P284" i="22" s="1"/>
  <c r="J284" i="22"/>
  <c r="K284" i="22" s="1"/>
  <c r="W284" i="22"/>
  <c r="T329" i="22"/>
  <c r="Q329" i="22"/>
  <c r="S210" i="22"/>
  <c r="W210" i="22"/>
  <c r="U210" i="22"/>
  <c r="V210" i="22" s="1"/>
  <c r="J210" i="22"/>
  <c r="K210" i="22" s="1"/>
  <c r="R210" i="22"/>
  <c r="O210" i="22"/>
  <c r="P210" i="22" s="1"/>
  <c r="O143" i="22"/>
  <c r="P143" i="22" s="1"/>
  <c r="R143" i="22"/>
  <c r="AA143" i="22"/>
  <c r="W143" i="22"/>
  <c r="U143" i="22"/>
  <c r="V143" i="22" s="1"/>
  <c r="S143" i="22"/>
  <c r="J143" i="22"/>
  <c r="K143" i="22" s="1"/>
  <c r="Q261" i="22"/>
  <c r="T261" i="22"/>
  <c r="S61" i="22"/>
  <c r="W61" i="22"/>
  <c r="U61" i="22"/>
  <c r="V61" i="22" s="1"/>
  <c r="O61" i="22"/>
  <c r="P61" i="22" s="1"/>
  <c r="AA61" i="22"/>
  <c r="J61" i="22"/>
  <c r="K61" i="22" s="1"/>
  <c r="R61" i="22"/>
  <c r="J103" i="22"/>
  <c r="K103" i="22" s="1"/>
  <c r="R103" i="22"/>
  <c r="S103" i="22"/>
  <c r="W103" i="22"/>
  <c r="U103" i="22"/>
  <c r="V103" i="22" s="1"/>
  <c r="O103" i="22"/>
  <c r="P103" i="22" s="1"/>
  <c r="M3" i="22"/>
  <c r="L3" i="22"/>
  <c r="N3" i="22"/>
  <c r="N90" i="22"/>
  <c r="M90" i="22"/>
  <c r="L90" i="22"/>
  <c r="N77" i="22"/>
  <c r="L77" i="22"/>
  <c r="M77" i="22"/>
  <c r="AA289" i="22"/>
  <c r="T309" i="22"/>
  <c r="Q309" i="22"/>
  <c r="U173" i="22"/>
  <c r="V173" i="22" s="1"/>
  <c r="S173" i="22"/>
  <c r="R173" i="22"/>
  <c r="O173" i="22"/>
  <c r="P173" i="22" s="1"/>
  <c r="J173" i="22"/>
  <c r="K173" i="22" s="1"/>
  <c r="AA173" i="22"/>
  <c r="W173" i="22"/>
  <c r="S214" i="22"/>
  <c r="W214" i="22"/>
  <c r="O214" i="22"/>
  <c r="P214" i="22" s="1"/>
  <c r="AA214" i="22"/>
  <c r="J214" i="22"/>
  <c r="K214" i="22" s="1"/>
  <c r="U214" i="22"/>
  <c r="V214" i="22" s="1"/>
  <c r="R214" i="22"/>
  <c r="H134" i="22"/>
  <c r="I146" i="22"/>
  <c r="N239" i="22"/>
  <c r="M239" i="22"/>
  <c r="L239" i="22"/>
  <c r="N168" i="22"/>
  <c r="M168" i="22"/>
  <c r="L168" i="22"/>
  <c r="W96" i="22"/>
  <c r="S96" i="22"/>
  <c r="R96" i="22"/>
  <c r="O96" i="22"/>
  <c r="P96" i="22" s="1"/>
  <c r="J96" i="22"/>
  <c r="K96" i="22" s="1"/>
  <c r="U96" i="22"/>
  <c r="V96" i="22" s="1"/>
  <c r="N12" i="22"/>
  <c r="M12" i="22"/>
  <c r="L12" i="22"/>
  <c r="W336" i="22"/>
  <c r="J336" i="22"/>
  <c r="K336" i="22" s="1"/>
  <c r="U336" i="22"/>
  <c r="V336" i="22" s="1"/>
  <c r="R336" i="22"/>
  <c r="S336" i="22"/>
  <c r="AA336" i="22"/>
  <c r="O336" i="22"/>
  <c r="P336" i="22" s="1"/>
  <c r="R205" i="22"/>
  <c r="O205" i="22"/>
  <c r="P205" i="22" s="1"/>
  <c r="W205" i="22"/>
  <c r="U205" i="22"/>
  <c r="V205" i="22" s="1"/>
  <c r="S205" i="22"/>
  <c r="J205" i="22"/>
  <c r="K205" i="22" s="1"/>
  <c r="W211" i="22"/>
  <c r="J211" i="22"/>
  <c r="K211" i="22" s="1"/>
  <c r="U211" i="22"/>
  <c r="V211" i="22" s="1"/>
  <c r="S211" i="22"/>
  <c r="O211" i="22"/>
  <c r="P211" i="22" s="1"/>
  <c r="R211" i="22"/>
  <c r="N224" i="22"/>
  <c r="M224" i="22"/>
  <c r="L224" i="22"/>
  <c r="W59" i="22"/>
  <c r="J59" i="22"/>
  <c r="K59" i="22" s="1"/>
  <c r="S59" i="22"/>
  <c r="R59" i="22"/>
  <c r="O59" i="22"/>
  <c r="P59" i="22" s="1"/>
  <c r="U59" i="22"/>
  <c r="V59" i="22" s="1"/>
  <c r="T12" i="22"/>
  <c r="Q12" i="22"/>
  <c r="U330" i="22"/>
  <c r="V330" i="22" s="1"/>
  <c r="S330" i="22"/>
  <c r="O330" i="22"/>
  <c r="P330" i="22" s="1"/>
  <c r="J330" i="22"/>
  <c r="K330" i="22" s="1"/>
  <c r="AA330" i="22"/>
  <c r="W330" i="22"/>
  <c r="R330" i="22"/>
  <c r="O331" i="22"/>
  <c r="P331" i="22" s="1"/>
  <c r="J331" i="22"/>
  <c r="K331" i="22" s="1"/>
  <c r="R331" i="22"/>
  <c r="W331" i="22"/>
  <c r="U331" i="22"/>
  <c r="V331" i="22" s="1"/>
  <c r="S331" i="22"/>
  <c r="J300" i="22"/>
  <c r="K300" i="22" s="1"/>
  <c r="R300" i="22"/>
  <c r="O300" i="22"/>
  <c r="P300" i="22" s="1"/>
  <c r="U300" i="22"/>
  <c r="V300" i="22" s="1"/>
  <c r="S300" i="22"/>
  <c r="W300" i="22"/>
  <c r="O293" i="22"/>
  <c r="P293" i="22" s="1"/>
  <c r="W293" i="22"/>
  <c r="U293" i="22"/>
  <c r="V293" i="22" s="1"/>
  <c r="R293" i="22"/>
  <c r="S293" i="22"/>
  <c r="J293" i="22"/>
  <c r="K293" i="22" s="1"/>
  <c r="O308" i="22"/>
  <c r="P308" i="22" s="1"/>
  <c r="R308" i="22"/>
  <c r="W308" i="22"/>
  <c r="J308" i="22"/>
  <c r="K308" i="22" s="1"/>
  <c r="S308" i="22"/>
  <c r="U308" i="22"/>
  <c r="V308" i="22" s="1"/>
  <c r="N345" i="22"/>
  <c r="M345" i="22"/>
  <c r="L345" i="22"/>
  <c r="AA229" i="22"/>
  <c r="Q311" i="22"/>
  <c r="T311" i="22"/>
  <c r="AA212" i="22"/>
  <c r="R189" i="22"/>
  <c r="J189" i="22"/>
  <c r="K189" i="22" s="1"/>
  <c r="AA189" i="22"/>
  <c r="W189" i="22"/>
  <c r="U189" i="22"/>
  <c r="V189" i="22" s="1"/>
  <c r="O189" i="22"/>
  <c r="P189" i="22" s="1"/>
  <c r="S189" i="22"/>
  <c r="W193" i="22"/>
  <c r="J193" i="22"/>
  <c r="K193" i="22" s="1"/>
  <c r="U193" i="22"/>
  <c r="V193" i="22" s="1"/>
  <c r="S193" i="22"/>
  <c r="R193" i="22"/>
  <c r="AA193" i="22"/>
  <c r="O193" i="22"/>
  <c r="P193" i="22" s="1"/>
  <c r="O244" i="22"/>
  <c r="P244" i="22" s="1"/>
  <c r="J244" i="22"/>
  <c r="K244" i="22" s="1"/>
  <c r="W244" i="22"/>
  <c r="R244" i="22"/>
  <c r="U244" i="22"/>
  <c r="V244" i="22" s="1"/>
  <c r="S244" i="22"/>
  <c r="U183" i="22"/>
  <c r="V183" i="22" s="1"/>
  <c r="S183" i="22"/>
  <c r="R183" i="22"/>
  <c r="J183" i="22"/>
  <c r="K183" i="22" s="1"/>
  <c r="O183" i="22"/>
  <c r="P183" i="22" s="1"/>
  <c r="AA183" i="22"/>
  <c r="W183" i="22"/>
  <c r="AA266" i="22"/>
  <c r="O266" i="22"/>
  <c r="P266" i="22" s="1"/>
  <c r="S266" i="22"/>
  <c r="R266" i="22"/>
  <c r="U266" i="22"/>
  <c r="V266" i="22" s="1"/>
  <c r="J266" i="22"/>
  <c r="K266" i="22" s="1"/>
  <c r="W266" i="22"/>
  <c r="J265" i="22"/>
  <c r="K265" i="22" s="1"/>
  <c r="U265" i="22"/>
  <c r="V265" i="22" s="1"/>
  <c r="S265" i="22"/>
  <c r="R265" i="22"/>
  <c r="AA265" i="22"/>
  <c r="W265" i="22"/>
  <c r="O265" i="22"/>
  <c r="P265" i="22" s="1"/>
  <c r="S238" i="22"/>
  <c r="J238" i="22"/>
  <c r="K238" i="22" s="1"/>
  <c r="U238" i="22"/>
  <c r="V238" i="22" s="1"/>
  <c r="W238" i="22"/>
  <c r="O238" i="22"/>
  <c r="P238" i="22" s="1"/>
  <c r="R238" i="22"/>
  <c r="W324" i="22"/>
  <c r="O324" i="22"/>
  <c r="P324" i="22" s="1"/>
  <c r="J324" i="22"/>
  <c r="K324" i="22" s="1"/>
  <c r="U324" i="22"/>
  <c r="V324" i="22" s="1"/>
  <c r="R324" i="22"/>
  <c r="S324" i="22"/>
  <c r="U157" i="22"/>
  <c r="V157" i="22" s="1"/>
  <c r="R157" i="22"/>
  <c r="S157" i="22"/>
  <c r="J157" i="22"/>
  <c r="K157" i="22" s="1"/>
  <c r="W157" i="22"/>
  <c r="AA157" i="22"/>
  <c r="O157" i="22"/>
  <c r="P157" i="22" s="1"/>
  <c r="J158" i="22"/>
  <c r="K158" i="22" s="1"/>
  <c r="W158" i="22"/>
  <c r="U158" i="22"/>
  <c r="V158" i="22" s="1"/>
  <c r="O158" i="22"/>
  <c r="P158" i="22" s="1"/>
  <c r="Q181" i="22"/>
  <c r="T181" i="22"/>
  <c r="N13" i="22"/>
  <c r="M13" i="22"/>
  <c r="L13" i="22"/>
  <c r="U21" i="22"/>
  <c r="V21" i="22" s="1"/>
  <c r="S21" i="22"/>
  <c r="J21" i="22"/>
  <c r="K21" i="22" s="1"/>
  <c r="W21" i="22"/>
  <c r="R21" i="22"/>
  <c r="O21" i="22"/>
  <c r="P21" i="22" s="1"/>
  <c r="T71" i="22"/>
  <c r="Q71" i="22"/>
  <c r="Q154" i="22"/>
  <c r="T154" i="22"/>
  <c r="AA28" i="22"/>
  <c r="O28" i="22"/>
  <c r="P28" i="22" s="1"/>
  <c r="W28" i="22"/>
  <c r="J28" i="22"/>
  <c r="K28" i="22" s="1"/>
  <c r="S28" i="22"/>
  <c r="R28" i="22"/>
  <c r="W80" i="22"/>
  <c r="J80" i="22"/>
  <c r="K80" i="22" s="1"/>
  <c r="R80" i="22"/>
  <c r="U80" i="22"/>
  <c r="V80" i="22" s="1"/>
  <c r="S80" i="22"/>
  <c r="O80" i="22"/>
  <c r="P80" i="22" s="1"/>
  <c r="S41" i="22"/>
  <c r="O41" i="22"/>
  <c r="P41" i="22" s="1"/>
  <c r="W41" i="22"/>
  <c r="J41" i="22"/>
  <c r="K41" i="22" s="1"/>
  <c r="R41" i="22"/>
  <c r="N76" i="22"/>
  <c r="M76" i="22"/>
  <c r="L76" i="22"/>
  <c r="Q29" i="22"/>
  <c r="U29" i="22"/>
  <c r="V29" i="22" s="1"/>
  <c r="T29" i="22"/>
  <c r="J115" i="22"/>
  <c r="K115" i="22" s="1"/>
  <c r="S115" i="22"/>
  <c r="O115" i="22"/>
  <c r="P115" i="22" s="1"/>
  <c r="W115" i="22"/>
  <c r="AA115" i="22"/>
  <c r="U115" i="22"/>
  <c r="V115" i="22" s="1"/>
  <c r="R115" i="22"/>
  <c r="O124" i="22"/>
  <c r="P124" i="22" s="1"/>
  <c r="W124" i="22"/>
  <c r="R124" i="22"/>
  <c r="J124" i="22"/>
  <c r="K124" i="22" s="1"/>
  <c r="U124" i="22"/>
  <c r="V124" i="22" s="1"/>
  <c r="S124" i="22"/>
  <c r="J123" i="22"/>
  <c r="K123" i="22" s="1"/>
  <c r="U123" i="22"/>
  <c r="V123" i="22" s="1"/>
  <c r="S123" i="22"/>
  <c r="R123" i="22"/>
  <c r="W123" i="22"/>
  <c r="O123" i="22"/>
  <c r="P123" i="22" s="1"/>
  <c r="AA123" i="22"/>
  <c r="M35" i="22"/>
  <c r="N35" i="22"/>
  <c r="L35" i="22"/>
  <c r="AA105" i="22"/>
  <c r="AA158" i="22"/>
  <c r="T100" i="22"/>
  <c r="Q100" i="22"/>
  <c r="T47" i="22"/>
  <c r="Q47" i="22"/>
  <c r="W333" i="22"/>
  <c r="O333" i="22"/>
  <c r="P333" i="22" s="1"/>
  <c r="U333" i="22"/>
  <c r="V333" i="22" s="1"/>
  <c r="R333" i="22"/>
  <c r="S333" i="22"/>
  <c r="J333" i="22"/>
  <c r="K333" i="22" s="1"/>
  <c r="N310" i="22"/>
  <c r="L310" i="22"/>
  <c r="M310" i="22"/>
  <c r="W196" i="22"/>
  <c r="U196" i="22"/>
  <c r="V196" i="22" s="1"/>
  <c r="S196" i="22"/>
  <c r="R196" i="22"/>
  <c r="O196" i="22"/>
  <c r="P196" i="22" s="1"/>
  <c r="J196" i="22"/>
  <c r="K196" i="22" s="1"/>
  <c r="S49" i="22"/>
  <c r="O49" i="22"/>
  <c r="P49" i="22" s="1"/>
  <c r="J49" i="22"/>
  <c r="K49" i="22" s="1"/>
  <c r="W49" i="22"/>
  <c r="U49" i="22"/>
  <c r="V49" i="22" s="1"/>
  <c r="R49" i="22"/>
  <c r="AA102" i="22"/>
  <c r="Q56" i="22"/>
  <c r="T56" i="22"/>
  <c r="W279" i="22"/>
  <c r="U279" i="22"/>
  <c r="V279" i="22" s="1"/>
  <c r="S279" i="22"/>
  <c r="R279" i="22"/>
  <c r="O279" i="22"/>
  <c r="P279" i="22" s="1"/>
  <c r="J279" i="22"/>
  <c r="K279" i="22" s="1"/>
  <c r="T314" i="22"/>
  <c r="Q314" i="22"/>
  <c r="W195" i="22"/>
  <c r="U195" i="22"/>
  <c r="V195" i="22" s="1"/>
  <c r="AA195" i="22"/>
  <c r="R195" i="22"/>
  <c r="O195" i="22"/>
  <c r="P195" i="22" s="1"/>
  <c r="J195" i="22"/>
  <c r="K195" i="22" s="1"/>
  <c r="S195" i="22"/>
  <c r="N194" i="22"/>
  <c r="M194" i="22"/>
  <c r="L194" i="22"/>
  <c r="Q83" i="22"/>
  <c r="T83" i="22"/>
  <c r="AA247" i="22"/>
  <c r="W46" i="22"/>
  <c r="J46" i="22"/>
  <c r="K46" i="22" s="1"/>
  <c r="S46" i="22"/>
  <c r="U46" i="22"/>
  <c r="V46" i="22" s="1"/>
  <c r="R46" i="22"/>
  <c r="O46" i="22"/>
  <c r="P46" i="22" s="1"/>
  <c r="N277" i="22"/>
  <c r="M277" i="22"/>
  <c r="L277" i="22"/>
  <c r="O116" i="22"/>
  <c r="P116" i="22" s="1"/>
  <c r="W116" i="22"/>
  <c r="U116" i="22"/>
  <c r="V116" i="22" s="1"/>
  <c r="S116" i="22"/>
  <c r="R116" i="22"/>
  <c r="J116" i="22"/>
  <c r="K116" i="22" s="1"/>
  <c r="T7" i="22"/>
  <c r="Q7" i="22"/>
  <c r="U347" i="22"/>
  <c r="V347" i="22" s="1"/>
  <c r="W347" i="22"/>
  <c r="S347" i="22"/>
  <c r="O347" i="22"/>
  <c r="P347" i="22" s="1"/>
  <c r="J347" i="22"/>
  <c r="K347" i="22" s="1"/>
  <c r="AA347" i="22"/>
  <c r="R347" i="22"/>
  <c r="J202" i="22"/>
  <c r="K202" i="22" s="1"/>
  <c r="W202" i="22"/>
  <c r="S202" i="22"/>
  <c r="R202" i="22"/>
  <c r="AA202" i="22"/>
  <c r="U202" i="22"/>
  <c r="V202" i="22" s="1"/>
  <c r="O202" i="22"/>
  <c r="P202" i="22" s="1"/>
  <c r="I199" i="22"/>
  <c r="H166" i="22"/>
  <c r="S254" i="22"/>
  <c r="U254" i="22"/>
  <c r="V254" i="22" s="1"/>
  <c r="R254" i="22"/>
  <c r="O254" i="22"/>
  <c r="P254" i="22" s="1"/>
  <c r="W254" i="22"/>
  <c r="J254" i="22"/>
  <c r="K254" i="22" s="1"/>
  <c r="U162" i="22"/>
  <c r="V162" i="22" s="1"/>
  <c r="R162" i="22"/>
  <c r="O162" i="22"/>
  <c r="P162" i="22" s="1"/>
  <c r="W162" i="22"/>
  <c r="S162" i="22"/>
  <c r="J162" i="22"/>
  <c r="K162" i="22" s="1"/>
  <c r="U153" i="22"/>
  <c r="V153" i="22" s="1"/>
  <c r="W153" i="22"/>
  <c r="J153" i="22"/>
  <c r="K153" i="22" s="1"/>
  <c r="R153" i="22"/>
  <c r="O153" i="22"/>
  <c r="P153" i="22" s="1"/>
  <c r="S153" i="22"/>
  <c r="AA153" i="22"/>
  <c r="Q239" i="22"/>
  <c r="T239" i="22"/>
  <c r="AA200" i="22"/>
  <c r="S133" i="22"/>
  <c r="R133" i="22"/>
  <c r="W133" i="22"/>
  <c r="U133" i="22"/>
  <c r="V133" i="22" s="1"/>
  <c r="O133" i="22"/>
  <c r="P133" i="22" s="1"/>
  <c r="J133" i="22"/>
  <c r="K133" i="22" s="1"/>
  <c r="W231" i="22"/>
  <c r="J231" i="22"/>
  <c r="K231" i="22" s="1"/>
  <c r="U231" i="22"/>
  <c r="V231" i="22" s="1"/>
  <c r="S231" i="22"/>
  <c r="O231" i="22"/>
  <c r="P231" i="22" s="1"/>
  <c r="R231" i="22"/>
  <c r="W54" i="22"/>
  <c r="J54" i="22"/>
  <c r="K54" i="22" s="1"/>
  <c r="O54" i="22"/>
  <c r="P54" i="22" s="1"/>
  <c r="U54" i="22"/>
  <c r="V54" i="22" s="1"/>
  <c r="S54" i="22"/>
  <c r="R54" i="22"/>
  <c r="N56" i="22"/>
  <c r="M56" i="22"/>
  <c r="L56" i="22"/>
  <c r="N151" i="22"/>
  <c r="M151" i="22"/>
  <c r="L151" i="22"/>
  <c r="W301" i="22"/>
  <c r="R301" i="22"/>
  <c r="U301" i="22"/>
  <c r="V301" i="22" s="1"/>
  <c r="J301" i="22"/>
  <c r="K301" i="22" s="1"/>
  <c r="S301" i="22"/>
  <c r="O301" i="22"/>
  <c r="P301" i="22" s="1"/>
  <c r="AA328" i="22"/>
  <c r="M285" i="22"/>
  <c r="L285" i="22"/>
  <c r="N285" i="22"/>
  <c r="W227" i="22"/>
  <c r="J227" i="22"/>
  <c r="K227" i="22" s="1"/>
  <c r="S227" i="22"/>
  <c r="U227" i="22"/>
  <c r="V227" i="22" s="1"/>
  <c r="R227" i="22"/>
  <c r="O227" i="22"/>
  <c r="P227" i="22" s="1"/>
  <c r="AA227" i="22"/>
  <c r="O262" i="22"/>
  <c r="P262" i="22" s="1"/>
  <c r="U262" i="22"/>
  <c r="V262" i="22" s="1"/>
  <c r="J262" i="22"/>
  <c r="K262" i="22" s="1"/>
  <c r="W262" i="22"/>
  <c r="AA262" i="22"/>
  <c r="S262" i="22"/>
  <c r="R262" i="22"/>
  <c r="J86" i="22"/>
  <c r="K86" i="22" s="1"/>
  <c r="R86" i="22"/>
  <c r="U86" i="22"/>
  <c r="V86" i="22" s="1"/>
  <c r="O86" i="22"/>
  <c r="P86" i="22" s="1"/>
  <c r="W86" i="22"/>
  <c r="S86" i="22"/>
  <c r="J6" i="22"/>
  <c r="K6" i="22" s="1"/>
  <c r="O6" i="22"/>
  <c r="P6" i="22" s="1"/>
  <c r="S6" i="22"/>
  <c r="W6" i="22"/>
  <c r="U6" i="22"/>
  <c r="V6" i="22" s="1"/>
  <c r="R6" i="22"/>
  <c r="J99" i="22"/>
  <c r="K99" i="22" s="1"/>
  <c r="R99" i="22"/>
  <c r="W99" i="22"/>
  <c r="U99" i="22"/>
  <c r="V99" i="22" s="1"/>
  <c r="S99" i="22"/>
  <c r="O99" i="22"/>
  <c r="P99" i="22" s="1"/>
  <c r="N63" i="22"/>
  <c r="M63" i="22"/>
  <c r="L63" i="22"/>
  <c r="N24" i="22"/>
  <c r="M24" i="22"/>
  <c r="L24" i="22"/>
  <c r="S275" i="22"/>
  <c r="O275" i="22"/>
  <c r="P275" i="22" s="1"/>
  <c r="U275" i="22"/>
  <c r="V275" i="22" s="1"/>
  <c r="J275" i="22"/>
  <c r="K275" i="22" s="1"/>
  <c r="AA275" i="22"/>
  <c r="R275" i="22"/>
  <c r="W275" i="22"/>
  <c r="AA315" i="22"/>
  <c r="U232" i="22"/>
  <c r="V232" i="22" s="1"/>
  <c r="R232" i="22"/>
  <c r="S232" i="22"/>
  <c r="O232" i="22"/>
  <c r="P232" i="22" s="1"/>
  <c r="W232" i="22"/>
  <c r="J232" i="22"/>
  <c r="K232" i="22" s="1"/>
  <c r="AA232" i="22"/>
  <c r="S218" i="22"/>
  <c r="O218" i="22"/>
  <c r="P218" i="22" s="1"/>
  <c r="AA218" i="22"/>
  <c r="J218" i="22"/>
  <c r="K218" i="22" s="1"/>
  <c r="W218" i="22"/>
  <c r="R218" i="22"/>
  <c r="U218" i="22"/>
  <c r="V218" i="22" s="1"/>
  <c r="W62" i="22"/>
  <c r="J62" i="22"/>
  <c r="K62" i="22" s="1"/>
  <c r="R62" i="22"/>
  <c r="O62" i="22"/>
  <c r="P62" i="22" s="1"/>
  <c r="U62" i="22"/>
  <c r="V62" i="22" s="1"/>
  <c r="S62" i="22"/>
  <c r="M165" i="22"/>
  <c r="N165" i="22"/>
  <c r="L165" i="22"/>
  <c r="I326" i="22"/>
  <c r="H318" i="22"/>
  <c r="O335" i="22"/>
  <c r="P335" i="22" s="1"/>
  <c r="U335" i="22"/>
  <c r="V335" i="22" s="1"/>
  <c r="W335" i="22"/>
  <c r="S335" i="22"/>
  <c r="J335" i="22"/>
  <c r="K335" i="22" s="1"/>
  <c r="R335" i="22"/>
  <c r="W276" i="22"/>
  <c r="J276" i="22"/>
  <c r="K276" i="22" s="1"/>
  <c r="S276" i="22"/>
  <c r="U276" i="22"/>
  <c r="V276" i="22" s="1"/>
  <c r="AA276" i="22"/>
  <c r="R276" i="22"/>
  <c r="O276" i="22"/>
  <c r="P276" i="22" s="1"/>
  <c r="R306" i="22"/>
  <c r="J306" i="22"/>
  <c r="K306" i="22" s="1"/>
  <c r="W306" i="22"/>
  <c r="O306" i="22"/>
  <c r="P306" i="22" s="1"/>
  <c r="U306" i="22"/>
  <c r="V306" i="22" s="1"/>
  <c r="S306" i="22"/>
  <c r="W312" i="22"/>
  <c r="J312" i="22"/>
  <c r="K312" i="22" s="1"/>
  <c r="U312" i="22"/>
  <c r="V312" i="22" s="1"/>
  <c r="S312" i="22"/>
  <c r="R312" i="22"/>
  <c r="O312" i="22"/>
  <c r="P312" i="22" s="1"/>
  <c r="AA301" i="22"/>
  <c r="N314" i="22"/>
  <c r="M314" i="22"/>
  <c r="L314" i="22"/>
  <c r="AA284" i="22"/>
  <c r="AA141" i="22"/>
  <c r="W201" i="22"/>
  <c r="O201" i="22"/>
  <c r="P201" i="22" s="1"/>
  <c r="J201" i="22"/>
  <c r="K201" i="22" s="1"/>
  <c r="U201" i="22"/>
  <c r="V201" i="22" s="1"/>
  <c r="S201" i="22"/>
  <c r="R201" i="22"/>
  <c r="AA201" i="22"/>
  <c r="W207" i="22"/>
  <c r="J207" i="22"/>
  <c r="K207" i="22" s="1"/>
  <c r="U207" i="22"/>
  <c r="V207" i="22" s="1"/>
  <c r="R207" i="22"/>
  <c r="S207" i="22"/>
  <c r="O207" i="22"/>
  <c r="P207" i="22" s="1"/>
  <c r="W180" i="22"/>
  <c r="J180" i="22"/>
  <c r="K180" i="22" s="1"/>
  <c r="U180" i="22"/>
  <c r="V180" i="22" s="1"/>
  <c r="S180" i="22"/>
  <c r="R180" i="22"/>
  <c r="O180" i="22"/>
  <c r="P180" i="22" s="1"/>
  <c r="AA248" i="22"/>
  <c r="R248" i="22"/>
  <c r="J248" i="22"/>
  <c r="K248" i="22" s="1"/>
  <c r="U248" i="22"/>
  <c r="V248" i="22" s="1"/>
  <c r="O248" i="22"/>
  <c r="P248" i="22" s="1"/>
  <c r="W248" i="22"/>
  <c r="S248" i="22"/>
  <c r="U187" i="22"/>
  <c r="V187" i="22" s="1"/>
  <c r="S187" i="22"/>
  <c r="R187" i="22"/>
  <c r="AA187" i="22"/>
  <c r="O187" i="22"/>
  <c r="P187" i="22" s="1"/>
  <c r="W187" i="22"/>
  <c r="J187" i="22"/>
  <c r="K187" i="22" s="1"/>
  <c r="S267" i="22"/>
  <c r="R267" i="22"/>
  <c r="J267" i="22"/>
  <c r="K267" i="22" s="1"/>
  <c r="O267" i="22"/>
  <c r="P267" i="22" s="1"/>
  <c r="W267" i="22"/>
  <c r="U267" i="22"/>
  <c r="V267" i="22" s="1"/>
  <c r="U245" i="22"/>
  <c r="V245" i="22" s="1"/>
  <c r="S245" i="22"/>
  <c r="R245" i="22"/>
  <c r="W245" i="22"/>
  <c r="O245" i="22"/>
  <c r="P245" i="22" s="1"/>
  <c r="J245" i="22"/>
  <c r="K245" i="22" s="1"/>
  <c r="S242" i="22"/>
  <c r="J242" i="22"/>
  <c r="K242" i="22" s="1"/>
  <c r="W242" i="22"/>
  <c r="R242" i="22"/>
  <c r="AA242" i="22"/>
  <c r="U242" i="22"/>
  <c r="V242" i="22" s="1"/>
  <c r="O242" i="22"/>
  <c r="P242" i="22" s="1"/>
  <c r="S319" i="22"/>
  <c r="U319" i="22"/>
  <c r="V319" i="22" s="1"/>
  <c r="R319" i="22"/>
  <c r="O319" i="22"/>
  <c r="P319" i="22" s="1"/>
  <c r="W319" i="22"/>
  <c r="AA319" i="22"/>
  <c r="J319" i="22"/>
  <c r="K319" i="22" s="1"/>
  <c r="N174" i="22"/>
  <c r="M174" i="22"/>
  <c r="L174" i="22"/>
  <c r="O159" i="22"/>
  <c r="P159" i="22" s="1"/>
  <c r="W159" i="22"/>
  <c r="J159" i="22"/>
  <c r="K159" i="22" s="1"/>
  <c r="U159" i="22"/>
  <c r="V159" i="22" s="1"/>
  <c r="U137" i="22"/>
  <c r="V137" i="22" s="1"/>
  <c r="S137" i="22"/>
  <c r="O137" i="22"/>
  <c r="P137" i="22" s="1"/>
  <c r="R137" i="22"/>
  <c r="W137" i="22"/>
  <c r="J137" i="22"/>
  <c r="K137" i="22" s="1"/>
  <c r="AA178" i="22"/>
  <c r="N176" i="22"/>
  <c r="L176" i="22"/>
  <c r="M176" i="22"/>
  <c r="AA59" i="22"/>
  <c r="Q186" i="22"/>
  <c r="T186" i="22"/>
  <c r="M261" i="22"/>
  <c r="L261" i="22"/>
  <c r="N261" i="22"/>
  <c r="AA142" i="22"/>
  <c r="W38" i="22"/>
  <c r="J38" i="22"/>
  <c r="K38" i="22" s="1"/>
  <c r="O38" i="22"/>
  <c r="P38" i="22" s="1"/>
  <c r="S38" i="22"/>
  <c r="R38" i="22"/>
  <c r="S45" i="22"/>
  <c r="J45" i="22"/>
  <c r="K45" i="22" s="1"/>
  <c r="W45" i="22"/>
  <c r="U45" i="22"/>
  <c r="V45" i="22" s="1"/>
  <c r="R45" i="22"/>
  <c r="O45" i="22"/>
  <c r="P45" i="22" s="1"/>
  <c r="AA45" i="22"/>
  <c r="AA60" i="22"/>
  <c r="AA155" i="22"/>
  <c r="N69" i="22"/>
  <c r="S113" i="22"/>
  <c r="R113" i="22"/>
  <c r="O113" i="22"/>
  <c r="P113" i="22" s="1"/>
  <c r="J113" i="22"/>
  <c r="K113" i="22" s="1"/>
  <c r="W113" i="22"/>
  <c r="U113" i="22"/>
  <c r="V113" i="22" s="1"/>
  <c r="AA132" i="22"/>
  <c r="O132" i="22"/>
  <c r="P132" i="22" s="1"/>
  <c r="W132" i="22"/>
  <c r="R132" i="22"/>
  <c r="S132" i="22"/>
  <c r="J132" i="22"/>
  <c r="K132" i="22" s="1"/>
  <c r="U132" i="22"/>
  <c r="V132" i="22" s="1"/>
  <c r="J127" i="22"/>
  <c r="K127" i="22" s="1"/>
  <c r="W127" i="22"/>
  <c r="S127" i="22"/>
  <c r="R127" i="22"/>
  <c r="AA127" i="22"/>
  <c r="U127" i="22"/>
  <c r="V127" i="22" s="1"/>
  <c r="O127" i="22"/>
  <c r="P127" i="22" s="1"/>
  <c r="M11" i="22"/>
  <c r="L11" i="22"/>
  <c r="N11" i="22"/>
  <c r="L33" i="22"/>
  <c r="N33" i="22"/>
  <c r="M33" i="22"/>
  <c r="AA46" i="22"/>
  <c r="T90" i="22"/>
  <c r="Q90" i="22"/>
  <c r="AA58" i="22"/>
  <c r="M100" i="22"/>
  <c r="N100" i="22"/>
  <c r="L100" i="22"/>
  <c r="J83" i="4"/>
  <c r="K83" i="4" s="1"/>
  <c r="O83" i="4"/>
  <c r="P83" i="4" s="1"/>
  <c r="T83" i="4" s="1"/>
  <c r="J132" i="4"/>
  <c r="K132" i="4" s="1"/>
  <c r="O132" i="4"/>
  <c r="P132" i="4" s="1"/>
  <c r="J129" i="4"/>
  <c r="K129" i="4" s="1"/>
  <c r="O129" i="4"/>
  <c r="P129" i="4" s="1"/>
  <c r="J246" i="4"/>
  <c r="K246" i="4" s="1"/>
  <c r="O246" i="4"/>
  <c r="P246" i="4" s="1"/>
  <c r="J297" i="4"/>
  <c r="K297" i="4" s="1"/>
  <c r="O297" i="4"/>
  <c r="P297" i="4" s="1"/>
  <c r="J90" i="4"/>
  <c r="K90" i="4" s="1"/>
  <c r="O90" i="4"/>
  <c r="P90" i="4" s="1"/>
  <c r="T90" i="4" s="1"/>
  <c r="J128" i="4"/>
  <c r="K128" i="4" s="1"/>
  <c r="O128" i="4"/>
  <c r="P128" i="4" s="1"/>
  <c r="J159" i="4"/>
  <c r="K159" i="4" s="1"/>
  <c r="O159" i="4"/>
  <c r="P159" i="4" s="1"/>
  <c r="J331" i="4"/>
  <c r="K331" i="4" s="1"/>
  <c r="O331" i="4"/>
  <c r="P331" i="4" s="1"/>
  <c r="G149" i="4"/>
  <c r="I149" i="4" s="1"/>
  <c r="G231" i="4"/>
  <c r="I231" i="4" s="1"/>
  <c r="G247" i="4"/>
  <c r="I247" i="4" s="1"/>
  <c r="G248" i="4"/>
  <c r="I248" i="4" s="1"/>
  <c r="G294" i="4"/>
  <c r="I294" i="4" s="1"/>
  <c r="G295" i="4"/>
  <c r="I295" i="4" s="1"/>
  <c r="G296" i="4"/>
  <c r="I296" i="4" s="1"/>
  <c r="G282" i="4"/>
  <c r="I282" i="4" s="1"/>
  <c r="G163" i="4"/>
  <c r="I163" i="4" s="1"/>
  <c r="G332" i="4"/>
  <c r="I332" i="4" s="1"/>
  <c r="G164" i="4"/>
  <c r="I164" i="4" s="1"/>
  <c r="G269" i="4"/>
  <c r="I269" i="4" s="1"/>
  <c r="G187" i="4"/>
  <c r="I187" i="4" s="1"/>
  <c r="G270" i="4"/>
  <c r="I270" i="4" s="1"/>
  <c r="G271" i="4"/>
  <c r="I271" i="4" s="1"/>
  <c r="G208" i="4"/>
  <c r="I208" i="4" s="1"/>
  <c r="G317" i="4"/>
  <c r="I317" i="4" s="1"/>
  <c r="G249" i="4"/>
  <c r="I249" i="4" s="1"/>
  <c r="G315" i="4"/>
  <c r="I315" i="4" s="1"/>
  <c r="G207" i="4"/>
  <c r="I207" i="4" s="1"/>
  <c r="G278" i="4"/>
  <c r="I278" i="4" s="1"/>
  <c r="G209" i="4"/>
  <c r="I209" i="4" s="1"/>
  <c r="G279" i="4"/>
  <c r="I279" i="4" s="1"/>
  <c r="G184" i="4"/>
  <c r="I184" i="4" s="1"/>
  <c r="G314" i="4"/>
  <c r="I314" i="4" s="1"/>
  <c r="G316" i="4"/>
  <c r="G183" i="4"/>
  <c r="I183" i="4" s="1"/>
  <c r="G302" i="4"/>
  <c r="I302" i="4" s="1"/>
  <c r="G225" i="4"/>
  <c r="I225" i="4" s="1"/>
  <c r="G280" i="4"/>
  <c r="I280" i="4" s="1"/>
  <c r="G148" i="4"/>
  <c r="I148" i="4" s="1"/>
  <c r="G226" i="4"/>
  <c r="I226" i="4" s="1"/>
  <c r="G281" i="4"/>
  <c r="I281" i="4" s="1"/>
  <c r="G5" i="1"/>
  <c r="D16" i="1"/>
  <c r="G104" i="4"/>
  <c r="I104" i="4" s="1"/>
  <c r="G165" i="4"/>
  <c r="I165" i="4" s="1"/>
  <c r="G14" i="4"/>
  <c r="I14" i="4" s="1"/>
  <c r="G136" i="4"/>
  <c r="I136" i="4" s="1"/>
  <c r="G151" i="4"/>
  <c r="I151" i="4" s="1"/>
  <c r="G188" i="4"/>
  <c r="I188" i="4" s="1"/>
  <c r="G210" i="4"/>
  <c r="I210" i="4" s="1"/>
  <c r="G232" i="4"/>
  <c r="I232" i="4" s="1"/>
  <c r="G106" i="4"/>
  <c r="I106" i="4" s="1"/>
  <c r="G233" i="4"/>
  <c r="I233" i="4" s="1"/>
  <c r="G150" i="4"/>
  <c r="I150" i="4" s="1"/>
  <c r="G105" i="4"/>
  <c r="I105" i="4" s="1"/>
  <c r="G250" i="4"/>
  <c r="I250" i="4" s="1"/>
  <c r="G137" i="4"/>
  <c r="I137" i="4" s="1"/>
  <c r="G171" i="4"/>
  <c r="I171" i="4" s="1"/>
  <c r="G189" i="4"/>
  <c r="I189" i="4" s="1"/>
  <c r="G255" i="4"/>
  <c r="I255" i="4" s="1"/>
  <c r="G33" i="4"/>
  <c r="I33" i="4" s="1"/>
  <c r="G138" i="4"/>
  <c r="I138" i="4" s="1"/>
  <c r="G153" i="4"/>
  <c r="I153" i="4" s="1"/>
  <c r="G172" i="4"/>
  <c r="I172" i="4" s="1"/>
  <c r="G190" i="4"/>
  <c r="I190" i="4" s="1"/>
  <c r="G234" i="4"/>
  <c r="I234" i="4" s="1"/>
  <c r="G256" i="4"/>
  <c r="I256" i="4" s="1"/>
  <c r="G34" i="4"/>
  <c r="I34" i="4" s="1"/>
  <c r="G108" i="4"/>
  <c r="I108" i="4" s="1"/>
  <c r="G139" i="4"/>
  <c r="G154" i="4"/>
  <c r="I154" i="4" s="1"/>
  <c r="G173" i="4"/>
  <c r="I173" i="4" s="1"/>
  <c r="G195" i="4"/>
  <c r="I195" i="4" s="1"/>
  <c r="G213" i="4"/>
  <c r="I213" i="4" s="1"/>
  <c r="G235" i="4"/>
  <c r="I235" i="4" s="1"/>
  <c r="G259" i="4"/>
  <c r="I259" i="4" s="1"/>
  <c r="G319" i="4"/>
  <c r="I319" i="4" s="1"/>
  <c r="G49" i="4"/>
  <c r="I49" i="4" s="1"/>
  <c r="G113" i="4"/>
  <c r="I113" i="4" s="1"/>
  <c r="G140" i="4"/>
  <c r="I140" i="4" s="1"/>
  <c r="G155" i="4"/>
  <c r="I155" i="4" s="1"/>
  <c r="G174" i="4"/>
  <c r="I174" i="4" s="1"/>
  <c r="G196" i="4"/>
  <c r="I196" i="4" s="1"/>
  <c r="G214" i="4"/>
  <c r="I214" i="4" s="1"/>
  <c r="G236" i="4"/>
  <c r="I236" i="4" s="1"/>
  <c r="G260" i="4"/>
  <c r="I260" i="4" s="1"/>
  <c r="G320" i="4"/>
  <c r="I320" i="4" s="1"/>
  <c r="G244" i="4"/>
  <c r="I244" i="4" s="1"/>
  <c r="G262" i="4"/>
  <c r="I262" i="4" s="1"/>
  <c r="G329" i="4"/>
  <c r="I329" i="4" s="1"/>
  <c r="G107" i="4"/>
  <c r="I107" i="4" s="1"/>
  <c r="G212" i="4"/>
  <c r="I212" i="4" s="1"/>
  <c r="G54" i="4"/>
  <c r="I54" i="4" s="1"/>
  <c r="G120" i="4"/>
  <c r="I120" i="4" s="1"/>
  <c r="G141" i="4"/>
  <c r="I141" i="4" s="1"/>
  <c r="G156" i="4"/>
  <c r="I156" i="4" s="1"/>
  <c r="G175" i="4"/>
  <c r="I175" i="4" s="1"/>
  <c r="G243" i="4"/>
  <c r="I243" i="4" s="1"/>
  <c r="G142" i="4"/>
  <c r="I142" i="4" s="1"/>
  <c r="G70" i="4"/>
  <c r="G126" i="4"/>
  <c r="I126" i="4" s="1"/>
  <c r="G143" i="4"/>
  <c r="I143" i="4" s="1"/>
  <c r="G161" i="4"/>
  <c r="I161" i="4" s="1"/>
  <c r="G177" i="4"/>
  <c r="I177" i="4" s="1"/>
  <c r="G199" i="4"/>
  <c r="I199" i="4" s="1"/>
  <c r="G223" i="4"/>
  <c r="I223" i="4" s="1"/>
  <c r="G245" i="4"/>
  <c r="I245" i="4" s="1"/>
  <c r="G267" i="4"/>
  <c r="I267" i="4" s="1"/>
  <c r="G330" i="4"/>
  <c r="I330" i="4" s="1"/>
  <c r="G18" i="4"/>
  <c r="G152" i="4"/>
  <c r="I152" i="4" s="1"/>
  <c r="G211" i="4"/>
  <c r="I211" i="4" s="1"/>
  <c r="G197" i="4"/>
  <c r="I197" i="4" s="1"/>
  <c r="G219" i="4"/>
  <c r="I219" i="4" s="1"/>
  <c r="G261" i="4"/>
  <c r="I261" i="4" s="1"/>
  <c r="G325" i="4"/>
  <c r="I325" i="4" s="1"/>
  <c r="G69" i="4"/>
  <c r="I69" i="4" s="1"/>
  <c r="G125" i="4"/>
  <c r="I125" i="4" s="1"/>
  <c r="G160" i="4"/>
  <c r="I160" i="4" s="1"/>
  <c r="G176" i="4"/>
  <c r="I176" i="4" s="1"/>
  <c r="G198" i="4"/>
  <c r="I198" i="4" s="1"/>
  <c r="G220" i="4"/>
  <c r="I220" i="4" s="1"/>
  <c r="G85" i="4"/>
  <c r="I85" i="4" s="1"/>
  <c r="G127" i="4"/>
  <c r="I127" i="4" s="1"/>
  <c r="G144" i="4"/>
  <c r="I144" i="4" s="1"/>
  <c r="G162" i="4"/>
  <c r="I162" i="4" s="1"/>
  <c r="G178" i="4"/>
  <c r="I178" i="4" s="1"/>
  <c r="G200" i="4"/>
  <c r="I200" i="4" s="1"/>
  <c r="G224" i="4"/>
  <c r="I224" i="4" s="1"/>
  <c r="G55" i="4"/>
  <c r="I55" i="4" s="1"/>
  <c r="G20" i="4"/>
  <c r="I20" i="4" s="1"/>
  <c r="G72" i="4"/>
  <c r="I72" i="4" s="1"/>
  <c r="G37" i="4"/>
  <c r="I37" i="4" s="1"/>
  <c r="G348" i="4"/>
  <c r="G336" i="4"/>
  <c r="I336" i="4" s="1"/>
  <c r="G347" i="4"/>
  <c r="I347" i="4" s="1"/>
  <c r="G335" i="4"/>
  <c r="I335" i="4" s="1"/>
  <c r="G346" i="4"/>
  <c r="I346" i="4" s="1"/>
  <c r="G334" i="4"/>
  <c r="I334" i="4" s="1"/>
  <c r="G345" i="4"/>
  <c r="I345" i="4" s="1"/>
  <c r="G333" i="4"/>
  <c r="I333" i="4" s="1"/>
  <c r="G58" i="4"/>
  <c r="I58" i="4" s="1"/>
  <c r="G313" i="4"/>
  <c r="I313" i="4" s="1"/>
  <c r="G301" i="4"/>
  <c r="I301" i="4" s="1"/>
  <c r="G289" i="4"/>
  <c r="I289" i="4" s="1"/>
  <c r="G277" i="4"/>
  <c r="I277" i="4" s="1"/>
  <c r="G312" i="4"/>
  <c r="I312" i="4" s="1"/>
  <c r="G300" i="4"/>
  <c r="I300" i="4" s="1"/>
  <c r="G288" i="4"/>
  <c r="I288" i="4" s="1"/>
  <c r="G276" i="4"/>
  <c r="I276" i="4" s="1"/>
  <c r="G311" i="4"/>
  <c r="I311" i="4" s="1"/>
  <c r="G299" i="4"/>
  <c r="I299" i="4" s="1"/>
  <c r="G287" i="4"/>
  <c r="I287" i="4" s="1"/>
  <c r="G275" i="4"/>
  <c r="I275" i="4" s="1"/>
  <c r="G310" i="4"/>
  <c r="I310" i="4" s="1"/>
  <c r="G298" i="4"/>
  <c r="I298" i="4" s="1"/>
  <c r="G286" i="4"/>
  <c r="I286" i="4" s="1"/>
  <c r="G274" i="4"/>
  <c r="I274" i="4" s="1"/>
  <c r="G338" i="4"/>
  <c r="I338" i="4" s="1"/>
  <c r="G59" i="4"/>
  <c r="I59" i="4" s="1"/>
  <c r="G114" i="4"/>
  <c r="I114" i="4" s="1"/>
  <c r="G304" i="4"/>
  <c r="I304" i="4" s="1"/>
  <c r="G45" i="4"/>
  <c r="I45" i="4" s="1"/>
  <c r="G306" i="4"/>
  <c r="I306" i="4" s="1"/>
  <c r="G342" i="4"/>
  <c r="I342" i="4" s="1"/>
  <c r="G19" i="4"/>
  <c r="I19" i="4" s="1"/>
  <c r="G91" i="4"/>
  <c r="I91" i="4" s="1"/>
  <c r="G56" i="4"/>
  <c r="I56" i="4" s="1"/>
  <c r="G92" i="4"/>
  <c r="I92" i="4" s="1"/>
  <c r="G6" i="4"/>
  <c r="I6" i="4" s="1"/>
  <c r="G57" i="4"/>
  <c r="I57" i="4" s="1"/>
  <c r="G93" i="4"/>
  <c r="G337" i="4"/>
  <c r="I337" i="4" s="1"/>
  <c r="G22" i="4"/>
  <c r="I22" i="4" s="1"/>
  <c r="G78" i="4"/>
  <c r="I78" i="4" s="1"/>
  <c r="G303" i="4"/>
  <c r="I303" i="4" s="1"/>
  <c r="G43" i="4"/>
  <c r="I43" i="4" s="1"/>
  <c r="G124" i="4"/>
  <c r="I124" i="4" s="1"/>
  <c r="G112" i="4"/>
  <c r="G100" i="4"/>
  <c r="I100" i="4" s="1"/>
  <c r="G123" i="4"/>
  <c r="I123" i="4" s="1"/>
  <c r="G111" i="4"/>
  <c r="I111" i="4" s="1"/>
  <c r="G99" i="4"/>
  <c r="I99" i="4" s="1"/>
  <c r="G122" i="4"/>
  <c r="I122" i="4" s="1"/>
  <c r="G110" i="4"/>
  <c r="I110" i="4" s="1"/>
  <c r="G98" i="4"/>
  <c r="I98" i="4" s="1"/>
  <c r="G133" i="4"/>
  <c r="I133" i="4" s="1"/>
  <c r="G121" i="4"/>
  <c r="I121" i="4" s="1"/>
  <c r="G109" i="4"/>
  <c r="I109" i="4" s="1"/>
  <c r="G97" i="4"/>
  <c r="G284" i="4"/>
  <c r="I284" i="4" s="1"/>
  <c r="G339" i="4"/>
  <c r="I339" i="4" s="1"/>
  <c r="G9" i="4"/>
  <c r="I9" i="4" s="1"/>
  <c r="G44" i="4"/>
  <c r="I44" i="4" s="1"/>
  <c r="G80" i="4"/>
  <c r="I80" i="4" s="1"/>
  <c r="G115" i="4"/>
  <c r="I115" i="4" s="1"/>
  <c r="G131" i="4"/>
  <c r="I131" i="4" s="1"/>
  <c r="G285" i="4"/>
  <c r="I285" i="4" s="1"/>
  <c r="G340" i="4"/>
  <c r="I340" i="4" s="1"/>
  <c r="G10" i="4"/>
  <c r="G61" i="4"/>
  <c r="I61" i="4" s="1"/>
  <c r="G81" i="4"/>
  <c r="I81" i="4" s="1"/>
  <c r="G290" i="4"/>
  <c r="I290" i="4" s="1"/>
  <c r="G341" i="4"/>
  <c r="I341" i="4" s="1"/>
  <c r="G11" i="4"/>
  <c r="I11" i="4" s="1"/>
  <c r="G46" i="4"/>
  <c r="G82" i="4"/>
  <c r="I82" i="4" s="1"/>
  <c r="G117" i="4"/>
  <c r="I117" i="4" s="1"/>
  <c r="G291" i="4"/>
  <c r="I291" i="4" s="1"/>
  <c r="G326" i="4"/>
  <c r="I326" i="4" s="1"/>
  <c r="G12" i="4"/>
  <c r="I12" i="4" s="1"/>
  <c r="G31" i="4"/>
  <c r="G47" i="4"/>
  <c r="I47" i="4" s="1"/>
  <c r="G67" i="4"/>
  <c r="I67" i="4" s="1"/>
  <c r="G102" i="4"/>
  <c r="I102" i="4" s="1"/>
  <c r="G118" i="4"/>
  <c r="G324" i="4"/>
  <c r="I324" i="4" s="1"/>
  <c r="G266" i="4"/>
  <c r="I266" i="4" s="1"/>
  <c r="G254" i="4"/>
  <c r="I254" i="4" s="1"/>
  <c r="G242" i="4"/>
  <c r="I242" i="4" s="1"/>
  <c r="G230" i="4"/>
  <c r="I230" i="4" s="1"/>
  <c r="G218" i="4"/>
  <c r="I218" i="4" s="1"/>
  <c r="G206" i="4"/>
  <c r="I206" i="4" s="1"/>
  <c r="G194" i="4"/>
  <c r="I194" i="4" s="1"/>
  <c r="G182" i="4"/>
  <c r="I182" i="4" s="1"/>
  <c r="G170" i="4"/>
  <c r="I170" i="4" s="1"/>
  <c r="G323" i="4"/>
  <c r="I323" i="4" s="1"/>
  <c r="G265" i="4"/>
  <c r="I265" i="4" s="1"/>
  <c r="G253" i="4"/>
  <c r="I253" i="4" s="1"/>
  <c r="G241" i="4"/>
  <c r="I241" i="4" s="1"/>
  <c r="G229" i="4"/>
  <c r="I229" i="4" s="1"/>
  <c r="G217" i="4"/>
  <c r="I217" i="4" s="1"/>
  <c r="G205" i="4"/>
  <c r="I205" i="4" s="1"/>
  <c r="G193" i="4"/>
  <c r="I193" i="4" s="1"/>
  <c r="G181" i="4"/>
  <c r="I181" i="4" s="1"/>
  <c r="G169" i="4"/>
  <c r="I169" i="4" s="1"/>
  <c r="G322" i="4"/>
  <c r="I322" i="4" s="1"/>
  <c r="G264" i="4"/>
  <c r="I264" i="4" s="1"/>
  <c r="G252" i="4"/>
  <c r="I252" i="4" s="1"/>
  <c r="G240" i="4"/>
  <c r="I240" i="4" s="1"/>
  <c r="G228" i="4"/>
  <c r="I228" i="4" s="1"/>
  <c r="G216" i="4"/>
  <c r="I216" i="4" s="1"/>
  <c r="G204" i="4"/>
  <c r="I204" i="4" s="1"/>
  <c r="G192" i="4"/>
  <c r="I192" i="4" s="1"/>
  <c r="G180" i="4"/>
  <c r="I180" i="4" s="1"/>
  <c r="G168" i="4"/>
  <c r="I168" i="4" s="1"/>
  <c r="G321" i="4"/>
  <c r="I321" i="4" s="1"/>
  <c r="G263" i="4"/>
  <c r="I263" i="4" s="1"/>
  <c r="G251" i="4"/>
  <c r="I251" i="4" s="1"/>
  <c r="G239" i="4"/>
  <c r="I239" i="4" s="1"/>
  <c r="G227" i="4"/>
  <c r="I227" i="4" s="1"/>
  <c r="G215" i="4"/>
  <c r="I215" i="4" s="1"/>
  <c r="G203" i="4"/>
  <c r="I203" i="4" s="1"/>
  <c r="G191" i="4"/>
  <c r="I191" i="4" s="1"/>
  <c r="G179" i="4"/>
  <c r="I179" i="4" s="1"/>
  <c r="G167" i="4"/>
  <c r="G185" i="4"/>
  <c r="I185" i="4" s="1"/>
  <c r="G201" i="4"/>
  <c r="I201" i="4" s="1"/>
  <c r="G221" i="4"/>
  <c r="I221" i="4" s="1"/>
  <c r="G237" i="4"/>
  <c r="I237" i="4" s="1"/>
  <c r="G257" i="4"/>
  <c r="I257" i="4" s="1"/>
  <c r="G272" i="4"/>
  <c r="I272" i="4" s="1"/>
  <c r="G292" i="4"/>
  <c r="I292" i="4" s="1"/>
  <c r="G308" i="4"/>
  <c r="I308" i="4" s="1"/>
  <c r="G327" i="4"/>
  <c r="I327" i="4" s="1"/>
  <c r="G343" i="4"/>
  <c r="I343" i="4" s="1"/>
  <c r="G89" i="4"/>
  <c r="I89" i="4" s="1"/>
  <c r="G77" i="4"/>
  <c r="I77" i="4" s="1"/>
  <c r="G65" i="4"/>
  <c r="I65" i="4" s="1"/>
  <c r="G53" i="4"/>
  <c r="I53" i="4" s="1"/>
  <c r="G41" i="4"/>
  <c r="I41" i="4" s="1"/>
  <c r="G29" i="4"/>
  <c r="I29" i="4" s="1"/>
  <c r="G17" i="4"/>
  <c r="G5" i="4"/>
  <c r="I5" i="4" s="1"/>
  <c r="G88" i="4"/>
  <c r="I88" i="4" s="1"/>
  <c r="G76" i="4"/>
  <c r="I76" i="4" s="1"/>
  <c r="G64" i="4"/>
  <c r="I64" i="4" s="1"/>
  <c r="G52" i="4"/>
  <c r="I52" i="4" s="1"/>
  <c r="G40" i="4"/>
  <c r="I40" i="4" s="1"/>
  <c r="G28" i="4"/>
  <c r="I28" i="4" s="1"/>
  <c r="G16" i="4"/>
  <c r="I16" i="4" s="1"/>
  <c r="G4" i="4"/>
  <c r="I4" i="4" s="1"/>
  <c r="G87" i="4"/>
  <c r="I87" i="4" s="1"/>
  <c r="G75" i="4"/>
  <c r="I75" i="4" s="1"/>
  <c r="G63" i="4"/>
  <c r="I63" i="4" s="1"/>
  <c r="G51" i="4"/>
  <c r="I51" i="4" s="1"/>
  <c r="G39" i="4"/>
  <c r="I39" i="4" s="1"/>
  <c r="G27" i="4"/>
  <c r="I27" i="4" s="1"/>
  <c r="G15" i="4"/>
  <c r="I15" i="4" s="1"/>
  <c r="G3" i="4"/>
  <c r="G86" i="4"/>
  <c r="I86" i="4" s="1"/>
  <c r="G74" i="4"/>
  <c r="I74" i="4" s="1"/>
  <c r="G62" i="4"/>
  <c r="I62" i="4" s="1"/>
  <c r="G50" i="4"/>
  <c r="I50" i="4" s="1"/>
  <c r="G38" i="4"/>
  <c r="G26" i="4"/>
  <c r="I26" i="4" s="1"/>
  <c r="G35" i="4"/>
  <c r="I35" i="4" s="1"/>
  <c r="G71" i="4"/>
  <c r="I71" i="4" s="1"/>
  <c r="G36" i="4"/>
  <c r="I36" i="4" s="1"/>
  <c r="G21" i="4"/>
  <c r="I21" i="4" s="1"/>
  <c r="G73" i="4"/>
  <c r="I73" i="4" s="1"/>
  <c r="G7" i="4"/>
  <c r="I7" i="4" s="1"/>
  <c r="G42" i="4"/>
  <c r="I42" i="4" s="1"/>
  <c r="G94" i="4"/>
  <c r="I94" i="4" s="1"/>
  <c r="G283" i="4"/>
  <c r="I283" i="4" s="1"/>
  <c r="G8" i="4"/>
  <c r="I8" i="4" s="1"/>
  <c r="G23" i="4"/>
  <c r="I23" i="4" s="1"/>
  <c r="G79" i="4"/>
  <c r="I79" i="4" s="1"/>
  <c r="G130" i="4"/>
  <c r="I130" i="4" s="1"/>
  <c r="G24" i="4"/>
  <c r="I24" i="4" s="1"/>
  <c r="G60" i="4"/>
  <c r="I60" i="4" s="1"/>
  <c r="G305" i="4"/>
  <c r="I305" i="4" s="1"/>
  <c r="G25" i="4"/>
  <c r="I25" i="4" s="1"/>
  <c r="G96" i="4"/>
  <c r="I96" i="4" s="1"/>
  <c r="G116" i="4"/>
  <c r="I116" i="4" s="1"/>
  <c r="G30" i="4"/>
  <c r="I30" i="4" s="1"/>
  <c r="G66" i="4"/>
  <c r="I66" i="4" s="1"/>
  <c r="G101" i="4"/>
  <c r="I101" i="4" s="1"/>
  <c r="G307" i="4"/>
  <c r="I307" i="4" s="1"/>
  <c r="G13" i="4"/>
  <c r="I13" i="4" s="1"/>
  <c r="G32" i="4"/>
  <c r="I32" i="4" s="1"/>
  <c r="G48" i="4"/>
  <c r="I48" i="4" s="1"/>
  <c r="G68" i="4"/>
  <c r="I68" i="4" s="1"/>
  <c r="G84" i="4"/>
  <c r="I84" i="4" s="1"/>
  <c r="G103" i="4"/>
  <c r="I103" i="4" s="1"/>
  <c r="G119" i="4"/>
  <c r="I119" i="4" s="1"/>
  <c r="G186" i="4"/>
  <c r="I186" i="4" s="1"/>
  <c r="G202" i="4"/>
  <c r="I202" i="4" s="1"/>
  <c r="G222" i="4"/>
  <c r="I222" i="4" s="1"/>
  <c r="G238" i="4"/>
  <c r="I238" i="4" s="1"/>
  <c r="G258" i="4"/>
  <c r="I258" i="4" s="1"/>
  <c r="G273" i="4"/>
  <c r="I273" i="4" s="1"/>
  <c r="G293" i="4"/>
  <c r="I293" i="4" s="1"/>
  <c r="G309" i="4"/>
  <c r="I309" i="4" s="1"/>
  <c r="G328" i="4"/>
  <c r="I328" i="4" s="1"/>
  <c r="G344" i="4"/>
  <c r="I344" i="4" s="1"/>
  <c r="G145" i="4"/>
  <c r="I145" i="4" s="1"/>
  <c r="G157" i="4"/>
  <c r="I157" i="4" s="1"/>
  <c r="G146" i="4"/>
  <c r="I146" i="4" s="1"/>
  <c r="G158" i="4"/>
  <c r="I158" i="4" s="1"/>
  <c r="G135" i="4"/>
  <c r="I135" i="4" s="1"/>
  <c r="G147" i="4"/>
  <c r="I147" i="4" s="1"/>
  <c r="U43" i="22" l="1"/>
  <c r="V43" i="22" s="1"/>
  <c r="Q43" i="22"/>
  <c r="T43" i="22"/>
  <c r="T13" i="22"/>
  <c r="Q13" i="22"/>
  <c r="M88" i="22"/>
  <c r="Q17" i="22"/>
  <c r="T17" i="22"/>
  <c r="N89" i="22"/>
  <c r="T11" i="22"/>
  <c r="N88" i="22"/>
  <c r="M27" i="22"/>
  <c r="L27" i="22"/>
  <c r="N27" i="22"/>
  <c r="Q5" i="22"/>
  <c r="T5" i="22"/>
  <c r="L69" i="22"/>
  <c r="N9" i="22"/>
  <c r="L9" i="22"/>
  <c r="M9" i="22"/>
  <c r="L89" i="22"/>
  <c r="Q52" i="22"/>
  <c r="T52" i="22"/>
  <c r="N17" i="22"/>
  <c r="M17" i="22"/>
  <c r="L17" i="22"/>
  <c r="N79" i="22"/>
  <c r="M79" i="22"/>
  <c r="L79" i="22"/>
  <c r="Q67" i="22"/>
  <c r="L83" i="22"/>
  <c r="L67" i="22"/>
  <c r="L52" i="22"/>
  <c r="N52" i="22"/>
  <c r="M52" i="22"/>
  <c r="T19" i="22"/>
  <c r="Q19" i="22"/>
  <c r="N83" i="22"/>
  <c r="M67" i="22"/>
  <c r="L31" i="22"/>
  <c r="U26" i="22"/>
  <c r="V26" i="22" s="1"/>
  <c r="Q26" i="22"/>
  <c r="T26" i="22"/>
  <c r="N26" i="22"/>
  <c r="M26" i="22"/>
  <c r="L26" i="22"/>
  <c r="U229" i="4"/>
  <c r="V229" i="4" s="1"/>
  <c r="S229" i="4"/>
  <c r="W229" i="4"/>
  <c r="R229" i="4"/>
  <c r="AA229" i="4"/>
  <c r="R232" i="4"/>
  <c r="S232" i="4"/>
  <c r="U232" i="4"/>
  <c r="V232" i="4" s="1"/>
  <c r="W232" i="4"/>
  <c r="AA232" i="4"/>
  <c r="W191" i="4"/>
  <c r="U191" i="4"/>
  <c r="V191" i="4" s="1"/>
  <c r="S191" i="4"/>
  <c r="AA191" i="4"/>
  <c r="R191" i="4"/>
  <c r="S266" i="4"/>
  <c r="R266" i="4"/>
  <c r="W266" i="4"/>
  <c r="AA266" i="4"/>
  <c r="U266" i="4"/>
  <c r="V266" i="4" s="1"/>
  <c r="R243" i="4"/>
  <c r="W243" i="4"/>
  <c r="AA243" i="4"/>
  <c r="U243" i="4"/>
  <c r="V243" i="4" s="1"/>
  <c r="S243" i="4"/>
  <c r="W213" i="4"/>
  <c r="AA213" i="4"/>
  <c r="U213" i="4"/>
  <c r="V213" i="4" s="1"/>
  <c r="S213" i="4"/>
  <c r="R213" i="4"/>
  <c r="R183" i="4"/>
  <c r="W183" i="4"/>
  <c r="AA183" i="4"/>
  <c r="U183" i="4"/>
  <c r="V183" i="4" s="1"/>
  <c r="S183" i="4"/>
  <c r="AA173" i="4"/>
  <c r="R173" i="4"/>
  <c r="W173" i="4"/>
  <c r="U173" i="4"/>
  <c r="V173" i="4" s="1"/>
  <c r="S173" i="4"/>
  <c r="S323" i="4"/>
  <c r="U323" i="4"/>
  <c r="V323" i="4" s="1"/>
  <c r="R323" i="4"/>
  <c r="AA323" i="4"/>
  <c r="W323" i="4"/>
  <c r="R196" i="4"/>
  <c r="W196" i="4"/>
  <c r="S196" i="4"/>
  <c r="AA196" i="4"/>
  <c r="U196" i="4"/>
  <c r="V196" i="4" s="1"/>
  <c r="AA247" i="4"/>
  <c r="U247" i="4"/>
  <c r="V247" i="4" s="1"/>
  <c r="W247" i="4"/>
  <c r="R247" i="4"/>
  <c r="S247" i="4"/>
  <c r="W170" i="4"/>
  <c r="S170" i="4"/>
  <c r="R170" i="4"/>
  <c r="AA170" i="4"/>
  <c r="U170" i="4"/>
  <c r="V170" i="4" s="1"/>
  <c r="Q246" i="4"/>
  <c r="T246" i="4"/>
  <c r="AA257" i="4"/>
  <c r="R257" i="4"/>
  <c r="S257" i="4"/>
  <c r="W257" i="4"/>
  <c r="U257" i="4"/>
  <c r="V257" i="4" s="1"/>
  <c r="W251" i="4"/>
  <c r="U251" i="4"/>
  <c r="V251" i="4" s="1"/>
  <c r="S251" i="4"/>
  <c r="AA251" i="4"/>
  <c r="R251" i="4"/>
  <c r="S182" i="4"/>
  <c r="R182" i="4"/>
  <c r="W182" i="4"/>
  <c r="U182" i="4"/>
  <c r="V182" i="4" s="1"/>
  <c r="AA182" i="4"/>
  <c r="AA199" i="4"/>
  <c r="U199" i="4"/>
  <c r="V199" i="4" s="1"/>
  <c r="R199" i="4"/>
  <c r="W199" i="4"/>
  <c r="S199" i="4"/>
  <c r="AA187" i="4"/>
  <c r="U187" i="4"/>
  <c r="V187" i="4" s="1"/>
  <c r="R187" i="4"/>
  <c r="W187" i="4"/>
  <c r="S187" i="4"/>
  <c r="W237" i="4"/>
  <c r="AA237" i="4"/>
  <c r="U237" i="4"/>
  <c r="V237" i="4" s="1"/>
  <c r="S237" i="4"/>
  <c r="R237" i="4"/>
  <c r="U263" i="4"/>
  <c r="V263" i="4" s="1"/>
  <c r="W263" i="4"/>
  <c r="S263" i="4"/>
  <c r="AA263" i="4"/>
  <c r="R263" i="4"/>
  <c r="U169" i="4"/>
  <c r="V169" i="4" s="1"/>
  <c r="S169" i="4"/>
  <c r="R169" i="4"/>
  <c r="AA169" i="4"/>
  <c r="W169" i="4"/>
  <c r="S194" i="4"/>
  <c r="R194" i="4"/>
  <c r="W194" i="4"/>
  <c r="AA194" i="4"/>
  <c r="U194" i="4"/>
  <c r="V194" i="4" s="1"/>
  <c r="W200" i="4"/>
  <c r="AA200" i="4"/>
  <c r="S200" i="4"/>
  <c r="U200" i="4"/>
  <c r="V200" i="4" s="1"/>
  <c r="R200" i="4"/>
  <c r="S325" i="4"/>
  <c r="U325" i="4"/>
  <c r="V325" i="4" s="1"/>
  <c r="R325" i="4"/>
  <c r="AA325" i="4"/>
  <c r="W325" i="4"/>
  <c r="AA177" i="4"/>
  <c r="U177" i="4"/>
  <c r="V177" i="4" s="1"/>
  <c r="S177" i="4"/>
  <c r="R177" i="4"/>
  <c r="W177" i="4"/>
  <c r="W212" i="4"/>
  <c r="AA212" i="4"/>
  <c r="S212" i="4"/>
  <c r="U212" i="4"/>
  <c r="V212" i="4" s="1"/>
  <c r="R212" i="4"/>
  <c r="W250" i="4"/>
  <c r="U250" i="4"/>
  <c r="V250" i="4" s="1"/>
  <c r="S250" i="4"/>
  <c r="AA250" i="4"/>
  <c r="R250" i="4"/>
  <c r="R184" i="4"/>
  <c r="W184" i="4"/>
  <c r="S184" i="4"/>
  <c r="U184" i="4"/>
  <c r="V184" i="4" s="1"/>
  <c r="AA184" i="4"/>
  <c r="AA269" i="4"/>
  <c r="R269" i="4"/>
  <c r="W269" i="4"/>
  <c r="S269" i="4"/>
  <c r="U269" i="4"/>
  <c r="V269" i="4" s="1"/>
  <c r="W211" i="4"/>
  <c r="AA211" i="4"/>
  <c r="U211" i="4"/>
  <c r="V211" i="4" s="1"/>
  <c r="R211" i="4"/>
  <c r="S211" i="4"/>
  <c r="W320" i="4"/>
  <c r="U320" i="4"/>
  <c r="V320" i="4" s="1"/>
  <c r="AA320" i="4"/>
  <c r="S320" i="4"/>
  <c r="R320" i="4"/>
  <c r="U265" i="4"/>
  <c r="V265" i="4" s="1"/>
  <c r="S265" i="4"/>
  <c r="W265" i="4"/>
  <c r="R265" i="4"/>
  <c r="AA265" i="4"/>
  <c r="R267" i="4"/>
  <c r="W267" i="4"/>
  <c r="AA267" i="4"/>
  <c r="U267" i="4"/>
  <c r="V267" i="4" s="1"/>
  <c r="S267" i="4"/>
  <c r="R255" i="4"/>
  <c r="W255" i="4"/>
  <c r="AA255" i="4"/>
  <c r="U255" i="4"/>
  <c r="V255" i="4" s="1"/>
  <c r="S255" i="4"/>
  <c r="AA248" i="4"/>
  <c r="U248" i="4"/>
  <c r="V248" i="4" s="1"/>
  <c r="S248" i="4"/>
  <c r="W248" i="4"/>
  <c r="R248" i="4"/>
  <c r="U252" i="4"/>
  <c r="V252" i="4" s="1"/>
  <c r="S252" i="4"/>
  <c r="W252" i="4"/>
  <c r="R252" i="4"/>
  <c r="AA252" i="4"/>
  <c r="AA245" i="4"/>
  <c r="R245" i="4"/>
  <c r="W245" i="4"/>
  <c r="U245" i="4"/>
  <c r="V245" i="4" s="1"/>
  <c r="S245" i="4"/>
  <c r="S189" i="4"/>
  <c r="AA189" i="4"/>
  <c r="U189" i="4"/>
  <c r="V189" i="4" s="1"/>
  <c r="R189" i="4"/>
  <c r="W189" i="4"/>
  <c r="AA271" i="4"/>
  <c r="W271" i="4"/>
  <c r="U271" i="4"/>
  <c r="V271" i="4" s="1"/>
  <c r="S271" i="4"/>
  <c r="R271" i="4"/>
  <c r="W239" i="4"/>
  <c r="U239" i="4"/>
  <c r="V239" i="4" s="1"/>
  <c r="S239" i="4"/>
  <c r="AA239" i="4"/>
  <c r="R239" i="4"/>
  <c r="U264" i="4"/>
  <c r="V264" i="4" s="1"/>
  <c r="S264" i="4"/>
  <c r="R264" i="4"/>
  <c r="W264" i="4"/>
  <c r="AA264" i="4"/>
  <c r="AA223" i="4"/>
  <c r="U223" i="4"/>
  <c r="V223" i="4" s="1"/>
  <c r="W223" i="4"/>
  <c r="R223" i="4"/>
  <c r="S223" i="4"/>
  <c r="AA174" i="4"/>
  <c r="S174" i="4"/>
  <c r="U174" i="4"/>
  <c r="V174" i="4" s="1"/>
  <c r="R174" i="4"/>
  <c r="W174" i="4"/>
  <c r="W171" i="4"/>
  <c r="R171" i="4"/>
  <c r="AA171" i="4"/>
  <c r="U171" i="4"/>
  <c r="V171" i="4" s="1"/>
  <c r="S171" i="4"/>
  <c r="R270" i="4"/>
  <c r="AA270" i="4"/>
  <c r="W270" i="4"/>
  <c r="U270" i="4"/>
  <c r="V270" i="4" s="1"/>
  <c r="S270" i="4"/>
  <c r="R231" i="4"/>
  <c r="W231" i="4"/>
  <c r="AA231" i="4"/>
  <c r="U231" i="4"/>
  <c r="V231" i="4" s="1"/>
  <c r="S231" i="4"/>
  <c r="U322" i="4"/>
  <c r="V322" i="4" s="1"/>
  <c r="W322" i="4"/>
  <c r="S322" i="4"/>
  <c r="AA322" i="4"/>
  <c r="R322" i="4"/>
  <c r="AA224" i="4"/>
  <c r="S224" i="4"/>
  <c r="R224" i="4"/>
  <c r="W224" i="4"/>
  <c r="U224" i="4"/>
  <c r="V224" i="4" s="1"/>
  <c r="AA258" i="4"/>
  <c r="S258" i="4"/>
  <c r="R258" i="4"/>
  <c r="U258" i="4"/>
  <c r="V258" i="4" s="1"/>
  <c r="W258" i="4"/>
  <c r="AA221" i="4"/>
  <c r="R221" i="4"/>
  <c r="S221" i="4"/>
  <c r="W221" i="4"/>
  <c r="U221" i="4"/>
  <c r="V221" i="4" s="1"/>
  <c r="W321" i="4"/>
  <c r="U321" i="4"/>
  <c r="V321" i="4" s="1"/>
  <c r="S321" i="4"/>
  <c r="AA321" i="4"/>
  <c r="R321" i="4"/>
  <c r="U181" i="4"/>
  <c r="V181" i="4" s="1"/>
  <c r="S181" i="4"/>
  <c r="W181" i="4"/>
  <c r="R181" i="4"/>
  <c r="AA181" i="4"/>
  <c r="S206" i="4"/>
  <c r="R206" i="4"/>
  <c r="AA206" i="4"/>
  <c r="U206" i="4"/>
  <c r="V206" i="4" s="1"/>
  <c r="W206" i="4"/>
  <c r="W178" i="4"/>
  <c r="U178" i="4"/>
  <c r="V178" i="4" s="1"/>
  <c r="S178" i="4"/>
  <c r="AA178" i="4"/>
  <c r="R178" i="4"/>
  <c r="S261" i="4"/>
  <c r="AA261" i="4"/>
  <c r="U261" i="4"/>
  <c r="V261" i="4" s="1"/>
  <c r="W261" i="4"/>
  <c r="R261" i="4"/>
  <c r="R256" i="4"/>
  <c r="S256" i="4"/>
  <c r="W256" i="4"/>
  <c r="AA256" i="4"/>
  <c r="U256" i="4"/>
  <c r="V256" i="4" s="1"/>
  <c r="U217" i="4"/>
  <c r="V217" i="4" s="1"/>
  <c r="S217" i="4"/>
  <c r="R217" i="4"/>
  <c r="W217" i="4"/>
  <c r="AA217" i="4"/>
  <c r="AA259" i="4"/>
  <c r="U259" i="4"/>
  <c r="V259" i="4" s="1"/>
  <c r="W259" i="4"/>
  <c r="R259" i="4"/>
  <c r="S259" i="4"/>
  <c r="R207" i="4"/>
  <c r="AA207" i="4"/>
  <c r="U207" i="4"/>
  <c r="V207" i="4" s="1"/>
  <c r="S207" i="4"/>
  <c r="W207" i="4"/>
  <c r="AA186" i="4"/>
  <c r="S186" i="4"/>
  <c r="U186" i="4"/>
  <c r="V186" i="4" s="1"/>
  <c r="R186" i="4"/>
  <c r="W186" i="4"/>
  <c r="U204" i="4"/>
  <c r="V204" i="4" s="1"/>
  <c r="S204" i="4"/>
  <c r="R204" i="4"/>
  <c r="W204" i="4"/>
  <c r="AA204" i="4"/>
  <c r="U228" i="4"/>
  <c r="V228" i="4" s="1"/>
  <c r="S228" i="4"/>
  <c r="W228" i="4"/>
  <c r="R228" i="4"/>
  <c r="AA228" i="4"/>
  <c r="U253" i="4"/>
  <c r="V253" i="4" s="1"/>
  <c r="S253" i="4"/>
  <c r="W253" i="4"/>
  <c r="R253" i="4"/>
  <c r="AA253" i="4"/>
  <c r="AA175" i="4"/>
  <c r="U175" i="4"/>
  <c r="V175" i="4" s="1"/>
  <c r="R175" i="4"/>
  <c r="W175" i="4"/>
  <c r="S175" i="4"/>
  <c r="R195" i="4"/>
  <c r="W195" i="4"/>
  <c r="AA195" i="4"/>
  <c r="U195" i="4"/>
  <c r="V195" i="4" s="1"/>
  <c r="S195" i="4"/>
  <c r="AA188" i="4"/>
  <c r="S188" i="4"/>
  <c r="W188" i="4"/>
  <c r="R188" i="4"/>
  <c r="U188" i="4"/>
  <c r="V188" i="4" s="1"/>
  <c r="U240" i="4"/>
  <c r="V240" i="4" s="1"/>
  <c r="S240" i="4"/>
  <c r="R240" i="4"/>
  <c r="W240" i="4"/>
  <c r="AA240" i="4"/>
  <c r="AA176" i="4"/>
  <c r="S176" i="4"/>
  <c r="W176" i="4"/>
  <c r="R176" i="4"/>
  <c r="U176" i="4"/>
  <c r="V176" i="4" s="1"/>
  <c r="W214" i="4"/>
  <c r="U214" i="4"/>
  <c r="V214" i="4" s="1"/>
  <c r="S214" i="4"/>
  <c r="AA214" i="4"/>
  <c r="R214" i="4"/>
  <c r="W227" i="4"/>
  <c r="U227" i="4"/>
  <c r="V227" i="4" s="1"/>
  <c r="S227" i="4"/>
  <c r="AA227" i="4"/>
  <c r="R227" i="4"/>
  <c r="W238" i="4"/>
  <c r="U238" i="4"/>
  <c r="V238" i="4" s="1"/>
  <c r="AA238" i="4"/>
  <c r="S238" i="4"/>
  <c r="R238" i="4"/>
  <c r="W201" i="4"/>
  <c r="S201" i="4"/>
  <c r="AA201" i="4"/>
  <c r="U201" i="4"/>
  <c r="V201" i="4" s="1"/>
  <c r="R201" i="4"/>
  <c r="U168" i="4"/>
  <c r="V168" i="4" s="1"/>
  <c r="S168" i="4"/>
  <c r="R168" i="4"/>
  <c r="AA168" i="4"/>
  <c r="W168" i="4"/>
  <c r="U193" i="4"/>
  <c r="V193" i="4" s="1"/>
  <c r="S193" i="4"/>
  <c r="W193" i="4"/>
  <c r="R193" i="4"/>
  <c r="AA193" i="4"/>
  <c r="S218" i="4"/>
  <c r="R218" i="4"/>
  <c r="U218" i="4"/>
  <c r="V218" i="4" s="1"/>
  <c r="AA218" i="4"/>
  <c r="W218" i="4"/>
  <c r="W219" i="4"/>
  <c r="R219" i="4"/>
  <c r="AA219" i="4"/>
  <c r="U219" i="4"/>
  <c r="V219" i="4" s="1"/>
  <c r="S219" i="4"/>
  <c r="AA234" i="4"/>
  <c r="S234" i="4"/>
  <c r="U234" i="4"/>
  <c r="V234" i="4" s="1"/>
  <c r="R234" i="4"/>
  <c r="W234" i="4"/>
  <c r="AA209" i="4"/>
  <c r="R209" i="4"/>
  <c r="W209" i="4"/>
  <c r="U209" i="4"/>
  <c r="V209" i="4" s="1"/>
  <c r="S209" i="4"/>
  <c r="W202" i="4"/>
  <c r="U202" i="4"/>
  <c r="V202" i="4" s="1"/>
  <c r="AA202" i="4"/>
  <c r="S202" i="4"/>
  <c r="R202" i="4"/>
  <c r="U192" i="4"/>
  <c r="V192" i="4" s="1"/>
  <c r="W192" i="4"/>
  <c r="S192" i="4"/>
  <c r="R192" i="4"/>
  <c r="AA192" i="4"/>
  <c r="S242" i="4"/>
  <c r="W242" i="4"/>
  <c r="R242" i="4"/>
  <c r="U242" i="4"/>
  <c r="V242" i="4" s="1"/>
  <c r="AA242" i="4"/>
  <c r="R244" i="4"/>
  <c r="S244" i="4"/>
  <c r="U244" i="4"/>
  <c r="V244" i="4" s="1"/>
  <c r="AA244" i="4"/>
  <c r="W244" i="4"/>
  <c r="R172" i="4"/>
  <c r="W172" i="4"/>
  <c r="S172" i="4"/>
  <c r="U172" i="4"/>
  <c r="V172" i="4" s="1"/>
  <c r="AA172" i="4"/>
  <c r="W226" i="4"/>
  <c r="AA226" i="4"/>
  <c r="U226" i="4"/>
  <c r="V226" i="4" s="1"/>
  <c r="S226" i="4"/>
  <c r="R226" i="4"/>
  <c r="W179" i="4"/>
  <c r="U179" i="4"/>
  <c r="V179" i="4" s="1"/>
  <c r="S179" i="4"/>
  <c r="AA179" i="4"/>
  <c r="R179" i="4"/>
  <c r="S254" i="4"/>
  <c r="R254" i="4"/>
  <c r="W254" i="4"/>
  <c r="AA254" i="4"/>
  <c r="U254" i="4"/>
  <c r="V254" i="4" s="1"/>
  <c r="AA235" i="4"/>
  <c r="U235" i="4"/>
  <c r="V235" i="4" s="1"/>
  <c r="W235" i="4"/>
  <c r="R235" i="4"/>
  <c r="S235" i="4"/>
  <c r="U216" i="4"/>
  <c r="V216" i="4" s="1"/>
  <c r="S216" i="4"/>
  <c r="W216" i="4"/>
  <c r="R216" i="4"/>
  <c r="AA216" i="4"/>
  <c r="U241" i="4"/>
  <c r="V241" i="4" s="1"/>
  <c r="S241" i="4"/>
  <c r="W241" i="4"/>
  <c r="R241" i="4"/>
  <c r="AA241" i="4"/>
  <c r="R220" i="4"/>
  <c r="S220" i="4"/>
  <c r="W220" i="4"/>
  <c r="AA220" i="4"/>
  <c r="U220" i="4"/>
  <c r="V220" i="4" s="1"/>
  <c r="AA260" i="4"/>
  <c r="S260" i="4"/>
  <c r="W260" i="4"/>
  <c r="U260" i="4"/>
  <c r="V260" i="4" s="1"/>
  <c r="R260" i="4"/>
  <c r="AA210" i="4"/>
  <c r="U210" i="4"/>
  <c r="V210" i="4" s="1"/>
  <c r="R210" i="4"/>
  <c r="S210" i="4"/>
  <c r="W210" i="4"/>
  <c r="W249" i="4"/>
  <c r="AA249" i="4"/>
  <c r="U249" i="4"/>
  <c r="V249" i="4" s="1"/>
  <c r="S249" i="4"/>
  <c r="R249" i="4"/>
  <c r="U203" i="4"/>
  <c r="V203" i="4" s="1"/>
  <c r="S203" i="4"/>
  <c r="W203" i="4"/>
  <c r="AA203" i="4"/>
  <c r="R203" i="4"/>
  <c r="S324" i="4"/>
  <c r="U324" i="4"/>
  <c r="V324" i="4" s="1"/>
  <c r="W324" i="4"/>
  <c r="R324" i="4"/>
  <c r="AA324" i="4"/>
  <c r="AA198" i="4"/>
  <c r="U198" i="4"/>
  <c r="V198" i="4" s="1"/>
  <c r="S198" i="4"/>
  <c r="W198" i="4"/>
  <c r="R198" i="4"/>
  <c r="AA236" i="4"/>
  <c r="S236" i="4"/>
  <c r="U236" i="4"/>
  <c r="V236" i="4" s="1"/>
  <c r="R236" i="4"/>
  <c r="W236" i="4"/>
  <c r="W225" i="4"/>
  <c r="S225" i="4"/>
  <c r="AA225" i="4"/>
  <c r="U225" i="4"/>
  <c r="V225" i="4" s="1"/>
  <c r="R225" i="4"/>
  <c r="U215" i="4"/>
  <c r="V215" i="4" s="1"/>
  <c r="S215" i="4"/>
  <c r="W215" i="4"/>
  <c r="AA215" i="4"/>
  <c r="R215" i="4"/>
  <c r="R208" i="4"/>
  <c r="S208" i="4"/>
  <c r="AA208" i="4"/>
  <c r="U208" i="4"/>
  <c r="V208" i="4" s="1"/>
  <c r="W208" i="4"/>
  <c r="AA222" i="4"/>
  <c r="S222" i="4"/>
  <c r="R222" i="4"/>
  <c r="W222" i="4"/>
  <c r="U222" i="4"/>
  <c r="V222" i="4" s="1"/>
  <c r="AA185" i="4"/>
  <c r="R185" i="4"/>
  <c r="S185" i="4"/>
  <c r="U185" i="4"/>
  <c r="V185" i="4" s="1"/>
  <c r="W185" i="4"/>
  <c r="U180" i="4"/>
  <c r="V180" i="4" s="1"/>
  <c r="W180" i="4"/>
  <c r="S180" i="4"/>
  <c r="R180" i="4"/>
  <c r="AA180" i="4"/>
  <c r="U205" i="4"/>
  <c r="V205" i="4" s="1"/>
  <c r="S205" i="4"/>
  <c r="R205" i="4"/>
  <c r="W205" i="4"/>
  <c r="AA205" i="4"/>
  <c r="S230" i="4"/>
  <c r="R230" i="4"/>
  <c r="W230" i="4"/>
  <c r="AA230" i="4"/>
  <c r="U230" i="4"/>
  <c r="V230" i="4" s="1"/>
  <c r="AA197" i="4"/>
  <c r="R197" i="4"/>
  <c r="W197" i="4"/>
  <c r="S197" i="4"/>
  <c r="U197" i="4"/>
  <c r="V197" i="4" s="1"/>
  <c r="W262" i="4"/>
  <c r="U262" i="4"/>
  <c r="V262" i="4" s="1"/>
  <c r="AA262" i="4"/>
  <c r="S262" i="4"/>
  <c r="R262" i="4"/>
  <c r="W319" i="4"/>
  <c r="AA319" i="4"/>
  <c r="U319" i="4"/>
  <c r="V319" i="4" s="1"/>
  <c r="R319" i="4"/>
  <c r="S319" i="4"/>
  <c r="W190" i="4"/>
  <c r="U190" i="4"/>
  <c r="V190" i="4" s="1"/>
  <c r="AA190" i="4"/>
  <c r="S190" i="4"/>
  <c r="R190" i="4"/>
  <c r="AA233" i="4"/>
  <c r="R233" i="4"/>
  <c r="U233" i="4"/>
  <c r="V233" i="4" s="1"/>
  <c r="W233" i="4"/>
  <c r="S233" i="4"/>
  <c r="U103" i="4"/>
  <c r="V103" i="4" s="1"/>
  <c r="AA103" i="4"/>
  <c r="R103" i="4"/>
  <c r="W103" i="4"/>
  <c r="S103" i="4"/>
  <c r="AA116" i="4"/>
  <c r="W116" i="4"/>
  <c r="R116" i="4"/>
  <c r="S116" i="4"/>
  <c r="U116" i="4"/>
  <c r="V116" i="4" s="1"/>
  <c r="W99" i="4"/>
  <c r="AA99" i="4"/>
  <c r="R99" i="4"/>
  <c r="S99" i="4"/>
  <c r="U99" i="4"/>
  <c r="V99" i="4" s="1"/>
  <c r="AA123" i="4"/>
  <c r="R123" i="4"/>
  <c r="S123" i="4"/>
  <c r="W123" i="4"/>
  <c r="U123" i="4"/>
  <c r="V123" i="4" s="1"/>
  <c r="R100" i="4"/>
  <c r="AA100" i="4"/>
  <c r="U100" i="4"/>
  <c r="V100" i="4" s="1"/>
  <c r="W100" i="4"/>
  <c r="S100" i="4"/>
  <c r="AA121" i="4"/>
  <c r="S121" i="4"/>
  <c r="W121" i="4"/>
  <c r="U121" i="4"/>
  <c r="V121" i="4" s="1"/>
  <c r="R121" i="4"/>
  <c r="AA104" i="4"/>
  <c r="W104" i="4"/>
  <c r="R104" i="4"/>
  <c r="U104" i="4"/>
  <c r="V104" i="4" s="1"/>
  <c r="S104" i="4"/>
  <c r="AA133" i="4"/>
  <c r="U133" i="4"/>
  <c r="V133" i="4" s="1"/>
  <c r="S133" i="4"/>
  <c r="W133" i="4"/>
  <c r="R133" i="4"/>
  <c r="R113" i="4"/>
  <c r="U113" i="4"/>
  <c r="V113" i="4" s="1"/>
  <c r="AA113" i="4"/>
  <c r="W113" i="4"/>
  <c r="S113" i="4"/>
  <c r="AA105" i="4"/>
  <c r="W105" i="4"/>
  <c r="R105" i="4"/>
  <c r="U105" i="4"/>
  <c r="V105" i="4" s="1"/>
  <c r="S105" i="4"/>
  <c r="W101" i="4"/>
  <c r="S101" i="4"/>
  <c r="R101" i="4"/>
  <c r="U101" i="4"/>
  <c r="V101" i="4" s="1"/>
  <c r="AA101" i="4"/>
  <c r="Q132" i="4"/>
  <c r="T132" i="4"/>
  <c r="W110" i="4"/>
  <c r="AA110" i="4"/>
  <c r="S110" i="4"/>
  <c r="R110" i="4"/>
  <c r="U110" i="4"/>
  <c r="V110" i="4" s="1"/>
  <c r="R114" i="4"/>
  <c r="U114" i="4"/>
  <c r="V114" i="4" s="1"/>
  <c r="W114" i="4"/>
  <c r="AA114" i="4"/>
  <c r="S114" i="4"/>
  <c r="R126" i="4"/>
  <c r="U126" i="4"/>
  <c r="V126" i="4" s="1"/>
  <c r="W126" i="4"/>
  <c r="S126" i="4"/>
  <c r="AA126" i="4"/>
  <c r="U117" i="4"/>
  <c r="V117" i="4" s="1"/>
  <c r="S117" i="4"/>
  <c r="W117" i="4"/>
  <c r="AA117" i="4"/>
  <c r="R117" i="4"/>
  <c r="U115" i="4"/>
  <c r="V115" i="4" s="1"/>
  <c r="R115" i="4"/>
  <c r="AA115" i="4"/>
  <c r="S115" i="4"/>
  <c r="W115" i="4"/>
  <c r="S122" i="4"/>
  <c r="AA122" i="4"/>
  <c r="W122" i="4"/>
  <c r="R122" i="4"/>
  <c r="U122" i="4"/>
  <c r="V122" i="4" s="1"/>
  <c r="AA127" i="4"/>
  <c r="U127" i="4"/>
  <c r="V127" i="4" s="1"/>
  <c r="R127" i="4"/>
  <c r="S127" i="4"/>
  <c r="W127" i="4"/>
  <c r="AA106" i="4"/>
  <c r="W106" i="4"/>
  <c r="S106" i="4"/>
  <c r="U106" i="4"/>
  <c r="V106" i="4" s="1"/>
  <c r="R106" i="4"/>
  <c r="Q128" i="4"/>
  <c r="T128" i="4"/>
  <c r="W119" i="4"/>
  <c r="AA119" i="4"/>
  <c r="S119" i="4"/>
  <c r="U119" i="4"/>
  <c r="V119" i="4" s="1"/>
  <c r="R119" i="4"/>
  <c r="S96" i="4"/>
  <c r="W96" i="4"/>
  <c r="U96" i="4"/>
  <c r="V96" i="4" s="1"/>
  <c r="AA96" i="4"/>
  <c r="R96" i="4"/>
  <c r="W111" i="4"/>
  <c r="S111" i="4"/>
  <c r="AA111" i="4"/>
  <c r="R111" i="4"/>
  <c r="U111" i="4"/>
  <c r="V111" i="4" s="1"/>
  <c r="R102" i="4"/>
  <c r="U102" i="4"/>
  <c r="V102" i="4" s="1"/>
  <c r="S102" i="4"/>
  <c r="W102" i="4"/>
  <c r="AA102" i="4"/>
  <c r="Q129" i="4"/>
  <c r="T129" i="4"/>
  <c r="U107" i="4"/>
  <c r="V107" i="4" s="1"/>
  <c r="S107" i="4"/>
  <c r="R107" i="4"/>
  <c r="AA107" i="4"/>
  <c r="W107" i="4"/>
  <c r="W98" i="4"/>
  <c r="AA98" i="4"/>
  <c r="S98" i="4"/>
  <c r="R98" i="4"/>
  <c r="U98" i="4"/>
  <c r="V98" i="4" s="1"/>
  <c r="S131" i="4"/>
  <c r="AA131" i="4"/>
  <c r="U131" i="4"/>
  <c r="V131" i="4" s="1"/>
  <c r="W131" i="4"/>
  <c r="R131" i="4"/>
  <c r="W124" i="4"/>
  <c r="R124" i="4"/>
  <c r="AA124" i="4"/>
  <c r="U124" i="4"/>
  <c r="V124" i="4" s="1"/>
  <c r="S124" i="4"/>
  <c r="R125" i="4"/>
  <c r="U125" i="4"/>
  <c r="V125" i="4" s="1"/>
  <c r="W125" i="4"/>
  <c r="AA125" i="4"/>
  <c r="S125" i="4"/>
  <c r="W120" i="4"/>
  <c r="S120" i="4"/>
  <c r="AA120" i="4"/>
  <c r="R120" i="4"/>
  <c r="U120" i="4"/>
  <c r="V120" i="4" s="1"/>
  <c r="S130" i="4"/>
  <c r="R130" i="4"/>
  <c r="W130" i="4"/>
  <c r="U130" i="4"/>
  <c r="V130" i="4" s="1"/>
  <c r="AA130" i="4"/>
  <c r="AA109" i="4"/>
  <c r="S109" i="4"/>
  <c r="W109" i="4"/>
  <c r="R109" i="4"/>
  <c r="U109" i="4"/>
  <c r="V109" i="4" s="1"/>
  <c r="S108" i="4"/>
  <c r="AA108" i="4"/>
  <c r="R108" i="4"/>
  <c r="W108" i="4"/>
  <c r="U108" i="4"/>
  <c r="V108" i="4" s="1"/>
  <c r="U68" i="4"/>
  <c r="V68" i="4" s="1"/>
  <c r="W68" i="4"/>
  <c r="S68" i="4"/>
  <c r="R68" i="4"/>
  <c r="AA68" i="4"/>
  <c r="AA36" i="4"/>
  <c r="R36" i="4"/>
  <c r="S36" i="4"/>
  <c r="W36" i="4"/>
  <c r="S88" i="4"/>
  <c r="W88" i="4"/>
  <c r="AA88" i="4"/>
  <c r="R88" i="4"/>
  <c r="U88" i="4"/>
  <c r="V88" i="4" s="1"/>
  <c r="W20" i="4"/>
  <c r="R20" i="4"/>
  <c r="AA20" i="4"/>
  <c r="S20" i="4"/>
  <c r="U20" i="4"/>
  <c r="V20" i="4" s="1"/>
  <c r="J24" i="4"/>
  <c r="K24" i="4" s="1"/>
  <c r="L24" i="4" s="1"/>
  <c r="AA24" i="4"/>
  <c r="W24" i="4"/>
  <c r="O24" i="4"/>
  <c r="P24" i="4" s="1"/>
  <c r="W5" i="4"/>
  <c r="S5" i="4"/>
  <c r="U5" i="4"/>
  <c r="V5" i="4" s="1"/>
  <c r="AA5" i="4"/>
  <c r="R5" i="4"/>
  <c r="U81" i="4"/>
  <c r="V81" i="4" s="1"/>
  <c r="S81" i="4"/>
  <c r="AA81" i="4"/>
  <c r="R81" i="4"/>
  <c r="W81" i="4"/>
  <c r="AA58" i="4"/>
  <c r="W58" i="4"/>
  <c r="R58" i="4"/>
  <c r="U58" i="4"/>
  <c r="V58" i="4" s="1"/>
  <c r="S58" i="4"/>
  <c r="U14" i="4"/>
  <c r="V14" i="4" s="1"/>
  <c r="AA14" i="4"/>
  <c r="W14" i="4"/>
  <c r="R14" i="4"/>
  <c r="S14" i="4"/>
  <c r="S63" i="4"/>
  <c r="AA63" i="4"/>
  <c r="U63" i="4"/>
  <c r="V63" i="4" s="1"/>
  <c r="W63" i="4"/>
  <c r="R63" i="4"/>
  <c r="R61" i="4"/>
  <c r="U61" i="4"/>
  <c r="V61" i="4" s="1"/>
  <c r="AA61" i="4"/>
  <c r="S61" i="4"/>
  <c r="W61" i="4"/>
  <c r="AA54" i="4"/>
  <c r="R54" i="4"/>
  <c r="U54" i="4"/>
  <c r="V54" i="4" s="1"/>
  <c r="S54" i="4"/>
  <c r="W54" i="4"/>
  <c r="S13" i="4"/>
  <c r="U13" i="4"/>
  <c r="V13" i="4" s="1"/>
  <c r="AA13" i="4"/>
  <c r="R13" i="4"/>
  <c r="W13" i="4"/>
  <c r="S75" i="4"/>
  <c r="AA75" i="4"/>
  <c r="R75" i="4"/>
  <c r="U75" i="4"/>
  <c r="V75" i="4" s="1"/>
  <c r="W75" i="4"/>
  <c r="AA23" i="4"/>
  <c r="S23" i="4"/>
  <c r="U23" i="4"/>
  <c r="V23" i="4" s="1"/>
  <c r="W23" i="4"/>
  <c r="R23" i="4"/>
  <c r="S41" i="4"/>
  <c r="W41" i="4"/>
  <c r="AA41" i="4"/>
  <c r="R41" i="4"/>
  <c r="W78" i="4"/>
  <c r="AA78" i="4"/>
  <c r="R78" i="4"/>
  <c r="U78" i="4"/>
  <c r="V78" i="4" s="1"/>
  <c r="S78" i="4"/>
  <c r="R50" i="4"/>
  <c r="S50" i="4"/>
  <c r="AA50" i="4"/>
  <c r="U50" i="4"/>
  <c r="V50" i="4" s="1"/>
  <c r="W50" i="4"/>
  <c r="S53" i="4"/>
  <c r="R53" i="4"/>
  <c r="AA53" i="4"/>
  <c r="W53" i="4"/>
  <c r="U53" i="4"/>
  <c r="V53" i="4" s="1"/>
  <c r="R62" i="4"/>
  <c r="U62" i="4"/>
  <c r="V62" i="4" s="1"/>
  <c r="S62" i="4"/>
  <c r="AA62" i="4"/>
  <c r="W62" i="4"/>
  <c r="W30" i="4"/>
  <c r="AA30" i="4"/>
  <c r="R30" i="4"/>
  <c r="S30" i="4"/>
  <c r="AA94" i="4"/>
  <c r="U94" i="4"/>
  <c r="V94" i="4" s="1"/>
  <c r="R94" i="4"/>
  <c r="W94" i="4"/>
  <c r="S94" i="4"/>
  <c r="R74" i="4"/>
  <c r="S74" i="4"/>
  <c r="AA74" i="4"/>
  <c r="W74" i="4"/>
  <c r="U74" i="4"/>
  <c r="V74" i="4" s="1"/>
  <c r="S28" i="4"/>
  <c r="W28" i="4"/>
  <c r="R28" i="4"/>
  <c r="AA28" i="4"/>
  <c r="S77" i="4"/>
  <c r="W77" i="4"/>
  <c r="R77" i="4"/>
  <c r="U77" i="4"/>
  <c r="V77" i="4" s="1"/>
  <c r="AA77" i="4"/>
  <c r="I93" i="4"/>
  <c r="J93" i="4" s="1"/>
  <c r="K93" i="4" s="1"/>
  <c r="W93" i="4"/>
  <c r="U59" i="4"/>
  <c r="V59" i="4" s="1"/>
  <c r="AA59" i="4"/>
  <c r="W59" i="4"/>
  <c r="R59" i="4"/>
  <c r="S59" i="4"/>
  <c r="AA48" i="4"/>
  <c r="U48" i="4"/>
  <c r="V48" i="4" s="1"/>
  <c r="R48" i="4"/>
  <c r="W48" i="4"/>
  <c r="S48" i="4"/>
  <c r="S51" i="4"/>
  <c r="AA51" i="4"/>
  <c r="W51" i="4"/>
  <c r="R51" i="4"/>
  <c r="U51" i="4"/>
  <c r="V51" i="4" s="1"/>
  <c r="U67" i="4"/>
  <c r="V67" i="4" s="1"/>
  <c r="S67" i="4"/>
  <c r="W67" i="4"/>
  <c r="R67" i="4"/>
  <c r="AA67" i="4"/>
  <c r="R19" i="4"/>
  <c r="S19" i="4"/>
  <c r="W19" i="4"/>
  <c r="U19" i="4"/>
  <c r="V19" i="4" s="1"/>
  <c r="AA19" i="4"/>
  <c r="U55" i="4"/>
  <c r="V55" i="4" s="1"/>
  <c r="AA55" i="4"/>
  <c r="W55" i="4"/>
  <c r="R55" i="4"/>
  <c r="S55" i="4"/>
  <c r="W32" i="4"/>
  <c r="AA32" i="4"/>
  <c r="S32" i="4"/>
  <c r="R32" i="4"/>
  <c r="AA35" i="4"/>
  <c r="R35" i="4"/>
  <c r="S35" i="4"/>
  <c r="W35" i="4"/>
  <c r="W43" i="4"/>
  <c r="R43" i="4"/>
  <c r="S43" i="4"/>
  <c r="AA43" i="4"/>
  <c r="U69" i="4"/>
  <c r="V69" i="4" s="1"/>
  <c r="W69" i="4"/>
  <c r="S69" i="4"/>
  <c r="R69" i="4"/>
  <c r="AA69" i="4"/>
  <c r="U79" i="4"/>
  <c r="V79" i="4" s="1"/>
  <c r="AA79" i="4"/>
  <c r="W79" i="4"/>
  <c r="R79" i="4"/>
  <c r="S79" i="4"/>
  <c r="S29" i="4"/>
  <c r="W29" i="4"/>
  <c r="R29" i="4"/>
  <c r="AA29" i="4"/>
  <c r="S87" i="4"/>
  <c r="W87" i="4"/>
  <c r="AA87" i="4"/>
  <c r="R87" i="4"/>
  <c r="U87" i="4"/>
  <c r="V87" i="4" s="1"/>
  <c r="S12" i="4"/>
  <c r="AA12" i="4"/>
  <c r="U12" i="4"/>
  <c r="V12" i="4" s="1"/>
  <c r="W12" i="4"/>
  <c r="R12" i="4"/>
  <c r="S45" i="4"/>
  <c r="W45" i="4"/>
  <c r="U45" i="4"/>
  <c r="V45" i="4" s="1"/>
  <c r="R45" i="4"/>
  <c r="AA45" i="4"/>
  <c r="W4" i="4"/>
  <c r="U4" i="4"/>
  <c r="V4" i="4" s="1"/>
  <c r="AA4" i="4"/>
  <c r="R4" i="4"/>
  <c r="S4" i="4"/>
  <c r="AA22" i="4"/>
  <c r="R22" i="4"/>
  <c r="S22" i="4"/>
  <c r="W22" i="4"/>
  <c r="U22" i="4"/>
  <c r="V22" i="4" s="1"/>
  <c r="R49" i="4"/>
  <c r="AA49" i="4"/>
  <c r="U49" i="4"/>
  <c r="V49" i="4" s="1"/>
  <c r="S49" i="4"/>
  <c r="W49" i="4"/>
  <c r="W66" i="4"/>
  <c r="AA66" i="4"/>
  <c r="R66" i="4"/>
  <c r="S66" i="4"/>
  <c r="U66" i="4"/>
  <c r="V66" i="4" s="1"/>
  <c r="S65" i="4"/>
  <c r="W65" i="4"/>
  <c r="AA65" i="4"/>
  <c r="R65" i="4"/>
  <c r="U65" i="4"/>
  <c r="V65" i="4" s="1"/>
  <c r="W42" i="4"/>
  <c r="AA42" i="4"/>
  <c r="R42" i="4"/>
  <c r="S42" i="4"/>
  <c r="W40" i="4"/>
  <c r="S40" i="4"/>
  <c r="R40" i="4"/>
  <c r="AA40" i="4"/>
  <c r="AA82" i="4"/>
  <c r="U82" i="4"/>
  <c r="V82" i="4" s="1"/>
  <c r="R82" i="4"/>
  <c r="S82" i="4"/>
  <c r="W82" i="4"/>
  <c r="W57" i="4"/>
  <c r="S57" i="4"/>
  <c r="U57" i="4"/>
  <c r="V57" i="4" s="1"/>
  <c r="AA57" i="4"/>
  <c r="R57" i="4"/>
  <c r="W85" i="4"/>
  <c r="R85" i="4"/>
  <c r="AA85" i="4"/>
  <c r="S85" i="4"/>
  <c r="U85" i="4"/>
  <c r="V85" i="4" s="1"/>
  <c r="R7" i="4"/>
  <c r="S7" i="4"/>
  <c r="U7" i="4"/>
  <c r="V7" i="4" s="1"/>
  <c r="AA7" i="4"/>
  <c r="W7" i="4"/>
  <c r="S52" i="4"/>
  <c r="W52" i="4"/>
  <c r="AA52" i="4"/>
  <c r="R52" i="4"/>
  <c r="U52" i="4"/>
  <c r="V52" i="4" s="1"/>
  <c r="S44" i="4"/>
  <c r="W44" i="4"/>
  <c r="R44" i="4"/>
  <c r="AA44" i="4"/>
  <c r="W6" i="4"/>
  <c r="R6" i="4"/>
  <c r="AA6" i="4"/>
  <c r="U6" i="4"/>
  <c r="V6" i="4" s="1"/>
  <c r="S6" i="4"/>
  <c r="U60" i="4"/>
  <c r="V60" i="4" s="1"/>
  <c r="AA60" i="4"/>
  <c r="R60" i="4"/>
  <c r="W60" i="4"/>
  <c r="S60" i="4"/>
  <c r="S39" i="4"/>
  <c r="AA39" i="4"/>
  <c r="W39" i="4"/>
  <c r="R39" i="4"/>
  <c r="U91" i="4"/>
  <c r="V91" i="4" s="1"/>
  <c r="AA91" i="4"/>
  <c r="S91" i="4"/>
  <c r="W91" i="4"/>
  <c r="R91" i="4"/>
  <c r="U47" i="4"/>
  <c r="V47" i="4" s="1"/>
  <c r="AA47" i="4"/>
  <c r="W47" i="4"/>
  <c r="R47" i="4"/>
  <c r="S47" i="4"/>
  <c r="J26" i="4"/>
  <c r="K26" i="4" s="1"/>
  <c r="L26" i="4" s="1"/>
  <c r="O26" i="4"/>
  <c r="P26" i="4" s="1"/>
  <c r="W26" i="4"/>
  <c r="AA26" i="4"/>
  <c r="AA34" i="4"/>
  <c r="R34" i="4"/>
  <c r="W34" i="4"/>
  <c r="S34" i="4"/>
  <c r="R8" i="4"/>
  <c r="U8" i="4"/>
  <c r="V8" i="4" s="1"/>
  <c r="AA8" i="4"/>
  <c r="S8" i="4"/>
  <c r="W8" i="4"/>
  <c r="W16" i="4"/>
  <c r="U16" i="4"/>
  <c r="V16" i="4" s="1"/>
  <c r="S16" i="4"/>
  <c r="R16" i="4"/>
  <c r="AA16" i="4"/>
  <c r="R86" i="4"/>
  <c r="W86" i="4"/>
  <c r="S86" i="4"/>
  <c r="AA86" i="4"/>
  <c r="U86" i="4"/>
  <c r="V86" i="4" s="1"/>
  <c r="S89" i="4"/>
  <c r="R89" i="4"/>
  <c r="AA89" i="4"/>
  <c r="W89" i="4"/>
  <c r="U89" i="4"/>
  <c r="V89" i="4" s="1"/>
  <c r="U80" i="4"/>
  <c r="V80" i="4" s="1"/>
  <c r="AA80" i="4"/>
  <c r="R80" i="4"/>
  <c r="W80" i="4"/>
  <c r="S80" i="4"/>
  <c r="J25" i="4"/>
  <c r="K25" i="4" s="1"/>
  <c r="L25" i="4" s="1"/>
  <c r="W25" i="4"/>
  <c r="AA25" i="4"/>
  <c r="O25" i="4"/>
  <c r="P25" i="4" s="1"/>
  <c r="R73" i="4"/>
  <c r="AA73" i="4"/>
  <c r="S73" i="4"/>
  <c r="W73" i="4"/>
  <c r="U73" i="4"/>
  <c r="V73" i="4" s="1"/>
  <c r="W15" i="4"/>
  <c r="U15" i="4"/>
  <c r="V15" i="4" s="1"/>
  <c r="AA15" i="4"/>
  <c r="R15" i="4"/>
  <c r="S15" i="4"/>
  <c r="S64" i="4"/>
  <c r="W64" i="4"/>
  <c r="R64" i="4"/>
  <c r="AA64" i="4"/>
  <c r="U64" i="4"/>
  <c r="V64" i="4" s="1"/>
  <c r="AA11" i="4"/>
  <c r="S11" i="4"/>
  <c r="W11" i="4"/>
  <c r="U11" i="4"/>
  <c r="V11" i="4" s="1"/>
  <c r="R11" i="4"/>
  <c r="R9" i="4"/>
  <c r="U9" i="4"/>
  <c r="V9" i="4" s="1"/>
  <c r="S9" i="4"/>
  <c r="AA9" i="4"/>
  <c r="W9" i="4"/>
  <c r="S92" i="4"/>
  <c r="W92" i="4"/>
  <c r="U92" i="4"/>
  <c r="V92" i="4" s="1"/>
  <c r="R92" i="4"/>
  <c r="AA92" i="4"/>
  <c r="R37" i="4"/>
  <c r="AA37" i="4"/>
  <c r="S37" i="4"/>
  <c r="W37" i="4"/>
  <c r="S33" i="4"/>
  <c r="AA33" i="4"/>
  <c r="W33" i="4"/>
  <c r="R33" i="4"/>
  <c r="U71" i="4"/>
  <c r="V71" i="4" s="1"/>
  <c r="AA71" i="4"/>
  <c r="R71" i="4"/>
  <c r="W71" i="4"/>
  <c r="S71" i="4"/>
  <c r="AA84" i="4"/>
  <c r="R84" i="4"/>
  <c r="U84" i="4"/>
  <c r="V84" i="4" s="1"/>
  <c r="S84" i="4"/>
  <c r="W84" i="4"/>
  <c r="R21" i="4"/>
  <c r="S21" i="4"/>
  <c r="AA21" i="4"/>
  <c r="W21" i="4"/>
  <c r="U21" i="4"/>
  <c r="V21" i="4" s="1"/>
  <c r="J27" i="4"/>
  <c r="K27" i="4" s="1"/>
  <c r="M27" i="4" s="1"/>
  <c r="O27" i="4"/>
  <c r="P27" i="4" s="1"/>
  <c r="AA27" i="4"/>
  <c r="W27" i="4"/>
  <c r="S76" i="4"/>
  <c r="W76" i="4"/>
  <c r="R76" i="4"/>
  <c r="U76" i="4"/>
  <c r="V76" i="4" s="1"/>
  <c r="AA76" i="4"/>
  <c r="W56" i="4"/>
  <c r="AA56" i="4"/>
  <c r="U56" i="4"/>
  <c r="V56" i="4" s="1"/>
  <c r="R56" i="4"/>
  <c r="S56" i="4"/>
  <c r="AA72" i="4"/>
  <c r="R72" i="4"/>
  <c r="W72" i="4"/>
  <c r="U72" i="4"/>
  <c r="V72" i="4" s="1"/>
  <c r="S72" i="4"/>
  <c r="U165" i="4"/>
  <c r="V165" i="4" s="1"/>
  <c r="W165" i="4"/>
  <c r="AA165" i="4"/>
  <c r="S165" i="4"/>
  <c r="R165" i="4"/>
  <c r="S161" i="4"/>
  <c r="U161" i="4"/>
  <c r="V161" i="4" s="1"/>
  <c r="AA161" i="4"/>
  <c r="R161" i="4"/>
  <c r="W161" i="4"/>
  <c r="W164" i="4"/>
  <c r="U164" i="4"/>
  <c r="V164" i="4" s="1"/>
  <c r="S164" i="4"/>
  <c r="R164" i="4"/>
  <c r="AA164" i="4"/>
  <c r="Q159" i="4"/>
  <c r="T159" i="4"/>
  <c r="S152" i="4"/>
  <c r="R152" i="4"/>
  <c r="U152" i="4"/>
  <c r="V152" i="4" s="1"/>
  <c r="W152" i="4"/>
  <c r="AA152" i="4"/>
  <c r="W148" i="4"/>
  <c r="AA148" i="4"/>
  <c r="R148" i="4"/>
  <c r="S148" i="4"/>
  <c r="U148" i="4"/>
  <c r="V148" i="4" s="1"/>
  <c r="U157" i="4"/>
  <c r="V157" i="4" s="1"/>
  <c r="S157" i="4"/>
  <c r="W157" i="4"/>
  <c r="R157" i="4"/>
  <c r="AA157" i="4"/>
  <c r="U138" i="4"/>
  <c r="V138" i="4" s="1"/>
  <c r="R138" i="4"/>
  <c r="AA138" i="4"/>
  <c r="W138" i="4"/>
  <c r="S138" i="4"/>
  <c r="AA155" i="4"/>
  <c r="U155" i="4"/>
  <c r="V155" i="4" s="1"/>
  <c r="S155" i="4"/>
  <c r="R155" i="4"/>
  <c r="W155" i="4"/>
  <c r="R149" i="4"/>
  <c r="W149" i="4"/>
  <c r="S149" i="4"/>
  <c r="AA149" i="4"/>
  <c r="U149" i="4"/>
  <c r="V149" i="4" s="1"/>
  <c r="U140" i="4"/>
  <c r="V140" i="4" s="1"/>
  <c r="S140" i="4"/>
  <c r="W140" i="4"/>
  <c r="R140" i="4"/>
  <c r="AA140" i="4"/>
  <c r="AA147" i="4"/>
  <c r="S147" i="4"/>
  <c r="R147" i="4"/>
  <c r="W147" i="4"/>
  <c r="U147" i="4"/>
  <c r="V147" i="4" s="1"/>
  <c r="W162" i="4"/>
  <c r="R162" i="4"/>
  <c r="S162" i="4"/>
  <c r="AA162" i="4"/>
  <c r="U162" i="4"/>
  <c r="V162" i="4" s="1"/>
  <c r="S143" i="4"/>
  <c r="AA143" i="4"/>
  <c r="U143" i="4"/>
  <c r="V143" i="4" s="1"/>
  <c r="W143" i="4"/>
  <c r="R143" i="4"/>
  <c r="W150" i="4"/>
  <c r="S150" i="4"/>
  <c r="R150" i="4"/>
  <c r="AA150" i="4"/>
  <c r="U150" i="4"/>
  <c r="V150" i="4" s="1"/>
  <c r="W144" i="4"/>
  <c r="S144" i="4"/>
  <c r="AA144" i="4"/>
  <c r="U144" i="4"/>
  <c r="V144" i="4" s="1"/>
  <c r="R144" i="4"/>
  <c r="R163" i="4"/>
  <c r="W163" i="4"/>
  <c r="AA163" i="4"/>
  <c r="S163" i="4"/>
  <c r="U163" i="4"/>
  <c r="V163" i="4" s="1"/>
  <c r="W158" i="4"/>
  <c r="U158" i="4"/>
  <c r="V158" i="4" s="1"/>
  <c r="AA158" i="4"/>
  <c r="S146" i="4"/>
  <c r="W146" i="4"/>
  <c r="R146" i="4"/>
  <c r="AA146" i="4"/>
  <c r="U146" i="4"/>
  <c r="V146" i="4" s="1"/>
  <c r="U142" i="4"/>
  <c r="V142" i="4" s="1"/>
  <c r="R142" i="4"/>
  <c r="AA142" i="4"/>
  <c r="S142" i="4"/>
  <c r="W142" i="4"/>
  <c r="U153" i="4"/>
  <c r="V153" i="4" s="1"/>
  <c r="R153" i="4"/>
  <c r="W153" i="4"/>
  <c r="AA153" i="4"/>
  <c r="S153" i="4"/>
  <c r="AA145" i="4"/>
  <c r="W145" i="4"/>
  <c r="S145" i="4"/>
  <c r="R145" i="4"/>
  <c r="U145" i="4"/>
  <c r="V145" i="4" s="1"/>
  <c r="R137" i="4"/>
  <c r="U137" i="4"/>
  <c r="V137" i="4" s="1"/>
  <c r="AA137" i="4"/>
  <c r="S137" i="4"/>
  <c r="W137" i="4"/>
  <c r="AA135" i="4"/>
  <c r="S135" i="4"/>
  <c r="R135" i="4"/>
  <c r="U135" i="4"/>
  <c r="V135" i="4" s="1"/>
  <c r="W135" i="4"/>
  <c r="S156" i="4"/>
  <c r="AA156" i="4"/>
  <c r="U156" i="4"/>
  <c r="V156" i="4" s="1"/>
  <c r="W156" i="4"/>
  <c r="R156" i="4"/>
  <c r="S151" i="4"/>
  <c r="U151" i="4"/>
  <c r="V151" i="4" s="1"/>
  <c r="AA151" i="4"/>
  <c r="W151" i="4"/>
  <c r="R151" i="4"/>
  <c r="AA160" i="4"/>
  <c r="S160" i="4"/>
  <c r="R160" i="4"/>
  <c r="U160" i="4"/>
  <c r="V160" i="4" s="1"/>
  <c r="W160" i="4"/>
  <c r="U141" i="4"/>
  <c r="V141" i="4" s="1"/>
  <c r="W141" i="4"/>
  <c r="S141" i="4"/>
  <c r="R141" i="4"/>
  <c r="AA141" i="4"/>
  <c r="U154" i="4"/>
  <c r="V154" i="4" s="1"/>
  <c r="W154" i="4"/>
  <c r="S154" i="4"/>
  <c r="AA154" i="4"/>
  <c r="R154" i="4"/>
  <c r="AA136" i="4"/>
  <c r="R136" i="4"/>
  <c r="S136" i="4"/>
  <c r="U136" i="4"/>
  <c r="V136" i="4" s="1"/>
  <c r="W136" i="4"/>
  <c r="Q297" i="4"/>
  <c r="T297" i="4"/>
  <c r="S309" i="4"/>
  <c r="R309" i="4"/>
  <c r="U309" i="4"/>
  <c r="V309" i="4" s="1"/>
  <c r="AA309" i="4"/>
  <c r="W309" i="4"/>
  <c r="U275" i="4"/>
  <c r="V275" i="4" s="1"/>
  <c r="R275" i="4"/>
  <c r="AA275" i="4"/>
  <c r="S275" i="4"/>
  <c r="W275" i="4"/>
  <c r="S293" i="4"/>
  <c r="U293" i="4"/>
  <c r="V293" i="4" s="1"/>
  <c r="R293" i="4"/>
  <c r="W293" i="4"/>
  <c r="AA293" i="4"/>
  <c r="W314" i="4"/>
  <c r="AA314" i="4"/>
  <c r="S314" i="4"/>
  <c r="R314" i="4"/>
  <c r="U314" i="4"/>
  <c r="V314" i="4" s="1"/>
  <c r="S273" i="4"/>
  <c r="R273" i="4"/>
  <c r="W273" i="4"/>
  <c r="U273" i="4"/>
  <c r="V273" i="4" s="1"/>
  <c r="AA273" i="4"/>
  <c r="S303" i="4"/>
  <c r="R303" i="4"/>
  <c r="W303" i="4"/>
  <c r="U303" i="4"/>
  <c r="V303" i="4" s="1"/>
  <c r="AA303" i="4"/>
  <c r="AA306" i="4"/>
  <c r="U306" i="4"/>
  <c r="V306" i="4" s="1"/>
  <c r="S306" i="4"/>
  <c r="R306" i="4"/>
  <c r="W306" i="4"/>
  <c r="U299" i="4"/>
  <c r="V299" i="4" s="1"/>
  <c r="S299" i="4"/>
  <c r="R299" i="4"/>
  <c r="AA299" i="4"/>
  <c r="W299" i="4"/>
  <c r="U311" i="4"/>
  <c r="V311" i="4" s="1"/>
  <c r="R311" i="4"/>
  <c r="AA311" i="4"/>
  <c r="S311" i="4"/>
  <c r="W311" i="4"/>
  <c r="S279" i="4"/>
  <c r="R279" i="4"/>
  <c r="W279" i="4"/>
  <c r="U279" i="4"/>
  <c r="V279" i="4" s="1"/>
  <c r="AA279" i="4"/>
  <c r="S285" i="4"/>
  <c r="R285" i="4"/>
  <c r="W285" i="4"/>
  <c r="U285" i="4"/>
  <c r="V285" i="4" s="1"/>
  <c r="AA285" i="4"/>
  <c r="S304" i="4"/>
  <c r="R304" i="4"/>
  <c r="U304" i="4"/>
  <c r="V304" i="4" s="1"/>
  <c r="W304" i="4"/>
  <c r="AA304" i="4"/>
  <c r="W276" i="4"/>
  <c r="S276" i="4"/>
  <c r="R276" i="4"/>
  <c r="U276" i="4"/>
  <c r="V276" i="4" s="1"/>
  <c r="AA276" i="4"/>
  <c r="W283" i="4"/>
  <c r="AA283" i="4"/>
  <c r="S283" i="4"/>
  <c r="R283" i="4"/>
  <c r="U283" i="4"/>
  <c r="V283" i="4" s="1"/>
  <c r="W291" i="4"/>
  <c r="S291" i="4"/>
  <c r="R291" i="4"/>
  <c r="U291" i="4"/>
  <c r="V291" i="4" s="1"/>
  <c r="AA291" i="4"/>
  <c r="W288" i="4"/>
  <c r="AA288" i="4"/>
  <c r="S288" i="4"/>
  <c r="U288" i="4"/>
  <c r="V288" i="4" s="1"/>
  <c r="R288" i="4"/>
  <c r="S281" i="4"/>
  <c r="AA281" i="4"/>
  <c r="U281" i="4"/>
  <c r="V281" i="4" s="1"/>
  <c r="R281" i="4"/>
  <c r="W281" i="4"/>
  <c r="W278" i="4"/>
  <c r="AA278" i="4"/>
  <c r="S278" i="4"/>
  <c r="R278" i="4"/>
  <c r="U278" i="4"/>
  <c r="V278" i="4" s="1"/>
  <c r="S310" i="4"/>
  <c r="R310" i="4"/>
  <c r="U310" i="4"/>
  <c r="V310" i="4" s="1"/>
  <c r="AA310" i="4"/>
  <c r="W310" i="4"/>
  <c r="S298" i="4"/>
  <c r="R298" i="4"/>
  <c r="U298" i="4"/>
  <c r="V298" i="4" s="1"/>
  <c r="AA298" i="4"/>
  <c r="W298" i="4"/>
  <c r="W284" i="4"/>
  <c r="AA284" i="4"/>
  <c r="S284" i="4"/>
  <c r="R284" i="4"/>
  <c r="U284" i="4"/>
  <c r="V284" i="4" s="1"/>
  <c r="U300" i="4"/>
  <c r="V300" i="4" s="1"/>
  <c r="AA300" i="4"/>
  <c r="S300" i="4"/>
  <c r="R300" i="4"/>
  <c r="W300" i="4"/>
  <c r="AA282" i="4"/>
  <c r="U282" i="4"/>
  <c r="V282" i="4" s="1"/>
  <c r="S282" i="4"/>
  <c r="R282" i="4"/>
  <c r="W282" i="4"/>
  <c r="W312" i="4"/>
  <c r="U312" i="4"/>
  <c r="V312" i="4" s="1"/>
  <c r="AA312" i="4"/>
  <c r="R312" i="4"/>
  <c r="S312" i="4"/>
  <c r="W315" i="4"/>
  <c r="R315" i="4"/>
  <c r="S315" i="4"/>
  <c r="U315" i="4"/>
  <c r="V315" i="4" s="1"/>
  <c r="AA315" i="4"/>
  <c r="AA296" i="4"/>
  <c r="S296" i="4"/>
  <c r="R296" i="4"/>
  <c r="U296" i="4"/>
  <c r="V296" i="4" s="1"/>
  <c r="W296" i="4"/>
  <c r="AA305" i="4"/>
  <c r="W305" i="4"/>
  <c r="S305" i="4"/>
  <c r="R305" i="4"/>
  <c r="U305" i="4"/>
  <c r="V305" i="4" s="1"/>
  <c r="AA308" i="4"/>
  <c r="S308" i="4"/>
  <c r="R308" i="4"/>
  <c r="U308" i="4"/>
  <c r="V308" i="4" s="1"/>
  <c r="W308" i="4"/>
  <c r="W301" i="4"/>
  <c r="U301" i="4"/>
  <c r="V301" i="4" s="1"/>
  <c r="AA301" i="4"/>
  <c r="S301" i="4"/>
  <c r="R301" i="4"/>
  <c r="W302" i="4"/>
  <c r="AA302" i="4"/>
  <c r="S302" i="4"/>
  <c r="R302" i="4"/>
  <c r="U302" i="4"/>
  <c r="V302" i="4" s="1"/>
  <c r="W292" i="4"/>
  <c r="S292" i="4"/>
  <c r="R292" i="4"/>
  <c r="U292" i="4"/>
  <c r="V292" i="4" s="1"/>
  <c r="AA292" i="4"/>
  <c r="W290" i="4"/>
  <c r="AA290" i="4"/>
  <c r="S290" i="4"/>
  <c r="R290" i="4"/>
  <c r="U290" i="4"/>
  <c r="V290" i="4" s="1"/>
  <c r="W313" i="4"/>
  <c r="AA313" i="4"/>
  <c r="U313" i="4"/>
  <c r="V313" i="4" s="1"/>
  <c r="S313" i="4"/>
  <c r="R313" i="4"/>
  <c r="W272" i="4"/>
  <c r="AA272" i="4"/>
  <c r="S272" i="4"/>
  <c r="R272" i="4"/>
  <c r="U272" i="4"/>
  <c r="V272" i="4" s="1"/>
  <c r="U287" i="4"/>
  <c r="V287" i="4" s="1"/>
  <c r="AA287" i="4"/>
  <c r="R287" i="4"/>
  <c r="S287" i="4"/>
  <c r="W287" i="4"/>
  <c r="AA307" i="4"/>
  <c r="S307" i="4"/>
  <c r="R307" i="4"/>
  <c r="U307" i="4"/>
  <c r="V307" i="4" s="1"/>
  <c r="W307" i="4"/>
  <c r="S274" i="4"/>
  <c r="R274" i="4"/>
  <c r="U274" i="4"/>
  <c r="V274" i="4" s="1"/>
  <c r="W274" i="4"/>
  <c r="AA274" i="4"/>
  <c r="U277" i="4"/>
  <c r="V277" i="4" s="1"/>
  <c r="AA277" i="4"/>
  <c r="W277" i="4"/>
  <c r="S277" i="4"/>
  <c r="R277" i="4"/>
  <c r="S280" i="4"/>
  <c r="R280" i="4"/>
  <c r="U280" i="4"/>
  <c r="V280" i="4" s="1"/>
  <c r="W280" i="4"/>
  <c r="AA280" i="4"/>
  <c r="AA295" i="4"/>
  <c r="S295" i="4"/>
  <c r="R295" i="4"/>
  <c r="U295" i="4"/>
  <c r="V295" i="4" s="1"/>
  <c r="W295" i="4"/>
  <c r="S286" i="4"/>
  <c r="R286" i="4"/>
  <c r="U286" i="4"/>
  <c r="V286" i="4" s="1"/>
  <c r="W286" i="4"/>
  <c r="AA286" i="4"/>
  <c r="W289" i="4"/>
  <c r="AA289" i="4"/>
  <c r="U289" i="4"/>
  <c r="V289" i="4" s="1"/>
  <c r="S289" i="4"/>
  <c r="R289" i="4"/>
  <c r="AA317" i="4"/>
  <c r="W317" i="4"/>
  <c r="S317" i="4"/>
  <c r="R317" i="4"/>
  <c r="U317" i="4"/>
  <c r="V317" i="4" s="1"/>
  <c r="AA294" i="4"/>
  <c r="U294" i="4"/>
  <c r="V294" i="4" s="1"/>
  <c r="W294" i="4"/>
  <c r="S294" i="4"/>
  <c r="R294" i="4"/>
  <c r="U344" i="4"/>
  <c r="V344" i="4" s="1"/>
  <c r="W344" i="4"/>
  <c r="R344" i="4"/>
  <c r="S344" i="4"/>
  <c r="AA344" i="4"/>
  <c r="U339" i="4"/>
  <c r="V339" i="4" s="1"/>
  <c r="AA339" i="4"/>
  <c r="W339" i="4"/>
  <c r="R339" i="4"/>
  <c r="S339" i="4"/>
  <c r="AA328" i="4"/>
  <c r="W328" i="4"/>
  <c r="U328" i="4"/>
  <c r="V328" i="4" s="1"/>
  <c r="R328" i="4"/>
  <c r="S328" i="4"/>
  <c r="W333" i="4"/>
  <c r="R333" i="4"/>
  <c r="S333" i="4"/>
  <c r="AA333" i="4"/>
  <c r="U333" i="4"/>
  <c r="V333" i="4" s="1"/>
  <c r="Q331" i="4"/>
  <c r="T331" i="4"/>
  <c r="U346" i="4"/>
  <c r="V346" i="4" s="1"/>
  <c r="R346" i="4"/>
  <c r="S346" i="4"/>
  <c r="AA346" i="4"/>
  <c r="W346" i="4"/>
  <c r="U329" i="4"/>
  <c r="V329" i="4" s="1"/>
  <c r="R329" i="4"/>
  <c r="AA329" i="4"/>
  <c r="W329" i="4"/>
  <c r="S329" i="4"/>
  <c r="R332" i="4"/>
  <c r="S332" i="4"/>
  <c r="U332" i="4"/>
  <c r="V332" i="4" s="1"/>
  <c r="AA332" i="4"/>
  <c r="W332" i="4"/>
  <c r="AA327" i="4"/>
  <c r="U327" i="4"/>
  <c r="V327" i="4" s="1"/>
  <c r="W327" i="4"/>
  <c r="R327" i="4"/>
  <c r="S327" i="4"/>
  <c r="AA330" i="4"/>
  <c r="W330" i="4"/>
  <c r="R330" i="4"/>
  <c r="U330" i="4"/>
  <c r="V330" i="4" s="1"/>
  <c r="S330" i="4"/>
  <c r="AA341" i="4"/>
  <c r="R341" i="4"/>
  <c r="W341" i="4"/>
  <c r="S341" i="4"/>
  <c r="U341" i="4"/>
  <c r="V341" i="4" s="1"/>
  <c r="AA342" i="4"/>
  <c r="W342" i="4"/>
  <c r="R342" i="4"/>
  <c r="S342" i="4"/>
  <c r="U342" i="4"/>
  <c r="V342" i="4" s="1"/>
  <c r="R345" i="4"/>
  <c r="S345" i="4"/>
  <c r="U345" i="4"/>
  <c r="V345" i="4" s="1"/>
  <c r="AA345" i="4"/>
  <c r="W345" i="4"/>
  <c r="W340" i="4"/>
  <c r="AA340" i="4"/>
  <c r="R340" i="4"/>
  <c r="U340" i="4"/>
  <c r="V340" i="4" s="1"/>
  <c r="S340" i="4"/>
  <c r="W334" i="4"/>
  <c r="R334" i="4"/>
  <c r="S334" i="4"/>
  <c r="U334" i="4"/>
  <c r="V334" i="4" s="1"/>
  <c r="AA334" i="4"/>
  <c r="W326" i="4"/>
  <c r="S326" i="4"/>
  <c r="U326" i="4"/>
  <c r="V326" i="4" s="1"/>
  <c r="AA326" i="4"/>
  <c r="R326" i="4"/>
  <c r="R337" i="4"/>
  <c r="AA337" i="4"/>
  <c r="W337" i="4"/>
  <c r="S337" i="4"/>
  <c r="U337" i="4"/>
  <c r="V337" i="4" s="1"/>
  <c r="W335" i="4"/>
  <c r="R335" i="4"/>
  <c r="S335" i="4"/>
  <c r="U335" i="4"/>
  <c r="V335" i="4" s="1"/>
  <c r="AA335" i="4"/>
  <c r="U347" i="4"/>
  <c r="V347" i="4" s="1"/>
  <c r="R347" i="4"/>
  <c r="S347" i="4"/>
  <c r="AA347" i="4"/>
  <c r="W347" i="4"/>
  <c r="S338" i="4"/>
  <c r="U338" i="4"/>
  <c r="V338" i="4" s="1"/>
  <c r="AA338" i="4"/>
  <c r="W338" i="4"/>
  <c r="R338" i="4"/>
  <c r="AA336" i="4"/>
  <c r="W336" i="4"/>
  <c r="R336" i="4"/>
  <c r="S336" i="4"/>
  <c r="U336" i="4"/>
  <c r="V336" i="4" s="1"/>
  <c r="U343" i="4"/>
  <c r="V343" i="4" s="1"/>
  <c r="AA343" i="4"/>
  <c r="W343" i="4"/>
  <c r="R343" i="4"/>
  <c r="S343" i="4"/>
  <c r="N173" i="22"/>
  <c r="M173" i="22"/>
  <c r="L173" i="22"/>
  <c r="Q237" i="22"/>
  <c r="T237" i="22"/>
  <c r="Q143" i="22"/>
  <c r="T143" i="22"/>
  <c r="M312" i="22"/>
  <c r="L312" i="22"/>
  <c r="N312" i="22"/>
  <c r="T99" i="22"/>
  <c r="Q99" i="22"/>
  <c r="Q115" i="22"/>
  <c r="T115" i="22"/>
  <c r="N193" i="22"/>
  <c r="L193" i="22"/>
  <c r="M193" i="22"/>
  <c r="N214" i="22"/>
  <c r="L214" i="22"/>
  <c r="M214" i="22"/>
  <c r="T103" i="22"/>
  <c r="Q103" i="22"/>
  <c r="M210" i="22"/>
  <c r="L210" i="22"/>
  <c r="N210" i="22"/>
  <c r="N229" i="22"/>
  <c r="L229" i="22"/>
  <c r="M229" i="22"/>
  <c r="N247" i="22"/>
  <c r="M247" i="22"/>
  <c r="L247" i="22"/>
  <c r="T119" i="22"/>
  <c r="Q119" i="22"/>
  <c r="T72" i="22"/>
  <c r="Q72" i="22"/>
  <c r="N230" i="22"/>
  <c r="M230" i="22"/>
  <c r="L230" i="22"/>
  <c r="N250" i="22"/>
  <c r="M250" i="22"/>
  <c r="L250" i="22"/>
  <c r="T58" i="22"/>
  <c r="Q58" i="22"/>
  <c r="N73" i="22"/>
  <c r="M73" i="22"/>
  <c r="L73" i="22"/>
  <c r="T251" i="22"/>
  <c r="Q251" i="22"/>
  <c r="Q170" i="22"/>
  <c r="T170" i="22"/>
  <c r="J98" i="22"/>
  <c r="K98" i="22" s="1"/>
  <c r="S98" i="22"/>
  <c r="W98" i="22"/>
  <c r="W350" i="22" s="1"/>
  <c r="W351" i="22" s="1"/>
  <c r="AA98" i="22"/>
  <c r="R98" i="22"/>
  <c r="U98" i="22"/>
  <c r="V98" i="22" s="1"/>
  <c r="O98" i="22"/>
  <c r="P98" i="22" s="1"/>
  <c r="N197" i="22"/>
  <c r="M197" i="22"/>
  <c r="L197" i="22"/>
  <c r="Q118" i="22"/>
  <c r="T118" i="22"/>
  <c r="M287" i="22"/>
  <c r="L287" i="22"/>
  <c r="N287" i="22"/>
  <c r="T129" i="22"/>
  <c r="Q129" i="22"/>
  <c r="N269" i="22"/>
  <c r="M269" i="22"/>
  <c r="L269" i="22"/>
  <c r="M203" i="22"/>
  <c r="L203" i="22"/>
  <c r="N203" i="22"/>
  <c r="Q113" i="22"/>
  <c r="T113" i="22"/>
  <c r="T231" i="22"/>
  <c r="Q231" i="22"/>
  <c r="T162" i="22"/>
  <c r="Q162" i="22"/>
  <c r="Q124" i="22"/>
  <c r="T124" i="22"/>
  <c r="N324" i="22"/>
  <c r="L324" i="22"/>
  <c r="M324" i="22"/>
  <c r="N189" i="22"/>
  <c r="M189" i="22"/>
  <c r="L189" i="22"/>
  <c r="L327" i="22"/>
  <c r="N327" i="22"/>
  <c r="M327" i="22"/>
  <c r="T313" i="22"/>
  <c r="Q313" i="22"/>
  <c r="T145" i="22"/>
  <c r="Q145" i="22"/>
  <c r="N192" i="22"/>
  <c r="M192" i="22"/>
  <c r="L192" i="22"/>
  <c r="T228" i="22"/>
  <c r="Q228" i="22"/>
  <c r="T74" i="22"/>
  <c r="Q74" i="22"/>
  <c r="L45" i="22"/>
  <c r="N45" i="22"/>
  <c r="M45" i="22"/>
  <c r="T312" i="22"/>
  <c r="Q312" i="22"/>
  <c r="T196" i="22"/>
  <c r="Q196" i="22"/>
  <c r="L158" i="22"/>
  <c r="N158" i="22"/>
  <c r="M158" i="22"/>
  <c r="N337" i="22"/>
  <c r="M337" i="22"/>
  <c r="L337" i="22"/>
  <c r="L340" i="22"/>
  <c r="N340" i="22"/>
  <c r="M340" i="22"/>
  <c r="Q270" i="22"/>
  <c r="T270" i="22"/>
  <c r="N282" i="22"/>
  <c r="M282" i="22"/>
  <c r="L282" i="22"/>
  <c r="Q68" i="22"/>
  <c r="T68" i="22"/>
  <c r="L94" i="22"/>
  <c r="N94" i="22"/>
  <c r="M94" i="22"/>
  <c r="T328" i="22"/>
  <c r="Q328" i="22"/>
  <c r="M159" i="22"/>
  <c r="N159" i="22"/>
  <c r="L159" i="22"/>
  <c r="L21" i="22"/>
  <c r="N21" i="22"/>
  <c r="M21" i="22"/>
  <c r="M183" i="22"/>
  <c r="L183" i="22"/>
  <c r="N183" i="22"/>
  <c r="T308" i="22"/>
  <c r="Q308" i="22"/>
  <c r="T61" i="22"/>
  <c r="Q61" i="22"/>
  <c r="Q139" i="22"/>
  <c r="T139" i="22"/>
  <c r="U36" i="22"/>
  <c r="V36" i="22" s="1"/>
  <c r="T36" i="22"/>
  <c r="Q36" i="22"/>
  <c r="T219" i="22"/>
  <c r="Q219" i="22"/>
  <c r="T192" i="22"/>
  <c r="Q192" i="22"/>
  <c r="Q163" i="22"/>
  <c r="T163" i="22"/>
  <c r="M161" i="22"/>
  <c r="L161" i="22"/>
  <c r="N161" i="22"/>
  <c r="T242" i="22"/>
  <c r="Q242" i="22"/>
  <c r="M254" i="22"/>
  <c r="N254" i="22"/>
  <c r="L254" i="22"/>
  <c r="M265" i="22"/>
  <c r="L265" i="22"/>
  <c r="N265" i="22"/>
  <c r="Q229" i="22"/>
  <c r="T229" i="22"/>
  <c r="N200" i="22"/>
  <c r="M200" i="22"/>
  <c r="L200" i="22"/>
  <c r="N294" i="22"/>
  <c r="M294" i="22"/>
  <c r="L294" i="22"/>
  <c r="N234" i="22"/>
  <c r="L234" i="22"/>
  <c r="M234" i="22"/>
  <c r="Q278" i="22"/>
  <c r="T278" i="22"/>
  <c r="Q337" i="22"/>
  <c r="T337" i="22"/>
  <c r="T243" i="22"/>
  <c r="Q243" i="22"/>
  <c r="T250" i="22"/>
  <c r="Q250" i="22"/>
  <c r="T256" i="22"/>
  <c r="Q256" i="22"/>
  <c r="N236" i="22"/>
  <c r="M236" i="22"/>
  <c r="L236" i="22"/>
  <c r="T42" i="22"/>
  <c r="U42" i="22"/>
  <c r="V42" i="22" s="1"/>
  <c r="Q42" i="22"/>
  <c r="N72" i="22"/>
  <c r="M72" i="22"/>
  <c r="L72" i="22"/>
  <c r="T292" i="22"/>
  <c r="Q292" i="22"/>
  <c r="M332" i="22"/>
  <c r="L332" i="22"/>
  <c r="N332" i="22"/>
  <c r="N177" i="22"/>
  <c r="M177" i="22"/>
  <c r="L177" i="22"/>
  <c r="M107" i="22"/>
  <c r="N107" i="22"/>
  <c r="L107" i="22"/>
  <c r="N48" i="22"/>
  <c r="L48" i="22"/>
  <c r="M48" i="22"/>
  <c r="Q264" i="22"/>
  <c r="T264" i="22"/>
  <c r="N129" i="22"/>
  <c r="L129" i="22"/>
  <c r="M129" i="22"/>
  <c r="Q269" i="22"/>
  <c r="T269" i="22"/>
  <c r="Q201" i="22"/>
  <c r="T201" i="22"/>
  <c r="T262" i="22"/>
  <c r="Q262" i="22"/>
  <c r="Q301" i="22"/>
  <c r="T301" i="22"/>
  <c r="N202" i="22"/>
  <c r="L202" i="22"/>
  <c r="M202" i="22"/>
  <c r="T41" i="22"/>
  <c r="Q41" i="22"/>
  <c r="U41" i="22"/>
  <c r="V41" i="22" s="1"/>
  <c r="T28" i="22"/>
  <c r="U28" i="22"/>
  <c r="V28" i="22" s="1"/>
  <c r="Q28" i="22"/>
  <c r="T200" i="22"/>
  <c r="Q200" i="22"/>
  <c r="L42" i="22"/>
  <c r="N42" i="22"/>
  <c r="M42" i="22"/>
  <c r="N240" i="22"/>
  <c r="M240" i="22"/>
  <c r="L240" i="22"/>
  <c r="M292" i="22"/>
  <c r="L292" i="22"/>
  <c r="N292" i="22"/>
  <c r="Q342" i="22"/>
  <c r="T342" i="22"/>
  <c r="N130" i="22"/>
  <c r="M130" i="22"/>
  <c r="L130" i="22"/>
  <c r="M38" i="22"/>
  <c r="L38" i="22"/>
  <c r="N38" i="22"/>
  <c r="Q267" i="22"/>
  <c r="T267" i="22"/>
  <c r="T207" i="22"/>
  <c r="Q207" i="22"/>
  <c r="L276" i="22"/>
  <c r="M276" i="22"/>
  <c r="N276" i="22"/>
  <c r="T218" i="22"/>
  <c r="Q218" i="22"/>
  <c r="T133" i="22"/>
  <c r="Q133" i="22"/>
  <c r="L153" i="22"/>
  <c r="M153" i="22"/>
  <c r="N153" i="22"/>
  <c r="M123" i="22"/>
  <c r="L123" i="22"/>
  <c r="N123" i="22"/>
  <c r="M281" i="22"/>
  <c r="N281" i="22"/>
  <c r="L281" i="22"/>
  <c r="Q128" i="22"/>
  <c r="T128" i="22"/>
  <c r="Q294" i="22"/>
  <c r="T294" i="22"/>
  <c r="M23" i="22"/>
  <c r="N23" i="22"/>
  <c r="L23" i="22"/>
  <c r="M147" i="22"/>
  <c r="L147" i="22"/>
  <c r="N147" i="22"/>
  <c r="M235" i="22"/>
  <c r="L235" i="22"/>
  <c r="N235" i="22"/>
  <c r="Q198" i="22"/>
  <c r="T198" i="22"/>
  <c r="N286" i="22"/>
  <c r="M286" i="22"/>
  <c r="L286" i="22"/>
  <c r="M278" i="22"/>
  <c r="L278" i="22"/>
  <c r="N278" i="22"/>
  <c r="M303" i="22"/>
  <c r="N303" i="22"/>
  <c r="L303" i="22"/>
  <c r="T271" i="22"/>
  <c r="Q271" i="22"/>
  <c r="M243" i="22"/>
  <c r="N243" i="22"/>
  <c r="L243" i="22"/>
  <c r="N155" i="22"/>
  <c r="L155" i="22"/>
  <c r="M155" i="22"/>
  <c r="Q315" i="22"/>
  <c r="T315" i="22"/>
  <c r="N191" i="22"/>
  <c r="M191" i="22"/>
  <c r="L191" i="22"/>
  <c r="M58" i="22"/>
  <c r="N58" i="22"/>
  <c r="L58" i="22"/>
  <c r="M110" i="22"/>
  <c r="L110" i="22"/>
  <c r="N110" i="22"/>
  <c r="N163" i="22"/>
  <c r="M163" i="22"/>
  <c r="L163" i="22"/>
  <c r="T177" i="22"/>
  <c r="Q177" i="22"/>
  <c r="T30" i="22"/>
  <c r="U30" i="22"/>
  <c r="V30" i="22" s="1"/>
  <c r="Q30" i="22"/>
  <c r="T150" i="22"/>
  <c r="Q150" i="22"/>
  <c r="T167" i="22"/>
  <c r="Q167" i="22"/>
  <c r="N290" i="22"/>
  <c r="M290" i="22"/>
  <c r="L290" i="22"/>
  <c r="N255" i="22"/>
  <c r="M255" i="22"/>
  <c r="L255" i="22"/>
  <c r="Q252" i="22"/>
  <c r="T252" i="22"/>
  <c r="N206" i="22"/>
  <c r="M206" i="22"/>
  <c r="L206" i="22"/>
  <c r="T102" i="22"/>
  <c r="Q102" i="22"/>
  <c r="M237" i="22"/>
  <c r="L237" i="22"/>
  <c r="N237" i="22"/>
  <c r="N157" i="22"/>
  <c r="L157" i="22"/>
  <c r="M157" i="22"/>
  <c r="M115" i="22"/>
  <c r="L115" i="22"/>
  <c r="N115" i="22"/>
  <c r="M91" i="22"/>
  <c r="L91" i="22"/>
  <c r="N91" i="22"/>
  <c r="N32" i="22"/>
  <c r="L32" i="22"/>
  <c r="M32" i="22"/>
  <c r="T23" i="22"/>
  <c r="Q23" i="22"/>
  <c r="T260" i="22"/>
  <c r="Q260" i="22"/>
  <c r="T291" i="22"/>
  <c r="Q291" i="22"/>
  <c r="T327" i="22"/>
  <c r="Q327" i="22"/>
  <c r="T175" i="22"/>
  <c r="Q175" i="22"/>
  <c r="L219" i="22"/>
  <c r="N219" i="22"/>
  <c r="M219" i="22"/>
  <c r="Q303" i="22"/>
  <c r="T303" i="22"/>
  <c r="Q253" i="22"/>
  <c r="T253" i="22"/>
  <c r="Q297" i="22"/>
  <c r="T297" i="22"/>
  <c r="N295" i="22"/>
  <c r="M295" i="22"/>
  <c r="L295" i="22"/>
  <c r="T316" i="22"/>
  <c r="Q316" i="22"/>
  <c r="T339" i="22"/>
  <c r="Q339" i="22"/>
  <c r="Q114" i="22"/>
  <c r="T114" i="22"/>
  <c r="T34" i="22"/>
  <c r="U34" i="22"/>
  <c r="V34" i="22" s="1"/>
  <c r="Q34" i="22"/>
  <c r="L251" i="22"/>
  <c r="N251" i="22"/>
  <c r="M251" i="22"/>
  <c r="N170" i="22"/>
  <c r="M170" i="22"/>
  <c r="L170" i="22"/>
  <c r="Q197" i="22"/>
  <c r="T197" i="22"/>
  <c r="Q302" i="22"/>
  <c r="T302" i="22"/>
  <c r="Q287" i="22"/>
  <c r="T287" i="22"/>
  <c r="T160" i="22"/>
  <c r="Q160" i="22"/>
  <c r="M120" i="22"/>
  <c r="N120" i="22"/>
  <c r="L120" i="22"/>
  <c r="T343" i="22"/>
  <c r="Q343" i="22"/>
  <c r="T323" i="22"/>
  <c r="Q323" i="22"/>
  <c r="T203" i="22"/>
  <c r="Q203" i="22"/>
  <c r="N184" i="22"/>
  <c r="M184" i="22"/>
  <c r="L184" i="22"/>
  <c r="T193" i="22"/>
  <c r="Q193" i="22"/>
  <c r="N330" i="22"/>
  <c r="L330" i="22"/>
  <c r="M330" i="22"/>
  <c r="N61" i="22"/>
  <c r="M61" i="22"/>
  <c r="L61" i="22"/>
  <c r="N131" i="22"/>
  <c r="M131" i="22"/>
  <c r="L131" i="22"/>
  <c r="M65" i="22"/>
  <c r="N65" i="22"/>
  <c r="L65" i="22"/>
  <c r="N325" i="22"/>
  <c r="M325" i="22"/>
  <c r="L325" i="22"/>
  <c r="Q169" i="22"/>
  <c r="T169" i="22"/>
  <c r="M288" i="22"/>
  <c r="N288" i="22"/>
  <c r="L288" i="22"/>
  <c r="Q140" i="22"/>
  <c r="T140" i="22"/>
  <c r="Q233" i="22"/>
  <c r="T233" i="22"/>
  <c r="M195" i="22"/>
  <c r="L195" i="22"/>
  <c r="N195" i="22"/>
  <c r="N179" i="22"/>
  <c r="M179" i="22"/>
  <c r="L179" i="22"/>
  <c r="N249" i="22"/>
  <c r="L249" i="22"/>
  <c r="M249" i="22"/>
  <c r="Q130" i="22"/>
  <c r="T130" i="22"/>
  <c r="T295" i="22"/>
  <c r="Q295" i="22"/>
  <c r="Q48" i="22"/>
  <c r="T48" i="22"/>
  <c r="M96" i="22"/>
  <c r="L96" i="22"/>
  <c r="N96" i="22"/>
  <c r="O93" i="22"/>
  <c r="P93" i="22" s="1"/>
  <c r="U93" i="22"/>
  <c r="V93" i="22" s="1"/>
  <c r="AA93" i="22"/>
  <c r="S93" i="22"/>
  <c r="S350" i="22" s="1"/>
  <c r="S351" i="22" s="1"/>
  <c r="R93" i="22"/>
  <c r="R350" i="22" s="1"/>
  <c r="R351" i="22" s="1"/>
  <c r="J93" i="22"/>
  <c r="K93" i="22" s="1"/>
  <c r="N321" i="22"/>
  <c r="L321" i="22"/>
  <c r="M321" i="22"/>
  <c r="T171" i="22"/>
  <c r="Q171" i="22"/>
  <c r="N322" i="22"/>
  <c r="M322" i="22"/>
  <c r="L322" i="22"/>
  <c r="L204" i="22"/>
  <c r="N204" i="22"/>
  <c r="M204" i="22"/>
  <c r="Q259" i="22"/>
  <c r="T259" i="22"/>
  <c r="S326" i="22"/>
  <c r="R326" i="22"/>
  <c r="W326" i="22"/>
  <c r="J326" i="22"/>
  <c r="K326" i="22" s="1"/>
  <c r="O326" i="22"/>
  <c r="P326" i="22" s="1"/>
  <c r="AA326" i="22"/>
  <c r="U326" i="22"/>
  <c r="V326" i="22" s="1"/>
  <c r="M41" i="22"/>
  <c r="N41" i="22"/>
  <c r="L41" i="22"/>
  <c r="N293" i="22"/>
  <c r="M293" i="22"/>
  <c r="L293" i="22"/>
  <c r="T210" i="22"/>
  <c r="Q210" i="22"/>
  <c r="Q122" i="22"/>
  <c r="T122" i="22"/>
  <c r="T235" i="22"/>
  <c r="Q235" i="22"/>
  <c r="L304" i="22"/>
  <c r="M304" i="22"/>
  <c r="N304" i="22"/>
  <c r="T121" i="22"/>
  <c r="Q121" i="22"/>
  <c r="N145" i="22"/>
  <c r="M145" i="22"/>
  <c r="L145" i="22"/>
  <c r="T84" i="22"/>
  <c r="Q84" i="22"/>
  <c r="N148" i="22"/>
  <c r="M148" i="22"/>
  <c r="L148" i="22"/>
  <c r="T206" i="22"/>
  <c r="Q206" i="22"/>
  <c r="L46" i="22"/>
  <c r="N46" i="22"/>
  <c r="M46" i="22"/>
  <c r="T238" i="22"/>
  <c r="Q238" i="22"/>
  <c r="N299" i="22"/>
  <c r="M299" i="22"/>
  <c r="L299" i="22"/>
  <c r="Q108" i="22"/>
  <c r="T108" i="22"/>
  <c r="L84" i="22"/>
  <c r="M84" i="22"/>
  <c r="N84" i="22"/>
  <c r="T226" i="22"/>
  <c r="Q226" i="22"/>
  <c r="N307" i="22"/>
  <c r="L307" i="22"/>
  <c r="M307" i="22"/>
  <c r="N68" i="22"/>
  <c r="M68" i="22"/>
  <c r="L68" i="22"/>
  <c r="T263" i="22"/>
  <c r="Q263" i="22"/>
  <c r="N252" i="22"/>
  <c r="M252" i="22"/>
  <c r="L252" i="22"/>
  <c r="M50" i="22"/>
  <c r="L50" i="22"/>
  <c r="N50" i="22"/>
  <c r="N233" i="22"/>
  <c r="M233" i="22"/>
  <c r="L233" i="22"/>
  <c r="Q161" i="22"/>
  <c r="T161" i="22"/>
  <c r="T38" i="22"/>
  <c r="U38" i="22"/>
  <c r="V38" i="22" s="1"/>
  <c r="Q38" i="22"/>
  <c r="N133" i="22"/>
  <c r="M133" i="22"/>
  <c r="L133" i="22"/>
  <c r="T254" i="22"/>
  <c r="Q254" i="22"/>
  <c r="N266" i="22"/>
  <c r="M266" i="22"/>
  <c r="L266" i="22"/>
  <c r="T127" i="22"/>
  <c r="Q127" i="22"/>
  <c r="Q132" i="22"/>
  <c r="T132" i="22"/>
  <c r="M137" i="22"/>
  <c r="L137" i="22"/>
  <c r="N137" i="22"/>
  <c r="N267" i="22"/>
  <c r="L267" i="22"/>
  <c r="M267" i="22"/>
  <c r="Q248" i="22"/>
  <c r="T248" i="22"/>
  <c r="M275" i="22"/>
  <c r="L275" i="22"/>
  <c r="N275" i="22"/>
  <c r="T86" i="22"/>
  <c r="Q86" i="22"/>
  <c r="T227" i="22"/>
  <c r="Q227" i="22"/>
  <c r="M301" i="22"/>
  <c r="N301" i="22"/>
  <c r="L301" i="22"/>
  <c r="T80" i="22"/>
  <c r="Q80" i="22"/>
  <c r="N238" i="22"/>
  <c r="L238" i="22"/>
  <c r="M238" i="22"/>
  <c r="N331" i="22"/>
  <c r="M331" i="22"/>
  <c r="L331" i="22"/>
  <c r="Q59" i="22"/>
  <c r="T59" i="22"/>
  <c r="N211" i="22"/>
  <c r="M211" i="22"/>
  <c r="L211" i="22"/>
  <c r="T214" i="22"/>
  <c r="Q214" i="22"/>
  <c r="N212" i="22"/>
  <c r="M212" i="22"/>
  <c r="L212" i="22"/>
  <c r="M141" i="22"/>
  <c r="L141" i="22"/>
  <c r="N141" i="22"/>
  <c r="N319" i="22"/>
  <c r="M319" i="22"/>
  <c r="L319" i="22"/>
  <c r="M242" i="22"/>
  <c r="L242" i="22"/>
  <c r="N242" i="22"/>
  <c r="T54" i="22"/>
  <c r="Q54" i="22"/>
  <c r="M347" i="22"/>
  <c r="L347" i="22"/>
  <c r="N347" i="22"/>
  <c r="Q116" i="22"/>
  <c r="T116" i="22"/>
  <c r="Q189" i="22"/>
  <c r="T189" i="22"/>
  <c r="Q293" i="22"/>
  <c r="T293" i="22"/>
  <c r="T331" i="22"/>
  <c r="Q331" i="22"/>
  <c r="N336" i="22"/>
  <c r="M336" i="22"/>
  <c r="L336" i="22"/>
  <c r="M143" i="22"/>
  <c r="N143" i="22"/>
  <c r="L143" i="22"/>
  <c r="T212" i="22"/>
  <c r="Q212" i="22"/>
  <c r="L53" i="22"/>
  <c r="N53" i="22"/>
  <c r="M53" i="22"/>
  <c r="T131" i="22"/>
  <c r="Q131" i="22"/>
  <c r="Q185" i="22"/>
  <c r="T185" i="22"/>
  <c r="M119" i="22"/>
  <c r="L119" i="22"/>
  <c r="N119" i="22"/>
  <c r="M122" i="22"/>
  <c r="L122" i="22"/>
  <c r="N122" i="22"/>
  <c r="U32" i="22"/>
  <c r="V32" i="22" s="1"/>
  <c r="T32" i="22"/>
  <c r="Q32" i="22"/>
  <c r="Q147" i="22"/>
  <c r="T147" i="22"/>
  <c r="M320" i="22"/>
  <c r="L320" i="22"/>
  <c r="N320" i="22"/>
  <c r="Q225" i="22"/>
  <c r="T225" i="22"/>
  <c r="L142" i="22"/>
  <c r="N142" i="22"/>
  <c r="M142" i="22"/>
  <c r="Q249" i="22"/>
  <c r="T249" i="22"/>
  <c r="T317" i="22"/>
  <c r="Q317" i="22"/>
  <c r="Q105" i="22"/>
  <c r="T105" i="22"/>
  <c r="M85" i="22"/>
  <c r="L85" i="22"/>
  <c r="N85" i="22"/>
  <c r="N228" i="22"/>
  <c r="M228" i="22"/>
  <c r="L228" i="22"/>
  <c r="L315" i="22"/>
  <c r="N315" i="22"/>
  <c r="M315" i="22"/>
  <c r="T191" i="22"/>
  <c r="Q191" i="22"/>
  <c r="N339" i="22"/>
  <c r="M339" i="22"/>
  <c r="L339" i="22"/>
  <c r="N101" i="22"/>
  <c r="L101" i="22"/>
  <c r="M101" i="22"/>
  <c r="T70" i="22"/>
  <c r="Q70" i="22"/>
  <c r="T344" i="22"/>
  <c r="Q344" i="22"/>
  <c r="N338" i="22"/>
  <c r="M338" i="22"/>
  <c r="L338" i="22"/>
  <c r="T111" i="22"/>
  <c r="Q111" i="22"/>
  <c r="N66" i="22"/>
  <c r="M66" i="22"/>
  <c r="L66" i="22"/>
  <c r="N30" i="22"/>
  <c r="M30" i="22"/>
  <c r="L30" i="22"/>
  <c r="N81" i="22"/>
  <c r="L81" i="22"/>
  <c r="M81" i="22"/>
  <c r="M222" i="22"/>
  <c r="L222" i="22"/>
  <c r="N222" i="22"/>
  <c r="N264" i="22"/>
  <c r="M264" i="22"/>
  <c r="L264" i="22"/>
  <c r="M178" i="22"/>
  <c r="L178" i="22"/>
  <c r="N178" i="22"/>
  <c r="N140" i="22"/>
  <c r="L140" i="22"/>
  <c r="M140" i="22"/>
  <c r="N209" i="22"/>
  <c r="L209" i="22"/>
  <c r="M209" i="22"/>
  <c r="Q184" i="22"/>
  <c r="T184" i="22"/>
  <c r="Q289" i="22"/>
  <c r="T289" i="22"/>
  <c r="T187" i="22"/>
  <c r="Q187" i="22"/>
  <c r="T46" i="22"/>
  <c r="Q46" i="22"/>
  <c r="N196" i="22"/>
  <c r="M196" i="22"/>
  <c r="L196" i="22"/>
  <c r="N284" i="22"/>
  <c r="M284" i="22"/>
  <c r="L284" i="22"/>
  <c r="Q334" i="22"/>
  <c r="T334" i="22"/>
  <c r="N185" i="22"/>
  <c r="M185" i="22"/>
  <c r="L185" i="22"/>
  <c r="T125" i="22"/>
  <c r="Q125" i="22"/>
  <c r="L270" i="22"/>
  <c r="M270" i="22"/>
  <c r="N270" i="22"/>
  <c r="T282" i="22"/>
  <c r="Q282" i="22"/>
  <c r="T57" i="22"/>
  <c r="Q57" i="22"/>
  <c r="T335" i="22"/>
  <c r="Q335" i="22"/>
  <c r="T123" i="22"/>
  <c r="Q123" i="22"/>
  <c r="T183" i="22"/>
  <c r="Q183" i="22"/>
  <c r="S146" i="22"/>
  <c r="R146" i="22"/>
  <c r="O146" i="22"/>
  <c r="P146" i="22" s="1"/>
  <c r="W146" i="22"/>
  <c r="U146" i="22"/>
  <c r="V146" i="22" s="1"/>
  <c r="AA146" i="22"/>
  <c r="J146" i="22"/>
  <c r="K146" i="22" s="1"/>
  <c r="T284" i="22"/>
  <c r="Q284" i="22"/>
  <c r="M128" i="22"/>
  <c r="N128" i="22"/>
  <c r="L128" i="22"/>
  <c r="T247" i="22"/>
  <c r="Q247" i="22"/>
  <c r="Q65" i="22"/>
  <c r="T65" i="22"/>
  <c r="N258" i="22"/>
  <c r="M258" i="22"/>
  <c r="L258" i="22"/>
  <c r="T246" i="22"/>
  <c r="Q246" i="22"/>
  <c r="Q307" i="22"/>
  <c r="T307" i="22"/>
  <c r="Q157" i="22"/>
  <c r="T157" i="22"/>
  <c r="M106" i="22"/>
  <c r="L106" i="22"/>
  <c r="N106" i="22"/>
  <c r="L138" i="22"/>
  <c r="N138" i="22"/>
  <c r="M138" i="22"/>
  <c r="M226" i="22"/>
  <c r="N226" i="22"/>
  <c r="L226" i="22"/>
  <c r="M132" i="22"/>
  <c r="N132" i="22"/>
  <c r="L132" i="22"/>
  <c r="M262" i="22"/>
  <c r="L262" i="22"/>
  <c r="N262" i="22"/>
  <c r="Q96" i="22"/>
  <c r="T96" i="22"/>
  <c r="N117" i="22"/>
  <c r="L117" i="22"/>
  <c r="M117" i="22"/>
  <c r="M126" i="22"/>
  <c r="N126" i="22"/>
  <c r="L126" i="22"/>
  <c r="M316" i="22"/>
  <c r="L316" i="22"/>
  <c r="N316" i="22"/>
  <c r="L215" i="22"/>
  <c r="N215" i="22"/>
  <c r="M215" i="22"/>
  <c r="M108" i="22"/>
  <c r="L108" i="22"/>
  <c r="N108" i="22"/>
  <c r="T135" i="22"/>
  <c r="Q135" i="22"/>
  <c r="Q322" i="22"/>
  <c r="T322" i="22"/>
  <c r="M167" i="22"/>
  <c r="L167" i="22"/>
  <c r="N167" i="22"/>
  <c r="L263" i="22"/>
  <c r="N263" i="22"/>
  <c r="M263" i="22"/>
  <c r="M259" i="22"/>
  <c r="L259" i="22"/>
  <c r="N259" i="22"/>
  <c r="Q159" i="22"/>
  <c r="T159" i="22"/>
  <c r="N201" i="22"/>
  <c r="L201" i="22"/>
  <c r="M201" i="22"/>
  <c r="T281" i="22"/>
  <c r="Q281" i="22"/>
  <c r="T91" i="22"/>
  <c r="Q91" i="22"/>
  <c r="N121" i="22"/>
  <c r="L121" i="22"/>
  <c r="M121" i="22"/>
  <c r="Q182" i="22"/>
  <c r="T182" i="22"/>
  <c r="N342" i="22"/>
  <c r="M342" i="22"/>
  <c r="L342" i="22"/>
  <c r="N256" i="22"/>
  <c r="M256" i="22"/>
  <c r="L256" i="22"/>
  <c r="Q338" i="22"/>
  <c r="T338" i="22"/>
  <c r="T280" i="22"/>
  <c r="Q280" i="22"/>
  <c r="T45" i="22"/>
  <c r="Q45" i="22"/>
  <c r="N248" i="22"/>
  <c r="M248" i="22"/>
  <c r="L248" i="22"/>
  <c r="Q306" i="22"/>
  <c r="T306" i="22"/>
  <c r="N335" i="22"/>
  <c r="M335" i="22"/>
  <c r="L335" i="22"/>
  <c r="T62" i="22"/>
  <c r="Q62" i="22"/>
  <c r="N232" i="22"/>
  <c r="M232" i="22"/>
  <c r="L232" i="22"/>
  <c r="T275" i="22"/>
  <c r="Q275" i="22"/>
  <c r="M54" i="22"/>
  <c r="N54" i="22"/>
  <c r="L54" i="22"/>
  <c r="N162" i="22"/>
  <c r="M162" i="22"/>
  <c r="L162" i="22"/>
  <c r="T347" i="22"/>
  <c r="Q347" i="22"/>
  <c r="N279" i="22"/>
  <c r="L279" i="22"/>
  <c r="M279" i="22"/>
  <c r="N49" i="22"/>
  <c r="M49" i="22"/>
  <c r="L49" i="22"/>
  <c r="N333" i="22"/>
  <c r="M333" i="22"/>
  <c r="L333" i="22"/>
  <c r="M124" i="22"/>
  <c r="N124" i="22"/>
  <c r="L124" i="22"/>
  <c r="T265" i="22"/>
  <c r="Q265" i="22"/>
  <c r="T266" i="22"/>
  <c r="Q266" i="22"/>
  <c r="L205" i="22"/>
  <c r="N205" i="22"/>
  <c r="M205" i="22"/>
  <c r="T109" i="22"/>
  <c r="Q109" i="22"/>
  <c r="T142" i="22"/>
  <c r="Q142" i="22"/>
  <c r="T230" i="22"/>
  <c r="Q230" i="22"/>
  <c r="M313" i="22"/>
  <c r="N313" i="22"/>
  <c r="L313" i="22"/>
  <c r="L4" i="22"/>
  <c r="N4" i="22"/>
  <c r="M4" i="22"/>
  <c r="T85" i="22"/>
  <c r="Q85" i="22"/>
  <c r="L253" i="22"/>
  <c r="N253" i="22"/>
  <c r="M253" i="22"/>
  <c r="Q190" i="22"/>
  <c r="T190" i="22"/>
  <c r="N246" i="22"/>
  <c r="L246" i="22"/>
  <c r="M246" i="22"/>
  <c r="L348" i="22"/>
  <c r="M348" i="22"/>
  <c r="N348" i="22"/>
  <c r="T101" i="22"/>
  <c r="Q101" i="22"/>
  <c r="N135" i="22"/>
  <c r="M135" i="22"/>
  <c r="L135" i="22"/>
  <c r="N217" i="22"/>
  <c r="M217" i="22"/>
  <c r="L217" i="22"/>
  <c r="N298" i="22"/>
  <c r="M298" i="22"/>
  <c r="L298" i="22"/>
  <c r="T66" i="22"/>
  <c r="Q66" i="22"/>
  <c r="T81" i="22"/>
  <c r="Q81" i="22"/>
  <c r="T222" i="22"/>
  <c r="Q222" i="22"/>
  <c r="N172" i="22"/>
  <c r="M172" i="22"/>
  <c r="L172" i="22"/>
  <c r="M118" i="22"/>
  <c r="N118" i="22"/>
  <c r="L118" i="22"/>
  <c r="Q178" i="22"/>
  <c r="T178" i="22"/>
  <c r="T288" i="22"/>
  <c r="Q288" i="22"/>
  <c r="N60" i="22"/>
  <c r="M60" i="22"/>
  <c r="L60" i="22"/>
  <c r="N341" i="22"/>
  <c r="M341" i="22"/>
  <c r="L341" i="22"/>
  <c r="M343" i="22"/>
  <c r="L343" i="22"/>
  <c r="N343" i="22"/>
  <c r="Q209" i="22"/>
  <c r="T209" i="22"/>
  <c r="N289" i="22"/>
  <c r="M289" i="22"/>
  <c r="L289" i="22"/>
  <c r="T236" i="22"/>
  <c r="Q236" i="22"/>
  <c r="N8" i="22"/>
  <c r="M8" i="22"/>
  <c r="L8" i="22"/>
  <c r="M218" i="22"/>
  <c r="L218" i="22"/>
  <c r="N218" i="22"/>
  <c r="N187" i="22"/>
  <c r="M187" i="22"/>
  <c r="L187" i="22"/>
  <c r="N207" i="22"/>
  <c r="L207" i="22"/>
  <c r="M207" i="22"/>
  <c r="M99" i="22"/>
  <c r="N99" i="22"/>
  <c r="L99" i="22"/>
  <c r="M86" i="22"/>
  <c r="L86" i="22"/>
  <c r="N86" i="22"/>
  <c r="O199" i="22"/>
  <c r="P199" i="22" s="1"/>
  <c r="J199" i="22"/>
  <c r="K199" i="22" s="1"/>
  <c r="W199" i="22"/>
  <c r="U199" i="22"/>
  <c r="V199" i="22" s="1"/>
  <c r="S199" i="22"/>
  <c r="R199" i="22"/>
  <c r="AA199" i="22"/>
  <c r="Q279" i="22"/>
  <c r="T279" i="22"/>
  <c r="T49" i="22"/>
  <c r="Q49" i="22"/>
  <c r="Q158" i="22"/>
  <c r="T158" i="22"/>
  <c r="N244" i="22"/>
  <c r="M244" i="22"/>
  <c r="L244" i="22"/>
  <c r="N59" i="22"/>
  <c r="M59" i="22"/>
  <c r="L59" i="22"/>
  <c r="M103" i="22"/>
  <c r="N103" i="22"/>
  <c r="L103" i="22"/>
  <c r="T53" i="22"/>
  <c r="Q53" i="22"/>
  <c r="N139" i="22"/>
  <c r="M139" i="22"/>
  <c r="L139" i="22"/>
  <c r="T141" i="22"/>
  <c r="Q141" i="22"/>
  <c r="T82" i="22"/>
  <c r="Q82" i="22"/>
  <c r="M152" i="22"/>
  <c r="N152" i="22"/>
  <c r="L152" i="22"/>
  <c r="T320" i="22"/>
  <c r="Q320" i="22"/>
  <c r="N260" i="22"/>
  <c r="M260" i="22"/>
  <c r="L260" i="22"/>
  <c r="T179" i="22"/>
  <c r="Q179" i="22"/>
  <c r="M291" i="22"/>
  <c r="L291" i="22"/>
  <c r="N291" i="22"/>
  <c r="T286" i="22"/>
  <c r="Q286" i="22"/>
  <c r="T138" i="22"/>
  <c r="Q138" i="22"/>
  <c r="T321" i="22"/>
  <c r="Q321" i="22"/>
  <c r="N105" i="22"/>
  <c r="M105" i="22"/>
  <c r="L105" i="22"/>
  <c r="Q126" i="22"/>
  <c r="T126" i="22"/>
  <c r="T155" i="22"/>
  <c r="Q155" i="22"/>
  <c r="N144" i="22"/>
  <c r="L144" i="22"/>
  <c r="M144" i="22"/>
  <c r="T215" i="22"/>
  <c r="Q215" i="22"/>
  <c r="M70" i="22"/>
  <c r="N70" i="22"/>
  <c r="L70" i="22"/>
  <c r="N34" i="22"/>
  <c r="M34" i="22"/>
  <c r="L34" i="22"/>
  <c r="T298" i="22"/>
  <c r="Q298" i="22"/>
  <c r="L344" i="22"/>
  <c r="N344" i="22"/>
  <c r="M344" i="22"/>
  <c r="Q221" i="22"/>
  <c r="T221" i="22"/>
  <c r="N75" i="22"/>
  <c r="M75" i="22"/>
  <c r="L75" i="22"/>
  <c r="Q60" i="22"/>
  <c r="T60" i="22"/>
  <c r="Q120" i="22"/>
  <c r="T120" i="22"/>
  <c r="T204" i="22"/>
  <c r="Q204" i="22"/>
  <c r="N323" i="22"/>
  <c r="M323" i="22"/>
  <c r="L323" i="22"/>
  <c r="N57" i="22"/>
  <c r="M57" i="22"/>
  <c r="L57" i="22"/>
  <c r="M102" i="22"/>
  <c r="N102" i="22"/>
  <c r="L102" i="22"/>
  <c r="Q180" i="22"/>
  <c r="T180" i="22"/>
  <c r="T300" i="22"/>
  <c r="Q300" i="22"/>
  <c r="T106" i="22"/>
  <c r="Q106" i="22"/>
  <c r="T152" i="22"/>
  <c r="Q152" i="22"/>
  <c r="L317" i="22"/>
  <c r="N317" i="22"/>
  <c r="M317" i="22"/>
  <c r="T299" i="22"/>
  <c r="Q299" i="22"/>
  <c r="M104" i="22"/>
  <c r="N104" i="22"/>
  <c r="L104" i="22"/>
  <c r="N171" i="22"/>
  <c r="L171" i="22"/>
  <c r="M171" i="22"/>
  <c r="T75" i="22"/>
  <c r="Q75" i="22"/>
  <c r="N127" i="22"/>
  <c r="M127" i="22"/>
  <c r="L127" i="22"/>
  <c r="T276" i="22"/>
  <c r="Q276" i="22"/>
  <c r="T333" i="22"/>
  <c r="Q333" i="22"/>
  <c r="T324" i="22"/>
  <c r="Q324" i="22"/>
  <c r="Q330" i="22"/>
  <c r="T330" i="22"/>
  <c r="Q205" i="22"/>
  <c r="T205" i="22"/>
  <c r="T173" i="22"/>
  <c r="Q173" i="22"/>
  <c r="T234" i="22"/>
  <c r="Q234" i="22"/>
  <c r="N36" i="22"/>
  <c r="L36" i="22"/>
  <c r="M36" i="22"/>
  <c r="T332" i="22"/>
  <c r="Q332" i="22"/>
  <c r="N125" i="22"/>
  <c r="L125" i="22"/>
  <c r="M125" i="22"/>
  <c r="Q110" i="22"/>
  <c r="T110" i="22"/>
  <c r="M111" i="22"/>
  <c r="N111" i="22"/>
  <c r="L111" i="22"/>
  <c r="L221" i="22"/>
  <c r="N221" i="22"/>
  <c r="M221" i="22"/>
  <c r="T290" i="22"/>
  <c r="Q290" i="22"/>
  <c r="Q341" i="22"/>
  <c r="T341" i="22"/>
  <c r="N280" i="22"/>
  <c r="M280" i="22"/>
  <c r="L280" i="22"/>
  <c r="T195" i="22"/>
  <c r="Q195" i="22"/>
  <c r="M300" i="22"/>
  <c r="N300" i="22"/>
  <c r="L300" i="22"/>
  <c r="N334" i="22"/>
  <c r="M334" i="22"/>
  <c r="L334" i="22"/>
  <c r="M188" i="22"/>
  <c r="L188" i="22"/>
  <c r="N188" i="22"/>
  <c r="N182" i="22"/>
  <c r="M182" i="22"/>
  <c r="L182" i="22"/>
  <c r="T340" i="22"/>
  <c r="Q340" i="22"/>
  <c r="L190" i="22"/>
  <c r="M190" i="22"/>
  <c r="N190" i="22"/>
  <c r="T10" i="22"/>
  <c r="Q10" i="22"/>
  <c r="T6" i="22"/>
  <c r="Q6" i="22"/>
  <c r="N231" i="22"/>
  <c r="M231" i="22"/>
  <c r="L231" i="22"/>
  <c r="M116" i="22"/>
  <c r="L116" i="22"/>
  <c r="N116" i="22"/>
  <c r="N28" i="22"/>
  <c r="L28" i="22"/>
  <c r="M28" i="22"/>
  <c r="T336" i="22"/>
  <c r="Q336" i="22"/>
  <c r="M82" i="22"/>
  <c r="L82" i="22"/>
  <c r="N82" i="22"/>
  <c r="N198" i="22"/>
  <c r="M198" i="22"/>
  <c r="L198" i="22"/>
  <c r="Q104" i="22"/>
  <c r="T104" i="22"/>
  <c r="Q73" i="22"/>
  <c r="T73" i="22"/>
  <c r="Q255" i="22"/>
  <c r="T255" i="22"/>
  <c r="L10" i="22"/>
  <c r="N10" i="22"/>
  <c r="M10" i="22"/>
  <c r="N180" i="22"/>
  <c r="M180" i="22"/>
  <c r="L180" i="22"/>
  <c r="N6" i="22"/>
  <c r="M6" i="22"/>
  <c r="L6" i="22"/>
  <c r="T153" i="22"/>
  <c r="Q153" i="22"/>
  <c r="T211" i="22"/>
  <c r="Q211" i="22"/>
  <c r="N225" i="22"/>
  <c r="M225" i="22"/>
  <c r="L225" i="22"/>
  <c r="T117" i="22"/>
  <c r="Q117" i="22"/>
  <c r="T112" i="22"/>
  <c r="Q112" i="22"/>
  <c r="T137" i="22"/>
  <c r="Q137" i="22"/>
  <c r="N245" i="22"/>
  <c r="L245" i="22"/>
  <c r="M245" i="22"/>
  <c r="M113" i="22"/>
  <c r="L113" i="22"/>
  <c r="N113" i="22"/>
  <c r="T319" i="22"/>
  <c r="Q319" i="22"/>
  <c r="Q245" i="22"/>
  <c r="T245" i="22"/>
  <c r="N306" i="22"/>
  <c r="L306" i="22"/>
  <c r="M306" i="22"/>
  <c r="M62" i="22"/>
  <c r="N62" i="22"/>
  <c r="L62" i="22"/>
  <c r="Q232" i="22"/>
  <c r="T232" i="22"/>
  <c r="N227" i="22"/>
  <c r="M227" i="22"/>
  <c r="L227" i="22"/>
  <c r="Q202" i="22"/>
  <c r="T202" i="22"/>
  <c r="L80" i="22"/>
  <c r="M80" i="22"/>
  <c r="N80" i="22"/>
  <c r="T21" i="22"/>
  <c r="Q21" i="22"/>
  <c r="T244" i="22"/>
  <c r="Q244" i="22"/>
  <c r="M308" i="22"/>
  <c r="N308" i="22"/>
  <c r="L308" i="22"/>
  <c r="T188" i="22"/>
  <c r="Q188" i="22"/>
  <c r="T304" i="22"/>
  <c r="Q304" i="22"/>
  <c r="L109" i="22"/>
  <c r="N109" i="22"/>
  <c r="M109" i="22"/>
  <c r="T240" i="22"/>
  <c r="Q240" i="22"/>
  <c r="N175" i="22"/>
  <c r="M175" i="22"/>
  <c r="L175" i="22"/>
  <c r="Q4" i="22"/>
  <c r="T4" i="22"/>
  <c r="M271" i="22"/>
  <c r="L271" i="22"/>
  <c r="N271" i="22"/>
  <c r="N297" i="22"/>
  <c r="M297" i="22"/>
  <c r="L297" i="22"/>
  <c r="T8" i="22"/>
  <c r="Q8" i="22"/>
  <c r="T258" i="22"/>
  <c r="Q258" i="22"/>
  <c r="M112" i="22"/>
  <c r="N112" i="22"/>
  <c r="L112" i="22"/>
  <c r="T144" i="22"/>
  <c r="Q144" i="22"/>
  <c r="M74" i="22"/>
  <c r="N74" i="22"/>
  <c r="L74" i="22"/>
  <c r="N114" i="22"/>
  <c r="L114" i="22"/>
  <c r="M114" i="22"/>
  <c r="Q325" i="22"/>
  <c r="T325" i="22"/>
  <c r="Q217" i="22"/>
  <c r="T217" i="22"/>
  <c r="T107" i="22"/>
  <c r="Q107" i="22"/>
  <c r="T148" i="22"/>
  <c r="Q148" i="22"/>
  <c r="L150" i="22"/>
  <c r="N150" i="22"/>
  <c r="M150" i="22"/>
  <c r="T172" i="22"/>
  <c r="Q172" i="22"/>
  <c r="N169" i="22"/>
  <c r="L169" i="22"/>
  <c r="M169" i="22"/>
  <c r="N302" i="22"/>
  <c r="L302" i="22"/>
  <c r="M302" i="22"/>
  <c r="Q94" i="22"/>
  <c r="T94" i="22"/>
  <c r="L160" i="22"/>
  <c r="N160" i="22"/>
  <c r="M160" i="22"/>
  <c r="N328" i="22"/>
  <c r="M328" i="22"/>
  <c r="L328" i="22"/>
  <c r="T50" i="22"/>
  <c r="Q50" i="22"/>
  <c r="J119" i="4"/>
  <c r="K119" i="4" s="1"/>
  <c r="O119" i="4"/>
  <c r="P119" i="4" s="1"/>
  <c r="T119" i="4" s="1"/>
  <c r="J343" i="4"/>
  <c r="K343" i="4" s="1"/>
  <c r="O343" i="4"/>
  <c r="P343" i="4" s="1"/>
  <c r="J241" i="4"/>
  <c r="K241" i="4" s="1"/>
  <c r="O241" i="4"/>
  <c r="P241" i="4" s="1"/>
  <c r="J44" i="4"/>
  <c r="K44" i="4" s="1"/>
  <c r="O44" i="4"/>
  <c r="P44" i="4" s="1"/>
  <c r="J277" i="4"/>
  <c r="K277" i="4" s="1"/>
  <c r="O277" i="4"/>
  <c r="P277" i="4" s="1"/>
  <c r="J243" i="4"/>
  <c r="K243" i="4" s="1"/>
  <c r="O243" i="4"/>
  <c r="P243" i="4" s="1"/>
  <c r="J138" i="4"/>
  <c r="K138" i="4" s="1"/>
  <c r="O138" i="4"/>
  <c r="P138" i="4" s="1"/>
  <c r="T138" i="4" s="1"/>
  <c r="J210" i="4"/>
  <c r="K210" i="4" s="1"/>
  <c r="O210" i="4"/>
  <c r="P210" i="4" s="1"/>
  <c r="J249" i="4"/>
  <c r="K249" i="4" s="1"/>
  <c r="O249" i="4"/>
  <c r="P249" i="4" s="1"/>
  <c r="J145" i="4"/>
  <c r="K145" i="4" s="1"/>
  <c r="O145" i="4"/>
  <c r="P145" i="4" s="1"/>
  <c r="T145" i="4" s="1"/>
  <c r="J64" i="4"/>
  <c r="K64" i="4" s="1"/>
  <c r="O64" i="4"/>
  <c r="P64" i="4" s="1"/>
  <c r="T64" i="4" s="1"/>
  <c r="J253" i="4"/>
  <c r="K253" i="4" s="1"/>
  <c r="O253" i="4"/>
  <c r="P253" i="4" s="1"/>
  <c r="J92" i="4"/>
  <c r="K92" i="4" s="1"/>
  <c r="O92" i="4"/>
  <c r="P92" i="4" s="1"/>
  <c r="T92" i="4" s="1"/>
  <c r="J317" i="4"/>
  <c r="K317" i="4" s="1"/>
  <c r="O317" i="4"/>
  <c r="P317" i="4" s="1"/>
  <c r="L27" i="4"/>
  <c r="N27" i="4"/>
  <c r="J240" i="4"/>
  <c r="K240" i="4" s="1"/>
  <c r="O240" i="4"/>
  <c r="P240" i="4" s="1"/>
  <c r="J301" i="4"/>
  <c r="K301" i="4" s="1"/>
  <c r="O301" i="4"/>
  <c r="P301" i="4" s="1"/>
  <c r="J156" i="4"/>
  <c r="K156" i="4" s="1"/>
  <c r="O156" i="4"/>
  <c r="P156" i="4" s="1"/>
  <c r="T156" i="4" s="1"/>
  <c r="J151" i="4"/>
  <c r="K151" i="4" s="1"/>
  <c r="O151" i="4"/>
  <c r="P151" i="4" s="1"/>
  <c r="T151" i="4" s="1"/>
  <c r="J248" i="4"/>
  <c r="K248" i="4" s="1"/>
  <c r="O248" i="4"/>
  <c r="P248" i="4" s="1"/>
  <c r="J68" i="4"/>
  <c r="K68" i="4" s="1"/>
  <c r="O68" i="4"/>
  <c r="P68" i="4" s="1"/>
  <c r="T68" i="4" s="1"/>
  <c r="J39" i="4"/>
  <c r="K39" i="4" s="1"/>
  <c r="O39" i="4"/>
  <c r="P39" i="4" s="1"/>
  <c r="J252" i="4"/>
  <c r="K252" i="4" s="1"/>
  <c r="O252" i="4"/>
  <c r="P252" i="4" s="1"/>
  <c r="J290" i="4"/>
  <c r="K290" i="4" s="1"/>
  <c r="O290" i="4"/>
  <c r="P290" i="4" s="1"/>
  <c r="J91" i="4"/>
  <c r="K91" i="4" s="1"/>
  <c r="O91" i="4"/>
  <c r="P91" i="4" s="1"/>
  <c r="T91" i="4" s="1"/>
  <c r="J20" i="4"/>
  <c r="K20" i="4" s="1"/>
  <c r="O20" i="4"/>
  <c r="P20" i="4" s="1"/>
  <c r="T20" i="4" s="1"/>
  <c r="J141" i="4"/>
  <c r="K141" i="4" s="1"/>
  <c r="O141" i="4"/>
  <c r="P141" i="4" s="1"/>
  <c r="T141" i="4" s="1"/>
  <c r="J189" i="4"/>
  <c r="K189" i="4" s="1"/>
  <c r="O189" i="4"/>
  <c r="P189" i="4" s="1"/>
  <c r="T189" i="4" s="1"/>
  <c r="J183" i="4"/>
  <c r="K183" i="4" s="1"/>
  <c r="O183" i="4"/>
  <c r="P183" i="4" s="1"/>
  <c r="T183" i="4" s="1"/>
  <c r="J272" i="4"/>
  <c r="K272" i="4" s="1"/>
  <c r="O272" i="4"/>
  <c r="P272" i="4" s="1"/>
  <c r="J170" i="4"/>
  <c r="K170" i="4" s="1"/>
  <c r="O170" i="4"/>
  <c r="P170" i="4" s="1"/>
  <c r="T170" i="4" s="1"/>
  <c r="J19" i="4"/>
  <c r="K19" i="4" s="1"/>
  <c r="O19" i="4"/>
  <c r="P19" i="4" s="1"/>
  <c r="T19" i="4" s="1"/>
  <c r="J55" i="4"/>
  <c r="K55" i="4" s="1"/>
  <c r="O55" i="4"/>
  <c r="P55" i="4" s="1"/>
  <c r="T55" i="4" s="1"/>
  <c r="J120" i="4"/>
  <c r="K120" i="4" s="1"/>
  <c r="O120" i="4"/>
  <c r="P120" i="4" s="1"/>
  <c r="T120" i="4" s="1"/>
  <c r="J14" i="4"/>
  <c r="K14" i="4" s="1"/>
  <c r="O14" i="4"/>
  <c r="P14" i="4" s="1"/>
  <c r="T14" i="4" s="1"/>
  <c r="J231" i="4"/>
  <c r="K231" i="4" s="1"/>
  <c r="O231" i="4"/>
  <c r="P231" i="4" s="1"/>
  <c r="J130" i="4"/>
  <c r="K130" i="4" s="1"/>
  <c r="O130" i="4"/>
  <c r="P130" i="4" s="1"/>
  <c r="J63" i="4"/>
  <c r="K63" i="4" s="1"/>
  <c r="O63" i="4"/>
  <c r="P63" i="4" s="1"/>
  <c r="T63" i="4" s="1"/>
  <c r="J257" i="4"/>
  <c r="K257" i="4" s="1"/>
  <c r="O257" i="4"/>
  <c r="P257" i="4" s="1"/>
  <c r="J182" i="4"/>
  <c r="K182" i="4" s="1"/>
  <c r="O182" i="4"/>
  <c r="P182" i="4" s="1"/>
  <c r="T182" i="4" s="1"/>
  <c r="J61" i="4"/>
  <c r="K61" i="4" s="1"/>
  <c r="O61" i="4"/>
  <c r="P61" i="4" s="1"/>
  <c r="T61" i="4" s="1"/>
  <c r="J43" i="4"/>
  <c r="K43" i="4" s="1"/>
  <c r="O43" i="4"/>
  <c r="P43" i="4" s="1"/>
  <c r="J333" i="4"/>
  <c r="K333" i="4" s="1"/>
  <c r="O333" i="4"/>
  <c r="P333" i="4" s="1"/>
  <c r="J69" i="4"/>
  <c r="K69" i="4" s="1"/>
  <c r="O69" i="4"/>
  <c r="P69" i="4" s="1"/>
  <c r="T69" i="4" s="1"/>
  <c r="J199" i="4"/>
  <c r="K199" i="4" s="1"/>
  <c r="O199" i="4"/>
  <c r="P199" i="4" s="1"/>
  <c r="J155" i="4"/>
  <c r="K155" i="4" s="1"/>
  <c r="O155" i="4"/>
  <c r="P155" i="4" s="1"/>
  <c r="T155" i="4" s="1"/>
  <c r="J137" i="4"/>
  <c r="K137" i="4" s="1"/>
  <c r="O137" i="4"/>
  <c r="P137" i="4" s="1"/>
  <c r="T137" i="4" s="1"/>
  <c r="J165" i="4"/>
  <c r="K165" i="4" s="1"/>
  <c r="O165" i="4"/>
  <c r="P165" i="4" s="1"/>
  <c r="T165" i="4" s="1"/>
  <c r="J314" i="4"/>
  <c r="K314" i="4" s="1"/>
  <c r="O314" i="4"/>
  <c r="P314" i="4" s="1"/>
  <c r="J149" i="4"/>
  <c r="K149" i="4" s="1"/>
  <c r="O149" i="4"/>
  <c r="P149" i="4" s="1"/>
  <c r="T149" i="4" s="1"/>
  <c r="J79" i="4"/>
  <c r="K79" i="4" s="1"/>
  <c r="O79" i="4"/>
  <c r="P79" i="4" s="1"/>
  <c r="T79" i="4" s="1"/>
  <c r="J140" i="4"/>
  <c r="K140" i="4" s="1"/>
  <c r="O140" i="4"/>
  <c r="P140" i="4" s="1"/>
  <c r="J34" i="4"/>
  <c r="K34" i="4" s="1"/>
  <c r="O34" i="4"/>
  <c r="P34" i="4" s="1"/>
  <c r="J104" i="4"/>
  <c r="K104" i="4" s="1"/>
  <c r="O104" i="4"/>
  <c r="P104" i="4" s="1"/>
  <c r="T104" i="4" s="1"/>
  <c r="J184" i="4"/>
  <c r="K184" i="4" s="1"/>
  <c r="O184" i="4"/>
  <c r="P184" i="4" s="1"/>
  <c r="T184" i="4" s="1"/>
  <c r="J269" i="4"/>
  <c r="K269" i="4" s="1"/>
  <c r="O269" i="4"/>
  <c r="P269" i="4" s="1"/>
  <c r="J258" i="4"/>
  <c r="K258" i="4" s="1"/>
  <c r="O258" i="4"/>
  <c r="P258" i="4" s="1"/>
  <c r="J307" i="4"/>
  <c r="K307" i="4" s="1"/>
  <c r="O307" i="4"/>
  <c r="P307" i="4" s="1"/>
  <c r="J23" i="4"/>
  <c r="K23" i="4" s="1"/>
  <c r="O23" i="4"/>
  <c r="P23" i="4" s="1"/>
  <c r="T23" i="4" s="1"/>
  <c r="J87" i="4"/>
  <c r="K87" i="4" s="1"/>
  <c r="O87" i="4"/>
  <c r="P87" i="4" s="1"/>
  <c r="T87" i="4" s="1"/>
  <c r="J41" i="4"/>
  <c r="K41" i="4" s="1"/>
  <c r="O41" i="4"/>
  <c r="P41" i="4" s="1"/>
  <c r="J221" i="4"/>
  <c r="K221" i="4" s="1"/>
  <c r="O221" i="4"/>
  <c r="P221" i="4" s="1"/>
  <c r="J321" i="4"/>
  <c r="K321" i="4" s="1"/>
  <c r="O321" i="4"/>
  <c r="P321" i="4" s="1"/>
  <c r="J181" i="4"/>
  <c r="K181" i="4" s="1"/>
  <c r="O181" i="4"/>
  <c r="P181" i="4" s="1"/>
  <c r="T181" i="4" s="1"/>
  <c r="J206" i="4"/>
  <c r="K206" i="4" s="1"/>
  <c r="O206" i="4"/>
  <c r="P206" i="4" s="1"/>
  <c r="J12" i="4"/>
  <c r="K12" i="4" s="1"/>
  <c r="O12" i="4"/>
  <c r="P12" i="4" s="1"/>
  <c r="T12" i="4" s="1"/>
  <c r="J340" i="4"/>
  <c r="K340" i="4" s="1"/>
  <c r="O340" i="4"/>
  <c r="P340" i="4" s="1"/>
  <c r="J133" i="4"/>
  <c r="K133" i="4" s="1"/>
  <c r="O133" i="4"/>
  <c r="P133" i="4" s="1"/>
  <c r="J78" i="4"/>
  <c r="K78" i="4" s="1"/>
  <c r="O78" i="4"/>
  <c r="P78" i="4" s="1"/>
  <c r="T78" i="4" s="1"/>
  <c r="J45" i="4"/>
  <c r="K45" i="4" s="1"/>
  <c r="O45" i="4"/>
  <c r="P45" i="4" s="1"/>
  <c r="T45" i="4" s="1"/>
  <c r="J311" i="4"/>
  <c r="K311" i="4" s="1"/>
  <c r="O311" i="4"/>
  <c r="P311" i="4" s="1"/>
  <c r="J334" i="4"/>
  <c r="K334" i="4" s="1"/>
  <c r="O334" i="4"/>
  <c r="P334" i="4" s="1"/>
  <c r="J178" i="4"/>
  <c r="K178" i="4" s="1"/>
  <c r="O178" i="4"/>
  <c r="P178" i="4" s="1"/>
  <c r="T178" i="4" s="1"/>
  <c r="J261" i="4"/>
  <c r="K261" i="4" s="1"/>
  <c r="O261" i="4"/>
  <c r="P261" i="4" s="1"/>
  <c r="J161" i="4"/>
  <c r="K161" i="4" s="1"/>
  <c r="O161" i="4"/>
  <c r="P161" i="4" s="1"/>
  <c r="T161" i="4" s="1"/>
  <c r="J107" i="4"/>
  <c r="K107" i="4" s="1"/>
  <c r="O107" i="4"/>
  <c r="P107" i="4" s="1"/>
  <c r="T107" i="4" s="1"/>
  <c r="J113" i="4"/>
  <c r="K113" i="4" s="1"/>
  <c r="O113" i="4"/>
  <c r="P113" i="4" s="1"/>
  <c r="T113" i="4" s="1"/>
  <c r="J256" i="4"/>
  <c r="K256" i="4" s="1"/>
  <c r="O256" i="4"/>
  <c r="P256" i="4" s="1"/>
  <c r="J105" i="4"/>
  <c r="K105" i="4" s="1"/>
  <c r="O105" i="4"/>
  <c r="P105" i="4" s="1"/>
  <c r="T105" i="4" s="1"/>
  <c r="J279" i="4"/>
  <c r="K279" i="4" s="1"/>
  <c r="O279" i="4"/>
  <c r="P279" i="4" s="1"/>
  <c r="J164" i="4"/>
  <c r="K164" i="4" s="1"/>
  <c r="O164" i="4"/>
  <c r="P164" i="4" s="1"/>
  <c r="T164" i="4" s="1"/>
  <c r="L331" i="4"/>
  <c r="M331" i="4"/>
  <c r="N331" i="4"/>
  <c r="L129" i="4"/>
  <c r="N129" i="4"/>
  <c r="M129" i="4"/>
  <c r="J147" i="4"/>
  <c r="K147" i="4" s="1"/>
  <c r="O147" i="4"/>
  <c r="P147" i="4" s="1"/>
  <c r="T147" i="4" s="1"/>
  <c r="J238" i="4"/>
  <c r="K238" i="4" s="1"/>
  <c r="O238" i="4"/>
  <c r="P238" i="4" s="1"/>
  <c r="J101" i="4"/>
  <c r="K101" i="4" s="1"/>
  <c r="O101" i="4"/>
  <c r="P101" i="4" s="1"/>
  <c r="T101" i="4" s="1"/>
  <c r="J8" i="4"/>
  <c r="K8" i="4" s="1"/>
  <c r="O8" i="4"/>
  <c r="P8" i="4" s="1"/>
  <c r="T8" i="4" s="1"/>
  <c r="J50" i="4"/>
  <c r="K50" i="4" s="1"/>
  <c r="O50" i="4"/>
  <c r="P50" i="4" s="1"/>
  <c r="T50" i="4" s="1"/>
  <c r="J4" i="4"/>
  <c r="K4" i="4" s="1"/>
  <c r="O4" i="4"/>
  <c r="P4" i="4" s="1"/>
  <c r="T4" i="4" s="1"/>
  <c r="J53" i="4"/>
  <c r="K53" i="4" s="1"/>
  <c r="O53" i="4"/>
  <c r="P53" i="4" s="1"/>
  <c r="T53" i="4" s="1"/>
  <c r="J201" i="4"/>
  <c r="K201" i="4" s="1"/>
  <c r="O201" i="4"/>
  <c r="P201" i="4" s="1"/>
  <c r="J168" i="4"/>
  <c r="K168" i="4" s="1"/>
  <c r="O168" i="4"/>
  <c r="P168" i="4" s="1"/>
  <c r="T168" i="4" s="1"/>
  <c r="J193" i="4"/>
  <c r="K193" i="4" s="1"/>
  <c r="O193" i="4"/>
  <c r="P193" i="4" s="1"/>
  <c r="T193" i="4" s="1"/>
  <c r="J218" i="4"/>
  <c r="K218" i="4" s="1"/>
  <c r="O218" i="4"/>
  <c r="P218" i="4" s="1"/>
  <c r="J326" i="4"/>
  <c r="K326" i="4" s="1"/>
  <c r="O326" i="4"/>
  <c r="P326" i="4" s="1"/>
  <c r="J285" i="4"/>
  <c r="K285" i="4" s="1"/>
  <c r="O285" i="4"/>
  <c r="P285" i="4" s="1"/>
  <c r="J98" i="4"/>
  <c r="K98" i="4" s="1"/>
  <c r="O98" i="4"/>
  <c r="P98" i="4" s="1"/>
  <c r="T98" i="4" s="1"/>
  <c r="J22" i="4"/>
  <c r="K22" i="4" s="1"/>
  <c r="O22" i="4"/>
  <c r="P22" i="4" s="1"/>
  <c r="T22" i="4" s="1"/>
  <c r="J304" i="4"/>
  <c r="K304" i="4" s="1"/>
  <c r="O304" i="4"/>
  <c r="P304" i="4" s="1"/>
  <c r="J276" i="4"/>
  <c r="K276" i="4" s="1"/>
  <c r="O276" i="4"/>
  <c r="P276" i="4" s="1"/>
  <c r="J346" i="4"/>
  <c r="K346" i="4" s="1"/>
  <c r="O346" i="4"/>
  <c r="P346" i="4" s="1"/>
  <c r="J162" i="4"/>
  <c r="K162" i="4" s="1"/>
  <c r="O162" i="4"/>
  <c r="P162" i="4" s="1"/>
  <c r="T162" i="4" s="1"/>
  <c r="J219" i="4"/>
  <c r="K219" i="4" s="1"/>
  <c r="O219" i="4"/>
  <c r="P219" i="4" s="1"/>
  <c r="J143" i="4"/>
  <c r="K143" i="4" s="1"/>
  <c r="O143" i="4"/>
  <c r="P143" i="4" s="1"/>
  <c r="T143" i="4" s="1"/>
  <c r="J329" i="4"/>
  <c r="K329" i="4" s="1"/>
  <c r="O329" i="4"/>
  <c r="P329" i="4" s="1"/>
  <c r="J49" i="4"/>
  <c r="K49" i="4" s="1"/>
  <c r="O49" i="4"/>
  <c r="P49" i="4" s="1"/>
  <c r="T49" i="4" s="1"/>
  <c r="J234" i="4"/>
  <c r="K234" i="4" s="1"/>
  <c r="O234" i="4"/>
  <c r="P234" i="4" s="1"/>
  <c r="J150" i="4"/>
  <c r="K150" i="4" s="1"/>
  <c r="O150" i="4"/>
  <c r="P150" i="4" s="1"/>
  <c r="T150" i="4" s="1"/>
  <c r="J209" i="4"/>
  <c r="K209" i="4" s="1"/>
  <c r="O209" i="4"/>
  <c r="P209" i="4" s="1"/>
  <c r="J332" i="4"/>
  <c r="K332" i="4" s="1"/>
  <c r="O332" i="4"/>
  <c r="P332" i="4" s="1"/>
  <c r="J96" i="4"/>
  <c r="K96" i="4" s="1"/>
  <c r="O96" i="4"/>
  <c r="P96" i="4" s="1"/>
  <c r="T96" i="4" s="1"/>
  <c r="J191" i="4"/>
  <c r="K191" i="4" s="1"/>
  <c r="O191" i="4"/>
  <c r="P191" i="4" s="1"/>
  <c r="T191" i="4" s="1"/>
  <c r="J6" i="4"/>
  <c r="K6" i="4" s="1"/>
  <c r="O6" i="4"/>
  <c r="P6" i="4" s="1"/>
  <c r="T6" i="4" s="1"/>
  <c r="Q90" i="4"/>
  <c r="J103" i="4"/>
  <c r="K103" i="4" s="1"/>
  <c r="O103" i="4"/>
  <c r="P103" i="4" s="1"/>
  <c r="T103" i="4" s="1"/>
  <c r="J15" i="4"/>
  <c r="K15" i="4" s="1"/>
  <c r="O15" i="4"/>
  <c r="P15" i="4" s="1"/>
  <c r="T15" i="4" s="1"/>
  <c r="J228" i="4"/>
  <c r="K228" i="4" s="1"/>
  <c r="O228" i="4"/>
  <c r="P228" i="4" s="1"/>
  <c r="J9" i="4"/>
  <c r="K9" i="4" s="1"/>
  <c r="O9" i="4"/>
  <c r="P9" i="4" s="1"/>
  <c r="T9" i="4" s="1"/>
  <c r="J289" i="4"/>
  <c r="K289" i="4" s="1"/>
  <c r="O289" i="4"/>
  <c r="P289" i="4" s="1"/>
  <c r="J175" i="4"/>
  <c r="K175" i="4" s="1"/>
  <c r="O175" i="4"/>
  <c r="P175" i="4" s="1"/>
  <c r="T175" i="4" s="1"/>
  <c r="L90" i="4"/>
  <c r="M90" i="4"/>
  <c r="N90" i="4"/>
  <c r="J84" i="4"/>
  <c r="K84" i="4" s="1"/>
  <c r="O84" i="4"/>
  <c r="P84" i="4" s="1"/>
  <c r="T84" i="4" s="1"/>
  <c r="J308" i="4"/>
  <c r="K308" i="4" s="1"/>
  <c r="O308" i="4"/>
  <c r="P308" i="4" s="1"/>
  <c r="J341" i="4"/>
  <c r="K341" i="4" s="1"/>
  <c r="O341" i="4"/>
  <c r="P341" i="4" s="1"/>
  <c r="J298" i="4"/>
  <c r="K298" i="4" s="1"/>
  <c r="O298" i="4"/>
  <c r="P298" i="4" s="1"/>
  <c r="J267" i="4"/>
  <c r="K267" i="4" s="1"/>
  <c r="O267" i="4"/>
  <c r="P267" i="4" s="1"/>
  <c r="J173" i="4"/>
  <c r="K173" i="4" s="1"/>
  <c r="O173" i="4"/>
  <c r="P173" i="4" s="1"/>
  <c r="T173" i="4" s="1"/>
  <c r="J208" i="4"/>
  <c r="K208" i="4" s="1"/>
  <c r="O208" i="4"/>
  <c r="P208" i="4" s="1"/>
  <c r="J36" i="4"/>
  <c r="K36" i="4" s="1"/>
  <c r="O36" i="4"/>
  <c r="P36" i="4" s="1"/>
  <c r="J323" i="4"/>
  <c r="K323" i="4" s="1"/>
  <c r="O323" i="4"/>
  <c r="P323" i="4" s="1"/>
  <c r="J245" i="4"/>
  <c r="K245" i="4" s="1"/>
  <c r="O245" i="4"/>
  <c r="P245" i="4" s="1"/>
  <c r="L297" i="4"/>
  <c r="N297" i="4"/>
  <c r="M297" i="4"/>
  <c r="J48" i="4"/>
  <c r="K48" i="4" s="1"/>
  <c r="O48" i="4"/>
  <c r="P48" i="4" s="1"/>
  <c r="T48" i="4" s="1"/>
  <c r="J5" i="4"/>
  <c r="K5" i="4" s="1"/>
  <c r="O5" i="4"/>
  <c r="P5" i="4" s="1"/>
  <c r="T5" i="4" s="1"/>
  <c r="J264" i="4"/>
  <c r="K264" i="4" s="1"/>
  <c r="O264" i="4"/>
  <c r="P264" i="4" s="1"/>
  <c r="J81" i="4"/>
  <c r="K81" i="4" s="1"/>
  <c r="O81" i="4"/>
  <c r="P81" i="4" s="1"/>
  <c r="T81" i="4" s="1"/>
  <c r="J275" i="4"/>
  <c r="K275" i="4" s="1"/>
  <c r="O275" i="4"/>
  <c r="P275" i="4" s="1"/>
  <c r="J125" i="4"/>
  <c r="K125" i="4" s="1"/>
  <c r="O125" i="4"/>
  <c r="P125" i="4" s="1"/>
  <c r="J174" i="4"/>
  <c r="K174" i="4" s="1"/>
  <c r="O174" i="4"/>
  <c r="P174" i="4" s="1"/>
  <c r="T174" i="4" s="1"/>
  <c r="J171" i="4"/>
  <c r="K171" i="4" s="1"/>
  <c r="O171" i="4"/>
  <c r="P171" i="4" s="1"/>
  <c r="T171" i="4" s="1"/>
  <c r="J270" i="4"/>
  <c r="K270" i="4" s="1"/>
  <c r="O270" i="4"/>
  <c r="P270" i="4" s="1"/>
  <c r="J293" i="4"/>
  <c r="K293" i="4" s="1"/>
  <c r="O293" i="4"/>
  <c r="P293" i="4" s="1"/>
  <c r="J251" i="4"/>
  <c r="K251" i="4" s="1"/>
  <c r="O251" i="4"/>
  <c r="P251" i="4" s="1"/>
  <c r="J287" i="4"/>
  <c r="K287" i="4" s="1"/>
  <c r="O287" i="4"/>
  <c r="P287" i="4" s="1"/>
  <c r="J187" i="4"/>
  <c r="K187" i="4" s="1"/>
  <c r="O187" i="4"/>
  <c r="P187" i="4" s="1"/>
  <c r="T187" i="4" s="1"/>
  <c r="J157" i="4"/>
  <c r="K157" i="4" s="1"/>
  <c r="O157" i="4"/>
  <c r="P157" i="4" s="1"/>
  <c r="T157" i="4" s="1"/>
  <c r="J52" i="4"/>
  <c r="K52" i="4" s="1"/>
  <c r="O52" i="4"/>
  <c r="P52" i="4" s="1"/>
  <c r="T52" i="4" s="1"/>
  <c r="J266" i="4"/>
  <c r="K266" i="4" s="1"/>
  <c r="O266" i="4"/>
  <c r="P266" i="4" s="1"/>
  <c r="J274" i="4"/>
  <c r="K274" i="4" s="1"/>
  <c r="O274" i="4"/>
  <c r="P274" i="4" s="1"/>
  <c r="J213" i="4"/>
  <c r="K213" i="4" s="1"/>
  <c r="O213" i="4"/>
  <c r="P213" i="4" s="1"/>
  <c r="J295" i="4"/>
  <c r="K295" i="4" s="1"/>
  <c r="O295" i="4"/>
  <c r="P295" i="4" s="1"/>
  <c r="J73" i="4"/>
  <c r="K73" i="4" s="1"/>
  <c r="O73" i="4"/>
  <c r="P73" i="4" s="1"/>
  <c r="T73" i="4" s="1"/>
  <c r="J203" i="4"/>
  <c r="K203" i="4" s="1"/>
  <c r="O203" i="4"/>
  <c r="P203" i="4" s="1"/>
  <c r="J11" i="4"/>
  <c r="K11" i="4" s="1"/>
  <c r="O11" i="4"/>
  <c r="P11" i="4" s="1"/>
  <c r="T11" i="4" s="1"/>
  <c r="J286" i="4"/>
  <c r="K286" i="4" s="1"/>
  <c r="O286" i="4"/>
  <c r="P286" i="4" s="1"/>
  <c r="J198" i="4"/>
  <c r="K198" i="4" s="1"/>
  <c r="O198" i="4"/>
  <c r="P198" i="4" s="1"/>
  <c r="T198" i="4" s="1"/>
  <c r="J236" i="4"/>
  <c r="K236" i="4" s="1"/>
  <c r="O236" i="4"/>
  <c r="P236" i="4" s="1"/>
  <c r="J195" i="4"/>
  <c r="K195" i="4" s="1"/>
  <c r="O195" i="4"/>
  <c r="P195" i="4" s="1"/>
  <c r="T195" i="4" s="1"/>
  <c r="J188" i="4"/>
  <c r="K188" i="4" s="1"/>
  <c r="O188" i="4"/>
  <c r="P188" i="4" s="1"/>
  <c r="T188" i="4" s="1"/>
  <c r="J225" i="4"/>
  <c r="K225" i="4" s="1"/>
  <c r="O225" i="4"/>
  <c r="P225" i="4" s="1"/>
  <c r="J344" i="4"/>
  <c r="K344" i="4" s="1"/>
  <c r="N344" i="4" s="1"/>
  <c r="O344" i="4"/>
  <c r="P344" i="4" s="1"/>
  <c r="J21" i="4"/>
  <c r="K21" i="4" s="1"/>
  <c r="O21" i="4"/>
  <c r="P21" i="4" s="1"/>
  <c r="T21" i="4" s="1"/>
  <c r="J215" i="4"/>
  <c r="K215" i="4" s="1"/>
  <c r="O215" i="4"/>
  <c r="P215" i="4" s="1"/>
  <c r="J100" i="4"/>
  <c r="K100" i="4" s="1"/>
  <c r="O100" i="4"/>
  <c r="P100" i="4" s="1"/>
  <c r="T100" i="4" s="1"/>
  <c r="J176" i="4"/>
  <c r="K176" i="4" s="1"/>
  <c r="O176" i="4"/>
  <c r="P176" i="4" s="1"/>
  <c r="T176" i="4" s="1"/>
  <c r="J60" i="4"/>
  <c r="K60" i="4" s="1"/>
  <c r="O60" i="4"/>
  <c r="P60" i="4" s="1"/>
  <c r="T60" i="4" s="1"/>
  <c r="J88" i="4"/>
  <c r="K88" i="4" s="1"/>
  <c r="O88" i="4"/>
  <c r="P88" i="4" s="1"/>
  <c r="T88" i="4" s="1"/>
  <c r="J227" i="4"/>
  <c r="K227" i="4" s="1"/>
  <c r="O227" i="4"/>
  <c r="P227" i="4" s="1"/>
  <c r="J102" i="4"/>
  <c r="K102" i="4" s="1"/>
  <c r="O102" i="4"/>
  <c r="P102" i="4" s="1"/>
  <c r="T102" i="4" s="1"/>
  <c r="J310" i="4"/>
  <c r="K310" i="4" s="1"/>
  <c r="O310" i="4"/>
  <c r="P310" i="4" s="1"/>
  <c r="J160" i="4"/>
  <c r="K160" i="4" s="1"/>
  <c r="O160" i="4"/>
  <c r="P160" i="4" s="1"/>
  <c r="T160" i="4" s="1"/>
  <c r="J196" i="4"/>
  <c r="K196" i="4" s="1"/>
  <c r="O196" i="4"/>
  <c r="P196" i="4" s="1"/>
  <c r="T196" i="4" s="1"/>
  <c r="J271" i="4"/>
  <c r="K271" i="4" s="1"/>
  <c r="O271" i="4"/>
  <c r="P271" i="4" s="1"/>
  <c r="J71" i="4"/>
  <c r="K71" i="4" s="1"/>
  <c r="O71" i="4"/>
  <c r="P71" i="4" s="1"/>
  <c r="T71" i="4" s="1"/>
  <c r="J239" i="4"/>
  <c r="K239" i="4" s="1"/>
  <c r="O239" i="4"/>
  <c r="P239" i="4" s="1"/>
  <c r="J67" i="4"/>
  <c r="K67" i="4" s="1"/>
  <c r="O67" i="4"/>
  <c r="P67" i="4" s="1"/>
  <c r="T67" i="4" s="1"/>
  <c r="J124" i="4"/>
  <c r="K124" i="4" s="1"/>
  <c r="O124" i="4"/>
  <c r="P124" i="4" s="1"/>
  <c r="T124" i="4" s="1"/>
  <c r="J58" i="4"/>
  <c r="K58" i="4" s="1"/>
  <c r="O58" i="4"/>
  <c r="P58" i="4" s="1"/>
  <c r="T58" i="4" s="1"/>
  <c r="J223" i="4"/>
  <c r="K223" i="4" s="1"/>
  <c r="O223" i="4"/>
  <c r="P223" i="4" s="1"/>
  <c r="J32" i="4"/>
  <c r="K32" i="4" s="1"/>
  <c r="O32" i="4"/>
  <c r="P32" i="4" s="1"/>
  <c r="J35" i="4"/>
  <c r="K35" i="4" s="1"/>
  <c r="O35" i="4"/>
  <c r="P35" i="4" s="1"/>
  <c r="J322" i="4"/>
  <c r="K322" i="4" s="1"/>
  <c r="O322" i="4"/>
  <c r="P322" i="4" s="1"/>
  <c r="J47" i="4"/>
  <c r="K47" i="4" s="1"/>
  <c r="O47" i="4"/>
  <c r="P47" i="4" s="1"/>
  <c r="T47" i="4" s="1"/>
  <c r="J109" i="4"/>
  <c r="K109" i="4" s="1"/>
  <c r="O109" i="4"/>
  <c r="P109" i="4" s="1"/>
  <c r="T109" i="4" s="1"/>
  <c r="J342" i="4"/>
  <c r="K342" i="4" s="1"/>
  <c r="O342" i="4"/>
  <c r="P342" i="4" s="1"/>
  <c r="J224" i="4"/>
  <c r="K224" i="4" s="1"/>
  <c r="O224" i="4"/>
  <c r="P224" i="4" s="1"/>
  <c r="J54" i="4"/>
  <c r="K54" i="4" s="1"/>
  <c r="O54" i="4"/>
  <c r="P54" i="4" s="1"/>
  <c r="T54" i="4" s="1"/>
  <c r="J108" i="4"/>
  <c r="K108" i="4" s="1"/>
  <c r="O108" i="4"/>
  <c r="P108" i="4" s="1"/>
  <c r="T108" i="4" s="1"/>
  <c r="L246" i="4"/>
  <c r="M246" i="4"/>
  <c r="N246" i="4"/>
  <c r="J273" i="4"/>
  <c r="K273" i="4" s="1"/>
  <c r="O273" i="4"/>
  <c r="P273" i="4" s="1"/>
  <c r="J13" i="4"/>
  <c r="K13" i="4" s="1"/>
  <c r="O13" i="4"/>
  <c r="P13" i="4" s="1"/>
  <c r="T13" i="4" s="1"/>
  <c r="J75" i="4"/>
  <c r="K75" i="4" s="1"/>
  <c r="O75" i="4"/>
  <c r="P75" i="4" s="1"/>
  <c r="T75" i="4" s="1"/>
  <c r="J29" i="4"/>
  <c r="K29" i="4" s="1"/>
  <c r="O29" i="4"/>
  <c r="P29" i="4" s="1"/>
  <c r="J237" i="4"/>
  <c r="K237" i="4" s="1"/>
  <c r="O237" i="4"/>
  <c r="P237" i="4" s="1"/>
  <c r="J263" i="4"/>
  <c r="K263" i="4" s="1"/>
  <c r="O263" i="4"/>
  <c r="P263" i="4" s="1"/>
  <c r="J169" i="4"/>
  <c r="K169" i="4" s="1"/>
  <c r="O169" i="4"/>
  <c r="P169" i="4" s="1"/>
  <c r="T169" i="4" s="1"/>
  <c r="J194" i="4"/>
  <c r="K194" i="4" s="1"/>
  <c r="O194" i="4"/>
  <c r="P194" i="4" s="1"/>
  <c r="T194" i="4" s="1"/>
  <c r="J121" i="4"/>
  <c r="K121" i="4" s="1"/>
  <c r="O121" i="4"/>
  <c r="P121" i="4" s="1"/>
  <c r="T121" i="4" s="1"/>
  <c r="J303" i="4"/>
  <c r="K303" i="4" s="1"/>
  <c r="O303" i="4"/>
  <c r="P303" i="4" s="1"/>
  <c r="J306" i="4"/>
  <c r="K306" i="4" s="1"/>
  <c r="O306" i="4"/>
  <c r="P306" i="4" s="1"/>
  <c r="J299" i="4"/>
  <c r="K299" i="4" s="1"/>
  <c r="O299" i="4"/>
  <c r="P299" i="4" s="1"/>
  <c r="J345" i="4"/>
  <c r="K345" i="4" s="1"/>
  <c r="O345" i="4"/>
  <c r="P345" i="4" s="1"/>
  <c r="J200" i="4"/>
  <c r="K200" i="4" s="1"/>
  <c r="O200" i="4"/>
  <c r="P200" i="4" s="1"/>
  <c r="J325" i="4"/>
  <c r="K325" i="4" s="1"/>
  <c r="O325" i="4"/>
  <c r="P325" i="4" s="1"/>
  <c r="J177" i="4"/>
  <c r="K177" i="4" s="1"/>
  <c r="O177" i="4"/>
  <c r="P177" i="4" s="1"/>
  <c r="T177" i="4" s="1"/>
  <c r="J212" i="4"/>
  <c r="K212" i="4" s="1"/>
  <c r="O212" i="4"/>
  <c r="P212" i="4" s="1"/>
  <c r="J250" i="4"/>
  <c r="K250" i="4" s="1"/>
  <c r="O250" i="4"/>
  <c r="P250" i="4" s="1"/>
  <c r="J135" i="4"/>
  <c r="K135" i="4" s="1"/>
  <c r="O135" i="4"/>
  <c r="P135" i="4" s="1"/>
  <c r="T135" i="4" s="1"/>
  <c r="J222" i="4"/>
  <c r="K222" i="4" s="1"/>
  <c r="O222" i="4"/>
  <c r="P222" i="4" s="1"/>
  <c r="J66" i="4"/>
  <c r="K66" i="4" s="1"/>
  <c r="O66" i="4"/>
  <c r="P66" i="4" s="1"/>
  <c r="T66" i="4" s="1"/>
  <c r="J283" i="4"/>
  <c r="K283" i="4" s="1"/>
  <c r="O283" i="4"/>
  <c r="P283" i="4" s="1"/>
  <c r="J62" i="4"/>
  <c r="K62" i="4" s="1"/>
  <c r="O62" i="4"/>
  <c r="P62" i="4" s="1"/>
  <c r="T62" i="4" s="1"/>
  <c r="J16" i="4"/>
  <c r="K16" i="4" s="1"/>
  <c r="O16" i="4"/>
  <c r="P16" i="4" s="1"/>
  <c r="T16" i="4" s="1"/>
  <c r="J65" i="4"/>
  <c r="K65" i="4" s="1"/>
  <c r="O65" i="4"/>
  <c r="P65" i="4" s="1"/>
  <c r="T65" i="4" s="1"/>
  <c r="J185" i="4"/>
  <c r="K185" i="4" s="1"/>
  <c r="O185" i="4"/>
  <c r="P185" i="4" s="1"/>
  <c r="T185" i="4" s="1"/>
  <c r="J180" i="4"/>
  <c r="K180" i="4" s="1"/>
  <c r="O180" i="4"/>
  <c r="P180" i="4" s="1"/>
  <c r="T180" i="4" s="1"/>
  <c r="J205" i="4"/>
  <c r="K205" i="4" s="1"/>
  <c r="O205" i="4"/>
  <c r="P205" i="4" s="1"/>
  <c r="J230" i="4"/>
  <c r="K230" i="4" s="1"/>
  <c r="O230" i="4"/>
  <c r="P230" i="4" s="1"/>
  <c r="J291" i="4"/>
  <c r="K291" i="4" s="1"/>
  <c r="O291" i="4"/>
  <c r="P291" i="4" s="1"/>
  <c r="J131" i="4"/>
  <c r="K131" i="4" s="1"/>
  <c r="O131" i="4"/>
  <c r="P131" i="4" s="1"/>
  <c r="J110" i="4"/>
  <c r="K110" i="4" s="1"/>
  <c r="O110" i="4"/>
  <c r="P110" i="4" s="1"/>
  <c r="T110" i="4" s="1"/>
  <c r="J337" i="4"/>
  <c r="K337" i="4" s="1"/>
  <c r="O337" i="4"/>
  <c r="P337" i="4" s="1"/>
  <c r="J114" i="4"/>
  <c r="K114" i="4" s="1"/>
  <c r="O114" i="4"/>
  <c r="P114" i="4" s="1"/>
  <c r="T114" i="4" s="1"/>
  <c r="J288" i="4"/>
  <c r="K288" i="4" s="1"/>
  <c r="O288" i="4"/>
  <c r="P288" i="4" s="1"/>
  <c r="J335" i="4"/>
  <c r="K335" i="4" s="1"/>
  <c r="O335" i="4"/>
  <c r="P335" i="4" s="1"/>
  <c r="J144" i="4"/>
  <c r="K144" i="4" s="1"/>
  <c r="O144" i="4"/>
  <c r="P144" i="4" s="1"/>
  <c r="T144" i="4" s="1"/>
  <c r="J197" i="4"/>
  <c r="K197" i="4" s="1"/>
  <c r="O197" i="4"/>
  <c r="P197" i="4" s="1"/>
  <c r="T197" i="4" s="1"/>
  <c r="J126" i="4"/>
  <c r="K126" i="4" s="1"/>
  <c r="O126" i="4"/>
  <c r="P126" i="4" s="1"/>
  <c r="J262" i="4"/>
  <c r="K262" i="4" s="1"/>
  <c r="O262" i="4"/>
  <c r="P262" i="4" s="1"/>
  <c r="J319" i="4"/>
  <c r="K319" i="4" s="1"/>
  <c r="O319" i="4"/>
  <c r="P319" i="4" s="1"/>
  <c r="J190" i="4"/>
  <c r="K190" i="4" s="1"/>
  <c r="O190" i="4"/>
  <c r="P190" i="4" s="1"/>
  <c r="T190" i="4" s="1"/>
  <c r="J233" i="4"/>
  <c r="K233" i="4" s="1"/>
  <c r="O233" i="4"/>
  <c r="P233" i="4" s="1"/>
  <c r="J281" i="4"/>
  <c r="K281" i="4" s="1"/>
  <c r="O281" i="4"/>
  <c r="P281" i="4" s="1"/>
  <c r="J278" i="4"/>
  <c r="K278" i="4" s="1"/>
  <c r="O278" i="4"/>
  <c r="P278" i="4" s="1"/>
  <c r="J163" i="4"/>
  <c r="K163" i="4" s="1"/>
  <c r="O163" i="4"/>
  <c r="P163" i="4" s="1"/>
  <c r="T163" i="4" s="1"/>
  <c r="L159" i="4"/>
  <c r="M159" i="4"/>
  <c r="N159" i="4"/>
  <c r="L132" i="4"/>
  <c r="N132" i="4"/>
  <c r="M132" i="4"/>
  <c r="J158" i="4"/>
  <c r="K158" i="4" s="1"/>
  <c r="O158" i="4"/>
  <c r="P158" i="4" s="1"/>
  <c r="J202" i="4"/>
  <c r="K202" i="4" s="1"/>
  <c r="O202" i="4"/>
  <c r="P202" i="4" s="1"/>
  <c r="J30" i="4"/>
  <c r="K30" i="4" s="1"/>
  <c r="O30" i="4"/>
  <c r="P30" i="4" s="1"/>
  <c r="J94" i="4"/>
  <c r="K94" i="4" s="1"/>
  <c r="O94" i="4"/>
  <c r="P94" i="4" s="1"/>
  <c r="T94" i="4" s="1"/>
  <c r="J74" i="4"/>
  <c r="K74" i="4" s="1"/>
  <c r="O74" i="4"/>
  <c r="P74" i="4" s="1"/>
  <c r="T74" i="4" s="1"/>
  <c r="J28" i="4"/>
  <c r="K28" i="4" s="1"/>
  <c r="O28" i="4"/>
  <c r="P28" i="4" s="1"/>
  <c r="J77" i="4"/>
  <c r="K77" i="4" s="1"/>
  <c r="O77" i="4"/>
  <c r="P77" i="4" s="1"/>
  <c r="T77" i="4" s="1"/>
  <c r="J192" i="4"/>
  <c r="K192" i="4" s="1"/>
  <c r="O192" i="4"/>
  <c r="P192" i="4" s="1"/>
  <c r="T192" i="4" s="1"/>
  <c r="J217" i="4"/>
  <c r="K217" i="4" s="1"/>
  <c r="O217" i="4"/>
  <c r="P217" i="4" s="1"/>
  <c r="J242" i="4"/>
  <c r="K242" i="4" s="1"/>
  <c r="O242" i="4"/>
  <c r="P242" i="4" s="1"/>
  <c r="J117" i="4"/>
  <c r="K117" i="4" s="1"/>
  <c r="O117" i="4"/>
  <c r="P117" i="4" s="1"/>
  <c r="T117" i="4" s="1"/>
  <c r="J115" i="4"/>
  <c r="K115" i="4" s="1"/>
  <c r="O115" i="4"/>
  <c r="P115" i="4" s="1"/>
  <c r="T115" i="4" s="1"/>
  <c r="J122" i="4"/>
  <c r="K122" i="4" s="1"/>
  <c r="O122" i="4"/>
  <c r="P122" i="4" s="1"/>
  <c r="T122" i="4" s="1"/>
  <c r="J59" i="4"/>
  <c r="K59" i="4" s="1"/>
  <c r="O59" i="4"/>
  <c r="P59" i="4" s="1"/>
  <c r="T59" i="4" s="1"/>
  <c r="J300" i="4"/>
  <c r="K300" i="4" s="1"/>
  <c r="O300" i="4"/>
  <c r="P300" i="4" s="1"/>
  <c r="J347" i="4"/>
  <c r="K347" i="4" s="1"/>
  <c r="O347" i="4"/>
  <c r="P347" i="4" s="1"/>
  <c r="J127" i="4"/>
  <c r="K127" i="4" s="1"/>
  <c r="O127" i="4"/>
  <c r="P127" i="4" s="1"/>
  <c r="J211" i="4"/>
  <c r="K211" i="4" s="1"/>
  <c r="O211" i="4"/>
  <c r="P211" i="4" s="1"/>
  <c r="J244" i="4"/>
  <c r="K244" i="4" s="1"/>
  <c r="O244" i="4"/>
  <c r="P244" i="4" s="1"/>
  <c r="J259" i="4"/>
  <c r="K259" i="4" s="1"/>
  <c r="O259" i="4"/>
  <c r="P259" i="4" s="1"/>
  <c r="J172" i="4"/>
  <c r="K172" i="4" s="1"/>
  <c r="O172" i="4"/>
  <c r="P172" i="4" s="1"/>
  <c r="T172" i="4" s="1"/>
  <c r="J106" i="4"/>
  <c r="K106" i="4" s="1"/>
  <c r="O106" i="4"/>
  <c r="P106" i="4" s="1"/>
  <c r="T106" i="4" s="1"/>
  <c r="J226" i="4"/>
  <c r="K226" i="4" s="1"/>
  <c r="O226" i="4"/>
  <c r="P226" i="4" s="1"/>
  <c r="J207" i="4"/>
  <c r="K207" i="4" s="1"/>
  <c r="O207" i="4"/>
  <c r="P207" i="4" s="1"/>
  <c r="J282" i="4"/>
  <c r="K282" i="4" s="1"/>
  <c r="O282" i="4"/>
  <c r="P282" i="4" s="1"/>
  <c r="Q83" i="4"/>
  <c r="J7" i="4"/>
  <c r="K7" i="4" s="1"/>
  <c r="O7" i="4"/>
  <c r="P7" i="4" s="1"/>
  <c r="T7" i="4" s="1"/>
  <c r="J216" i="4"/>
  <c r="K216" i="4" s="1"/>
  <c r="O216" i="4"/>
  <c r="P216" i="4" s="1"/>
  <c r="J111" i="4"/>
  <c r="K111" i="4" s="1"/>
  <c r="O111" i="4"/>
  <c r="P111" i="4" s="1"/>
  <c r="T111" i="4" s="1"/>
  <c r="J220" i="4"/>
  <c r="K220" i="4" s="1"/>
  <c r="O220" i="4"/>
  <c r="P220" i="4" s="1"/>
  <c r="J260" i="4"/>
  <c r="K260" i="4" s="1"/>
  <c r="O260" i="4"/>
  <c r="P260" i="4" s="1"/>
  <c r="J280" i="4"/>
  <c r="K280" i="4" s="1"/>
  <c r="O280" i="4"/>
  <c r="P280" i="4" s="1"/>
  <c r="J327" i="4"/>
  <c r="K327" i="4" s="1"/>
  <c r="O327" i="4"/>
  <c r="P327" i="4" s="1"/>
  <c r="J324" i="4"/>
  <c r="K324" i="4" s="1"/>
  <c r="O324" i="4"/>
  <c r="P324" i="4" s="1"/>
  <c r="J123" i="4"/>
  <c r="K123" i="4" s="1"/>
  <c r="O123" i="4"/>
  <c r="P123" i="4" s="1"/>
  <c r="T123" i="4" s="1"/>
  <c r="J37" i="4"/>
  <c r="K37" i="4" s="1"/>
  <c r="O37" i="4"/>
  <c r="P37" i="4" s="1"/>
  <c r="J330" i="4"/>
  <c r="K330" i="4" s="1"/>
  <c r="O330" i="4"/>
  <c r="P330" i="4" s="1"/>
  <c r="J33" i="4"/>
  <c r="K33" i="4" s="1"/>
  <c r="O33" i="4"/>
  <c r="P33" i="4" s="1"/>
  <c r="J294" i="4"/>
  <c r="K294" i="4" s="1"/>
  <c r="O294" i="4"/>
  <c r="P294" i="4" s="1"/>
  <c r="J305" i="4"/>
  <c r="K305" i="4" s="1"/>
  <c r="O305" i="4"/>
  <c r="P305" i="4" s="1"/>
  <c r="J76" i="4"/>
  <c r="K76" i="4" s="1"/>
  <c r="O76" i="4"/>
  <c r="P76" i="4" s="1"/>
  <c r="T76" i="4" s="1"/>
  <c r="J265" i="4"/>
  <c r="K265" i="4" s="1"/>
  <c r="O265" i="4"/>
  <c r="P265" i="4" s="1"/>
  <c r="J339" i="4"/>
  <c r="K339" i="4" s="1"/>
  <c r="O339" i="4"/>
  <c r="P339" i="4" s="1"/>
  <c r="J56" i="4"/>
  <c r="K56" i="4" s="1"/>
  <c r="O56" i="4"/>
  <c r="P56" i="4" s="1"/>
  <c r="T56" i="4" s="1"/>
  <c r="J72" i="4"/>
  <c r="K72" i="4" s="1"/>
  <c r="O72" i="4"/>
  <c r="P72" i="4" s="1"/>
  <c r="T72" i="4" s="1"/>
  <c r="J214" i="4"/>
  <c r="K214" i="4" s="1"/>
  <c r="O214" i="4"/>
  <c r="P214" i="4" s="1"/>
  <c r="J255" i="4"/>
  <c r="K255" i="4" s="1"/>
  <c r="O255" i="4"/>
  <c r="P255" i="4" s="1"/>
  <c r="J302" i="4"/>
  <c r="K302" i="4" s="1"/>
  <c r="O302" i="4"/>
  <c r="P302" i="4" s="1"/>
  <c r="J328" i="4"/>
  <c r="K328" i="4" s="1"/>
  <c r="O328" i="4"/>
  <c r="P328" i="4" s="1"/>
  <c r="J292" i="4"/>
  <c r="K292" i="4" s="1"/>
  <c r="O292" i="4"/>
  <c r="P292" i="4" s="1"/>
  <c r="J284" i="4"/>
  <c r="K284" i="4" s="1"/>
  <c r="O284" i="4"/>
  <c r="P284" i="4" s="1"/>
  <c r="J313" i="4"/>
  <c r="K313" i="4" s="1"/>
  <c r="O313" i="4"/>
  <c r="P313" i="4" s="1"/>
  <c r="J154" i="4"/>
  <c r="K154" i="4" s="1"/>
  <c r="O154" i="4"/>
  <c r="P154" i="4" s="1"/>
  <c r="T154" i="4" s="1"/>
  <c r="J136" i="4"/>
  <c r="K136" i="4" s="1"/>
  <c r="O136" i="4"/>
  <c r="P136" i="4" s="1"/>
  <c r="T136" i="4" s="1"/>
  <c r="J247" i="4"/>
  <c r="K247" i="4" s="1"/>
  <c r="O247" i="4"/>
  <c r="P247" i="4" s="1"/>
  <c r="J309" i="4"/>
  <c r="K309" i="4" s="1"/>
  <c r="O309" i="4"/>
  <c r="P309" i="4" s="1"/>
  <c r="J51" i="4"/>
  <c r="K51" i="4" s="1"/>
  <c r="O51" i="4"/>
  <c r="P51" i="4" s="1"/>
  <c r="T51" i="4" s="1"/>
  <c r="J146" i="4"/>
  <c r="K146" i="4" s="1"/>
  <c r="O146" i="4"/>
  <c r="P146" i="4" s="1"/>
  <c r="T146" i="4" s="1"/>
  <c r="J186" i="4"/>
  <c r="K186" i="4" s="1"/>
  <c r="O186" i="4"/>
  <c r="P186" i="4" s="1"/>
  <c r="T186" i="4" s="1"/>
  <c r="J116" i="4"/>
  <c r="K116" i="4" s="1"/>
  <c r="O116" i="4"/>
  <c r="P116" i="4" s="1"/>
  <c r="T116" i="4" s="1"/>
  <c r="J42" i="4"/>
  <c r="K42" i="4" s="1"/>
  <c r="O42" i="4"/>
  <c r="P42" i="4" s="1"/>
  <c r="J86" i="4"/>
  <c r="K86" i="4" s="1"/>
  <c r="O86" i="4"/>
  <c r="P86" i="4" s="1"/>
  <c r="T86" i="4" s="1"/>
  <c r="J40" i="4"/>
  <c r="K40" i="4" s="1"/>
  <c r="O40" i="4"/>
  <c r="P40" i="4" s="1"/>
  <c r="J89" i="4"/>
  <c r="K89" i="4" s="1"/>
  <c r="O89" i="4"/>
  <c r="P89" i="4" s="1"/>
  <c r="T89" i="4" s="1"/>
  <c r="J179" i="4"/>
  <c r="K179" i="4" s="1"/>
  <c r="O179" i="4"/>
  <c r="P179" i="4" s="1"/>
  <c r="T179" i="4" s="1"/>
  <c r="J204" i="4"/>
  <c r="K204" i="4" s="1"/>
  <c r="O204" i="4"/>
  <c r="P204" i="4" s="1"/>
  <c r="J229" i="4"/>
  <c r="K229" i="4" s="1"/>
  <c r="O229" i="4"/>
  <c r="P229" i="4" s="1"/>
  <c r="J254" i="4"/>
  <c r="K254" i="4" s="1"/>
  <c r="O254" i="4"/>
  <c r="P254" i="4" s="1"/>
  <c r="J82" i="4"/>
  <c r="K82" i="4" s="1"/>
  <c r="O82" i="4"/>
  <c r="P82" i="4" s="1"/>
  <c r="T82" i="4" s="1"/>
  <c r="J80" i="4"/>
  <c r="K80" i="4" s="1"/>
  <c r="O80" i="4"/>
  <c r="P80" i="4" s="1"/>
  <c r="T80" i="4" s="1"/>
  <c r="J99" i="4"/>
  <c r="K99" i="4" s="1"/>
  <c r="O99" i="4"/>
  <c r="P99" i="4" s="1"/>
  <c r="T99" i="4" s="1"/>
  <c r="J57" i="4"/>
  <c r="K57" i="4" s="1"/>
  <c r="O57" i="4"/>
  <c r="P57" i="4" s="1"/>
  <c r="T57" i="4" s="1"/>
  <c r="J338" i="4"/>
  <c r="K338" i="4" s="1"/>
  <c r="O338" i="4"/>
  <c r="P338" i="4" s="1"/>
  <c r="J312" i="4"/>
  <c r="K312" i="4" s="1"/>
  <c r="O312" i="4"/>
  <c r="P312" i="4" s="1"/>
  <c r="J336" i="4"/>
  <c r="K336" i="4" s="1"/>
  <c r="O336" i="4"/>
  <c r="P336" i="4" s="1"/>
  <c r="J85" i="4"/>
  <c r="K85" i="4" s="1"/>
  <c r="O85" i="4"/>
  <c r="P85" i="4" s="1"/>
  <c r="T85" i="4" s="1"/>
  <c r="J152" i="4"/>
  <c r="K152" i="4" s="1"/>
  <c r="O152" i="4"/>
  <c r="P152" i="4" s="1"/>
  <c r="T152" i="4" s="1"/>
  <c r="J142" i="4"/>
  <c r="K142" i="4" s="1"/>
  <c r="O142" i="4"/>
  <c r="P142" i="4" s="1"/>
  <c r="T142" i="4" s="1"/>
  <c r="J320" i="4"/>
  <c r="K320" i="4" s="1"/>
  <c r="O320" i="4"/>
  <c r="P320" i="4" s="1"/>
  <c r="J235" i="4"/>
  <c r="K235" i="4" s="1"/>
  <c r="O235" i="4"/>
  <c r="P235" i="4" s="1"/>
  <c r="J153" i="4"/>
  <c r="K153" i="4" s="1"/>
  <c r="O153" i="4"/>
  <c r="P153" i="4" s="1"/>
  <c r="T153" i="4" s="1"/>
  <c r="J232" i="4"/>
  <c r="K232" i="4" s="1"/>
  <c r="O232" i="4"/>
  <c r="P232" i="4" s="1"/>
  <c r="J148" i="4"/>
  <c r="K148" i="4" s="1"/>
  <c r="O148" i="4"/>
  <c r="P148" i="4" s="1"/>
  <c r="T148" i="4" s="1"/>
  <c r="J315" i="4"/>
  <c r="K315" i="4" s="1"/>
  <c r="O315" i="4"/>
  <c r="P315" i="4" s="1"/>
  <c r="J296" i="4"/>
  <c r="K296" i="4" s="1"/>
  <c r="O296" i="4"/>
  <c r="P296" i="4" s="1"/>
  <c r="L128" i="4"/>
  <c r="N128" i="4"/>
  <c r="M128" i="4"/>
  <c r="L83" i="4"/>
  <c r="M83" i="4"/>
  <c r="N83" i="4"/>
  <c r="E15" i="7"/>
  <c r="I46" i="4"/>
  <c r="I348" i="4"/>
  <c r="E8" i="7"/>
  <c r="I18" i="4"/>
  <c r="I112" i="4"/>
  <c r="E29" i="7"/>
  <c r="E7" i="7"/>
  <c r="I17" i="4"/>
  <c r="E28" i="7"/>
  <c r="I118" i="4"/>
  <c r="E10" i="7"/>
  <c r="I31" i="4"/>
  <c r="E5" i="7"/>
  <c r="I10" i="4"/>
  <c r="I167" i="4"/>
  <c r="E30" i="7"/>
  <c r="E3" i="7"/>
  <c r="I3" i="4"/>
  <c r="E12" i="7"/>
  <c r="I38" i="4"/>
  <c r="I139" i="4"/>
  <c r="I316" i="4"/>
  <c r="E18" i="7"/>
  <c r="I70" i="4"/>
  <c r="I97" i="4"/>
  <c r="E27" i="7"/>
  <c r="E26" i="7"/>
  <c r="E19" i="7"/>
  <c r="E13" i="7"/>
  <c r="E6" i="7"/>
  <c r="E11" i="7"/>
  <c r="E14" i="7"/>
  <c r="E4" i="7"/>
  <c r="E17" i="7"/>
  <c r="E9" i="7"/>
  <c r="H166" i="4"/>
  <c r="H134" i="4"/>
  <c r="H95" i="4"/>
  <c r="H318" i="4"/>
  <c r="H2" i="4"/>
  <c r="H268" i="4"/>
  <c r="E24" i="20" l="1"/>
  <c r="AA350" i="22"/>
  <c r="AA351" i="22" s="1"/>
  <c r="V350" i="22"/>
  <c r="V351" i="22" s="1"/>
  <c r="N25" i="4"/>
  <c r="M25" i="4"/>
  <c r="O93" i="4"/>
  <c r="P93" i="4" s="1"/>
  <c r="T93" i="4" s="1"/>
  <c r="M26" i="4"/>
  <c r="N26" i="4"/>
  <c r="Q242" i="4"/>
  <c r="T242" i="4"/>
  <c r="Q230" i="4"/>
  <c r="T230" i="4"/>
  <c r="Q225" i="4"/>
  <c r="T225" i="4"/>
  <c r="Q229" i="4"/>
  <c r="T229" i="4"/>
  <c r="Q240" i="4"/>
  <c r="T240" i="4"/>
  <c r="Q202" i="4"/>
  <c r="T202" i="4"/>
  <c r="Q325" i="4"/>
  <c r="T325" i="4"/>
  <c r="Q322" i="4"/>
  <c r="T322" i="4"/>
  <c r="Q228" i="4"/>
  <c r="T228" i="4"/>
  <c r="Q204" i="4"/>
  <c r="T204" i="4"/>
  <c r="Q265" i="4"/>
  <c r="T265" i="4"/>
  <c r="Q244" i="4"/>
  <c r="T244" i="4"/>
  <c r="Q208" i="4"/>
  <c r="T208" i="4"/>
  <c r="Q321" i="4"/>
  <c r="T321" i="4"/>
  <c r="Q258" i="4"/>
  <c r="T258" i="4"/>
  <c r="Q199" i="4"/>
  <c r="T199" i="4"/>
  <c r="Q257" i="4"/>
  <c r="T257" i="4"/>
  <c r="Q249" i="4"/>
  <c r="T249" i="4"/>
  <c r="Q241" i="4"/>
  <c r="T241" i="4"/>
  <c r="Q250" i="4"/>
  <c r="T250" i="4"/>
  <c r="Q217" i="4"/>
  <c r="T217" i="4"/>
  <c r="Q222" i="4"/>
  <c r="T222" i="4"/>
  <c r="Q255" i="4"/>
  <c r="T255" i="4"/>
  <c r="Q207" i="4"/>
  <c r="T207" i="4"/>
  <c r="Q211" i="4"/>
  <c r="T211" i="4"/>
  <c r="Q209" i="4"/>
  <c r="T209" i="4"/>
  <c r="Q219" i="4"/>
  <c r="T219" i="4"/>
  <c r="Q201" i="4"/>
  <c r="T201" i="4"/>
  <c r="Q238" i="4"/>
  <c r="T238" i="4"/>
  <c r="Q261" i="4"/>
  <c r="T261" i="4"/>
  <c r="Q221" i="4"/>
  <c r="T221" i="4"/>
  <c r="Q269" i="4"/>
  <c r="T269" i="4"/>
  <c r="Q248" i="4"/>
  <c r="T248" i="4"/>
  <c r="Q210" i="4"/>
  <c r="T210" i="4"/>
  <c r="Q263" i="4"/>
  <c r="T263" i="4"/>
  <c r="Q223" i="4"/>
  <c r="T223" i="4"/>
  <c r="Q245" i="4"/>
  <c r="T245" i="4"/>
  <c r="Q234" i="4"/>
  <c r="T234" i="4"/>
  <c r="Q256" i="4"/>
  <c r="T256" i="4"/>
  <c r="Q253" i="4"/>
  <c r="T253" i="4"/>
  <c r="Q319" i="4"/>
  <c r="T319" i="4"/>
  <c r="Q237" i="4"/>
  <c r="T237" i="4"/>
  <c r="Q266" i="4"/>
  <c r="T266" i="4"/>
  <c r="Q235" i="4"/>
  <c r="T235" i="4"/>
  <c r="Q262" i="4"/>
  <c r="T262" i="4"/>
  <c r="Q205" i="4"/>
  <c r="T205" i="4"/>
  <c r="Q270" i="4"/>
  <c r="T270" i="4"/>
  <c r="U167" i="4"/>
  <c r="V167" i="4" s="1"/>
  <c r="D48" i="20" s="1"/>
  <c r="S167" i="4"/>
  <c r="D40" i="20" s="1"/>
  <c r="W167" i="4"/>
  <c r="F48" i="20" s="1"/>
  <c r="AA167" i="4"/>
  <c r="R167" i="4"/>
  <c r="E40" i="20" s="1"/>
  <c r="Q320" i="4"/>
  <c r="T320" i="4"/>
  <c r="Q239" i="4"/>
  <c r="T239" i="4"/>
  <c r="Q215" i="4"/>
  <c r="T215" i="4"/>
  <c r="Q236" i="4"/>
  <c r="T236" i="4"/>
  <c r="Q220" i="4"/>
  <c r="T220" i="4"/>
  <c r="Q233" i="4"/>
  <c r="T233" i="4"/>
  <c r="Q224" i="4"/>
  <c r="T224" i="4"/>
  <c r="Q227" i="4"/>
  <c r="T227" i="4"/>
  <c r="Q213" i="4"/>
  <c r="T213" i="4"/>
  <c r="Q271" i="4"/>
  <c r="T271" i="4"/>
  <c r="Q251" i="4"/>
  <c r="T251" i="4"/>
  <c r="Q231" i="4"/>
  <c r="T231" i="4"/>
  <c r="Q243" i="4"/>
  <c r="T243" i="4"/>
  <c r="Q216" i="4"/>
  <c r="T216" i="4"/>
  <c r="Q212" i="4"/>
  <c r="T212" i="4"/>
  <c r="Q254" i="4"/>
  <c r="T254" i="4"/>
  <c r="Q323" i="4"/>
  <c r="T323" i="4"/>
  <c r="Q218" i="4"/>
  <c r="T218" i="4"/>
  <c r="Q206" i="4"/>
  <c r="T206" i="4"/>
  <c r="Q252" i="4"/>
  <c r="T252" i="4"/>
  <c r="Q203" i="4"/>
  <c r="T203" i="4"/>
  <c r="Q264" i="4"/>
  <c r="T264" i="4"/>
  <c r="Q247" i="4"/>
  <c r="T247" i="4"/>
  <c r="Q259" i="4"/>
  <c r="T259" i="4"/>
  <c r="Q260" i="4"/>
  <c r="T260" i="4"/>
  <c r="Q200" i="4"/>
  <c r="T200" i="4"/>
  <c r="Q232" i="4"/>
  <c r="T232" i="4"/>
  <c r="Q214" i="4"/>
  <c r="T214" i="4"/>
  <c r="Q324" i="4"/>
  <c r="T324" i="4"/>
  <c r="Q226" i="4"/>
  <c r="T226" i="4"/>
  <c r="Q267" i="4"/>
  <c r="T267" i="4"/>
  <c r="AA97" i="4"/>
  <c r="S97" i="4"/>
  <c r="W97" i="4"/>
  <c r="U97" i="4"/>
  <c r="V97" i="4" s="1"/>
  <c r="D46" i="20" s="1"/>
  <c r="R97" i="4"/>
  <c r="Q126" i="4"/>
  <c r="T126" i="4"/>
  <c r="Q133" i="4"/>
  <c r="T133" i="4"/>
  <c r="Q127" i="4"/>
  <c r="T127" i="4"/>
  <c r="Q125" i="4"/>
  <c r="T125" i="4"/>
  <c r="AA118" i="4"/>
  <c r="U118" i="4"/>
  <c r="V118" i="4" s="1"/>
  <c r="S118" i="4"/>
  <c r="R118" i="4"/>
  <c r="W118" i="4"/>
  <c r="Q131" i="4"/>
  <c r="T131" i="4"/>
  <c r="Q130" i="4"/>
  <c r="T130" i="4"/>
  <c r="R112" i="4"/>
  <c r="AA112" i="4"/>
  <c r="U112" i="4"/>
  <c r="V112" i="4" s="1"/>
  <c r="S112" i="4"/>
  <c r="W112" i="4"/>
  <c r="M24" i="4"/>
  <c r="W3" i="4"/>
  <c r="AA3" i="4"/>
  <c r="U3" i="4"/>
  <c r="V3" i="4" s="1"/>
  <c r="R3" i="4"/>
  <c r="S3" i="4"/>
  <c r="T43" i="4"/>
  <c r="U43" i="4"/>
  <c r="V43" i="4" s="1"/>
  <c r="U33" i="4"/>
  <c r="V33" i="4" s="1"/>
  <c r="T33" i="4"/>
  <c r="R38" i="4"/>
  <c r="S38" i="4"/>
  <c r="AA38" i="4"/>
  <c r="W38" i="4"/>
  <c r="W17" i="4"/>
  <c r="U17" i="4"/>
  <c r="V17" i="4" s="1"/>
  <c r="S17" i="4"/>
  <c r="R17" i="4"/>
  <c r="AA17" i="4"/>
  <c r="T40" i="4"/>
  <c r="U40" i="4"/>
  <c r="V40" i="4" s="1"/>
  <c r="Q26" i="4"/>
  <c r="T26" i="4"/>
  <c r="U26" i="4"/>
  <c r="V26" i="4" s="1"/>
  <c r="AA31" i="4"/>
  <c r="S31" i="4"/>
  <c r="R31" i="4"/>
  <c r="W31" i="4"/>
  <c r="AA46" i="4"/>
  <c r="U46" i="4"/>
  <c r="V46" i="4" s="1"/>
  <c r="W46" i="4"/>
  <c r="R46" i="4"/>
  <c r="S46" i="4"/>
  <c r="Q25" i="4"/>
  <c r="U25" i="4"/>
  <c r="V25" i="4" s="1"/>
  <c r="T25" i="4"/>
  <c r="T41" i="4"/>
  <c r="U41" i="4"/>
  <c r="V41" i="4" s="1"/>
  <c r="T42" i="4"/>
  <c r="U42" i="4"/>
  <c r="V42" i="4" s="1"/>
  <c r="T30" i="4"/>
  <c r="U30" i="4"/>
  <c r="V30" i="4" s="1"/>
  <c r="U29" i="4"/>
  <c r="V29" i="4" s="1"/>
  <c r="T29" i="4"/>
  <c r="N24" i="4"/>
  <c r="AA10" i="4"/>
  <c r="R10" i="4"/>
  <c r="S10" i="4"/>
  <c r="W10" i="4"/>
  <c r="U10" i="4"/>
  <c r="V10" i="4" s="1"/>
  <c r="U37" i="4"/>
  <c r="V37" i="4" s="1"/>
  <c r="T37" i="4"/>
  <c r="U35" i="4"/>
  <c r="V35" i="4" s="1"/>
  <c r="T35" i="4"/>
  <c r="T39" i="4"/>
  <c r="U39" i="4"/>
  <c r="V39" i="4" s="1"/>
  <c r="U27" i="4"/>
  <c r="V27" i="4" s="1"/>
  <c r="Q27" i="4"/>
  <c r="T27" i="4"/>
  <c r="Q24" i="4"/>
  <c r="T24" i="4"/>
  <c r="U24" i="4"/>
  <c r="V24" i="4" s="1"/>
  <c r="R18" i="4"/>
  <c r="U18" i="4"/>
  <c r="V18" i="4" s="1"/>
  <c r="AA18" i="4"/>
  <c r="S18" i="4"/>
  <c r="W18" i="4"/>
  <c r="U34" i="4"/>
  <c r="V34" i="4" s="1"/>
  <c r="T34" i="4"/>
  <c r="AA70" i="4"/>
  <c r="U70" i="4"/>
  <c r="V70" i="4" s="1"/>
  <c r="W70" i="4"/>
  <c r="R70" i="4"/>
  <c r="S70" i="4"/>
  <c r="T36" i="4"/>
  <c r="U36" i="4"/>
  <c r="V36" i="4" s="1"/>
  <c r="U44" i="4"/>
  <c r="V44" i="4" s="1"/>
  <c r="T44" i="4"/>
  <c r="U28" i="4"/>
  <c r="V28" i="4" s="1"/>
  <c r="T28" i="4"/>
  <c r="T32" i="4"/>
  <c r="U32" i="4"/>
  <c r="V32" i="4" s="1"/>
  <c r="U93" i="4"/>
  <c r="V93" i="4" s="1"/>
  <c r="S93" i="4"/>
  <c r="R93" i="4"/>
  <c r="AA93" i="4"/>
  <c r="Q158" i="4"/>
  <c r="T158" i="4"/>
  <c r="R139" i="4"/>
  <c r="E39" i="20" s="1"/>
  <c r="U139" i="4"/>
  <c r="V139" i="4" s="1"/>
  <c r="D47" i="20" s="1"/>
  <c r="AA139" i="4"/>
  <c r="E21" i="20" s="1"/>
  <c r="E47" i="20" s="1"/>
  <c r="W139" i="4"/>
  <c r="F47" i="20" s="1"/>
  <c r="S139" i="4"/>
  <c r="D39" i="20" s="1"/>
  <c r="Q140" i="4"/>
  <c r="T140" i="4"/>
  <c r="Q302" i="4"/>
  <c r="T302" i="4"/>
  <c r="Q282" i="4"/>
  <c r="T282" i="4"/>
  <c r="Q310" i="4"/>
  <c r="T310" i="4"/>
  <c r="Q301" i="4"/>
  <c r="T301" i="4"/>
  <c r="Q277" i="4"/>
  <c r="T277" i="4"/>
  <c r="Q279" i="4"/>
  <c r="T279" i="4"/>
  <c r="Q314" i="4"/>
  <c r="T314" i="4"/>
  <c r="Q284" i="4"/>
  <c r="T284" i="4"/>
  <c r="Q291" i="4"/>
  <c r="T291" i="4"/>
  <c r="Q299" i="4"/>
  <c r="T299" i="4"/>
  <c r="Q286" i="4"/>
  <c r="T286" i="4"/>
  <c r="Q274" i="4"/>
  <c r="T274" i="4"/>
  <c r="Q275" i="4"/>
  <c r="T275" i="4"/>
  <c r="Q273" i="4"/>
  <c r="T273" i="4"/>
  <c r="Q298" i="4"/>
  <c r="T298" i="4"/>
  <c r="Q272" i="4"/>
  <c r="T272" i="4"/>
  <c r="Q317" i="4"/>
  <c r="T317" i="4"/>
  <c r="Q278" i="4"/>
  <c r="T278" i="4"/>
  <c r="W316" i="4"/>
  <c r="F49" i="20" s="1"/>
  <c r="S316" i="4"/>
  <c r="R316" i="4"/>
  <c r="U316" i="4"/>
  <c r="V316" i="4" s="1"/>
  <c r="AA316" i="4"/>
  <c r="E49" i="20" s="1"/>
  <c r="Q295" i="4"/>
  <c r="T295" i="4"/>
  <c r="Q294" i="4"/>
  <c r="T294" i="4"/>
  <c r="Q309" i="4"/>
  <c r="T309" i="4"/>
  <c r="Q292" i="4"/>
  <c r="T292" i="4"/>
  <c r="Q300" i="4"/>
  <c r="T300" i="4"/>
  <c r="Q288" i="4"/>
  <c r="T288" i="4"/>
  <c r="Q306" i="4"/>
  <c r="T306" i="4"/>
  <c r="Q293" i="4"/>
  <c r="T293" i="4"/>
  <c r="Q289" i="4"/>
  <c r="T289" i="4"/>
  <c r="D49" i="20"/>
  <c r="Q276" i="4"/>
  <c r="T276" i="4"/>
  <c r="Q311" i="4"/>
  <c r="T311" i="4"/>
  <c r="E41" i="20"/>
  <c r="Q315" i="4"/>
  <c r="T315" i="4"/>
  <c r="Q281" i="4"/>
  <c r="T281" i="4"/>
  <c r="Q313" i="4"/>
  <c r="T313" i="4"/>
  <c r="Q305" i="4"/>
  <c r="T305" i="4"/>
  <c r="Q287" i="4"/>
  <c r="T287" i="4"/>
  <c r="Q285" i="4"/>
  <c r="T285" i="4"/>
  <c r="Q312" i="4"/>
  <c r="T312" i="4"/>
  <c r="Q296" i="4"/>
  <c r="T296" i="4"/>
  <c r="Q283" i="4"/>
  <c r="T283" i="4"/>
  <c r="Q303" i="4"/>
  <c r="T303" i="4"/>
  <c r="Q290" i="4"/>
  <c r="T290" i="4"/>
  <c r="D41" i="20"/>
  <c r="Q280" i="4"/>
  <c r="T280" i="4"/>
  <c r="Q308" i="4"/>
  <c r="T308" i="4"/>
  <c r="Q304" i="4"/>
  <c r="T304" i="4"/>
  <c r="Q307" i="4"/>
  <c r="T307" i="4"/>
  <c r="Q334" i="4"/>
  <c r="T334" i="4"/>
  <c r="Q343" i="4"/>
  <c r="T343" i="4"/>
  <c r="Q339" i="4"/>
  <c r="T339" i="4"/>
  <c r="Q336" i="4"/>
  <c r="T336" i="4"/>
  <c r="Q347" i="4"/>
  <c r="T347" i="4"/>
  <c r="Q342" i="4"/>
  <c r="T342" i="4"/>
  <c r="Q346" i="4"/>
  <c r="T346" i="4"/>
  <c r="Q341" i="4"/>
  <c r="T341" i="4"/>
  <c r="Q338" i="4"/>
  <c r="T338" i="4"/>
  <c r="Q328" i="4"/>
  <c r="T328" i="4"/>
  <c r="Q345" i="4"/>
  <c r="T345" i="4"/>
  <c r="Q327" i="4"/>
  <c r="T327" i="4"/>
  <c r="Q335" i="4"/>
  <c r="T335" i="4"/>
  <c r="Q344" i="4"/>
  <c r="T344" i="4"/>
  <c r="Q326" i="4"/>
  <c r="T326" i="4"/>
  <c r="Q330" i="4"/>
  <c r="T330" i="4"/>
  <c r="AA348" i="4"/>
  <c r="W348" i="4"/>
  <c r="R348" i="4"/>
  <c r="U348" i="4"/>
  <c r="V348" i="4" s="1"/>
  <c r="S348" i="4"/>
  <c r="Q329" i="4"/>
  <c r="T329" i="4"/>
  <c r="Q337" i="4"/>
  <c r="T337" i="4"/>
  <c r="Q332" i="4"/>
  <c r="T332" i="4"/>
  <c r="Q340" i="4"/>
  <c r="T340" i="4"/>
  <c r="Q333" i="4"/>
  <c r="T333" i="4"/>
  <c r="N98" i="22"/>
  <c r="M98" i="22"/>
  <c r="L98" i="22"/>
  <c r="L146" i="22"/>
  <c r="M146" i="22"/>
  <c r="N146" i="22"/>
  <c r="Q93" i="22"/>
  <c r="Q350" i="22" s="1"/>
  <c r="Q351" i="22" s="1"/>
  <c r="R352" i="22" s="1"/>
  <c r="R353" i="22" s="1"/>
  <c r="T93" i="22"/>
  <c r="Q326" i="22"/>
  <c r="T326" i="22"/>
  <c r="N199" i="22"/>
  <c r="M199" i="22"/>
  <c r="L199" i="22"/>
  <c r="T199" i="22"/>
  <c r="Q199" i="22"/>
  <c r="Q146" i="22"/>
  <c r="T146" i="22"/>
  <c r="N326" i="22"/>
  <c r="M326" i="22"/>
  <c r="L326" i="22"/>
  <c r="T350" i="22"/>
  <c r="T351" i="22" s="1"/>
  <c r="V352" i="22" s="1"/>
  <c r="V353" i="22" s="1"/>
  <c r="T98" i="22"/>
  <c r="Q98" i="22"/>
  <c r="N93" i="22"/>
  <c r="N350" i="22" s="1"/>
  <c r="N351" i="22" s="1"/>
  <c r="M93" i="22"/>
  <c r="M350" i="22" s="1"/>
  <c r="M351" i="22" s="1"/>
  <c r="L93" i="22"/>
  <c r="L350" i="22" s="1"/>
  <c r="L351" i="22" s="1"/>
  <c r="Q180" i="4"/>
  <c r="Q66" i="4"/>
  <c r="Q75" i="4"/>
  <c r="Q121" i="4"/>
  <c r="Q108" i="4"/>
  <c r="J31" i="4"/>
  <c r="K31" i="4" s="1"/>
  <c r="O31" i="4"/>
  <c r="P31" i="4" s="1"/>
  <c r="L315" i="4"/>
  <c r="N315" i="4"/>
  <c r="M315" i="4"/>
  <c r="L57" i="4"/>
  <c r="N57" i="4"/>
  <c r="M57" i="4"/>
  <c r="L116" i="4"/>
  <c r="N116" i="4"/>
  <c r="M116" i="4"/>
  <c r="L302" i="4"/>
  <c r="N302" i="4"/>
  <c r="M302" i="4"/>
  <c r="L37" i="4"/>
  <c r="M37" i="4"/>
  <c r="N37" i="4"/>
  <c r="Q157" i="4"/>
  <c r="Q5" i="4"/>
  <c r="L308" i="4"/>
  <c r="N308" i="4"/>
  <c r="M308" i="4"/>
  <c r="Q96" i="4"/>
  <c r="Q193" i="4"/>
  <c r="Q152" i="4"/>
  <c r="Q186" i="4"/>
  <c r="Q76" i="4"/>
  <c r="L244" i="4"/>
  <c r="M244" i="4"/>
  <c r="N244" i="4"/>
  <c r="L202" i="4"/>
  <c r="N202" i="4"/>
  <c r="M202" i="4"/>
  <c r="L337" i="4"/>
  <c r="N337" i="4"/>
  <c r="M337" i="4"/>
  <c r="L325" i="4"/>
  <c r="M325" i="4"/>
  <c r="N325" i="4"/>
  <c r="L322" i="4"/>
  <c r="M322" i="4"/>
  <c r="N322" i="4"/>
  <c r="L195" i="4"/>
  <c r="N195" i="4"/>
  <c r="M195" i="4"/>
  <c r="L96" i="4"/>
  <c r="N96" i="4"/>
  <c r="M96" i="4"/>
  <c r="L193" i="4"/>
  <c r="M193" i="4"/>
  <c r="N193" i="4"/>
  <c r="L181" i="4"/>
  <c r="M181" i="4"/>
  <c r="N181" i="4"/>
  <c r="L155" i="4"/>
  <c r="N155" i="4"/>
  <c r="M155" i="4"/>
  <c r="L120" i="4"/>
  <c r="M120" i="4"/>
  <c r="N120" i="4"/>
  <c r="L76" i="4"/>
  <c r="N76" i="4"/>
  <c r="M76" i="4"/>
  <c r="Q122" i="4"/>
  <c r="Q48" i="4"/>
  <c r="Q15" i="4"/>
  <c r="Q22" i="4"/>
  <c r="Q164" i="4"/>
  <c r="Q80" i="4"/>
  <c r="L211" i="4"/>
  <c r="M211" i="4"/>
  <c r="N211" i="4"/>
  <c r="L281" i="4"/>
  <c r="N281" i="4"/>
  <c r="M281" i="4"/>
  <c r="L222" i="4"/>
  <c r="N222" i="4"/>
  <c r="M222" i="4"/>
  <c r="L102" i="4"/>
  <c r="N102" i="4"/>
  <c r="M102" i="4"/>
  <c r="L187" i="4"/>
  <c r="N187" i="4"/>
  <c r="M187" i="4"/>
  <c r="L48" i="4"/>
  <c r="N48" i="4"/>
  <c r="M48" i="4"/>
  <c r="L332" i="4"/>
  <c r="N332" i="4"/>
  <c r="M332" i="4"/>
  <c r="L168" i="4"/>
  <c r="N168" i="4"/>
  <c r="M168" i="4"/>
  <c r="L161" i="4"/>
  <c r="N161" i="4"/>
  <c r="M161" i="4"/>
  <c r="L321" i="4"/>
  <c r="N321" i="4"/>
  <c r="M321" i="4"/>
  <c r="L79" i="4"/>
  <c r="N79" i="4"/>
  <c r="M79" i="4"/>
  <c r="L199" i="4"/>
  <c r="N199" i="4"/>
  <c r="M199" i="4"/>
  <c r="L257" i="4"/>
  <c r="N257" i="4"/>
  <c r="M257" i="4"/>
  <c r="Q189" i="4"/>
  <c r="Q39" i="4"/>
  <c r="L80" i="4"/>
  <c r="N80" i="4"/>
  <c r="M80" i="4"/>
  <c r="Q144" i="4"/>
  <c r="Q169" i="4"/>
  <c r="Q149" i="4"/>
  <c r="Q63" i="4"/>
  <c r="L189" i="4"/>
  <c r="N189" i="4"/>
  <c r="M189" i="4"/>
  <c r="L39" i="4"/>
  <c r="M39" i="4"/>
  <c r="N39" i="4"/>
  <c r="L240" i="4"/>
  <c r="N240" i="4"/>
  <c r="M240" i="4"/>
  <c r="Q40" i="4"/>
  <c r="Q72" i="4"/>
  <c r="L226" i="4"/>
  <c r="M226" i="4"/>
  <c r="N226" i="4"/>
  <c r="L28" i="4"/>
  <c r="M28" i="4"/>
  <c r="N28" i="4"/>
  <c r="L233" i="4"/>
  <c r="N233" i="4"/>
  <c r="M233" i="4"/>
  <c r="L65" i="4"/>
  <c r="M65" i="4"/>
  <c r="N65" i="4"/>
  <c r="L345" i="4"/>
  <c r="M345" i="4"/>
  <c r="N345" i="4"/>
  <c r="L224" i="4"/>
  <c r="N224" i="4"/>
  <c r="M224" i="4"/>
  <c r="L32" i="4"/>
  <c r="M32" i="4"/>
  <c r="N32" i="4"/>
  <c r="L21" i="4"/>
  <c r="N21" i="4"/>
  <c r="M21" i="4"/>
  <c r="L213" i="4"/>
  <c r="M213" i="4"/>
  <c r="N213" i="4"/>
  <c r="L125" i="4"/>
  <c r="N125" i="4"/>
  <c r="M125" i="4"/>
  <c r="L103" i="4"/>
  <c r="M103" i="4"/>
  <c r="N103" i="4"/>
  <c r="L98" i="4"/>
  <c r="M98" i="4"/>
  <c r="N98" i="4"/>
  <c r="L261" i="4"/>
  <c r="N261" i="4"/>
  <c r="M261" i="4"/>
  <c r="L221" i="4"/>
  <c r="N221" i="4"/>
  <c r="M221" i="4"/>
  <c r="L145" i="4"/>
  <c r="N145" i="4"/>
  <c r="M145" i="4"/>
  <c r="L153" i="4"/>
  <c r="N153" i="4"/>
  <c r="M153" i="4"/>
  <c r="L82" i="4"/>
  <c r="M82" i="4"/>
  <c r="N82" i="4"/>
  <c r="L51" i="4"/>
  <c r="N51" i="4"/>
  <c r="M51" i="4"/>
  <c r="L72" i="4"/>
  <c r="N72" i="4"/>
  <c r="M72" i="4"/>
  <c r="L327" i="4"/>
  <c r="N327" i="4"/>
  <c r="M327" i="4"/>
  <c r="Q106" i="4"/>
  <c r="Q117" i="4"/>
  <c r="Q16" i="4"/>
  <c r="L13" i="4"/>
  <c r="M13" i="4"/>
  <c r="N13" i="4"/>
  <c r="Q88" i="4"/>
  <c r="L267" i="4"/>
  <c r="N267" i="4"/>
  <c r="M267" i="4"/>
  <c r="Q175" i="4"/>
  <c r="Q150" i="4"/>
  <c r="Q147" i="4"/>
  <c r="Q178" i="4"/>
  <c r="Q41" i="4"/>
  <c r="L141" i="4"/>
  <c r="N141" i="4"/>
  <c r="M141" i="4"/>
  <c r="J112" i="4"/>
  <c r="K112" i="4" s="1"/>
  <c r="O112" i="4"/>
  <c r="P112" i="4" s="1"/>
  <c r="T112" i="4" s="1"/>
  <c r="Q86" i="4"/>
  <c r="Q56" i="4"/>
  <c r="Q33" i="4"/>
  <c r="L216" i="4"/>
  <c r="N216" i="4"/>
  <c r="M216" i="4"/>
  <c r="L106" i="4"/>
  <c r="N106" i="4"/>
  <c r="M106" i="4"/>
  <c r="L347" i="4"/>
  <c r="M347" i="4"/>
  <c r="N347" i="4"/>
  <c r="L117" i="4"/>
  <c r="N117" i="4"/>
  <c r="M117" i="4"/>
  <c r="L74" i="4"/>
  <c r="N74" i="4"/>
  <c r="M74" i="4"/>
  <c r="L190" i="4"/>
  <c r="M190" i="4"/>
  <c r="N190" i="4"/>
  <c r="L335" i="4"/>
  <c r="N335" i="4"/>
  <c r="M335" i="4"/>
  <c r="L291" i="4"/>
  <c r="N291" i="4"/>
  <c r="M291" i="4"/>
  <c r="L16" i="4"/>
  <c r="N16" i="4"/>
  <c r="M16" i="4"/>
  <c r="L250" i="4"/>
  <c r="N250" i="4"/>
  <c r="M250" i="4"/>
  <c r="L299" i="4"/>
  <c r="N299" i="4"/>
  <c r="M299" i="4"/>
  <c r="L263" i="4"/>
  <c r="N263" i="4"/>
  <c r="M263" i="4"/>
  <c r="L342" i="4"/>
  <c r="N342" i="4"/>
  <c r="M342" i="4"/>
  <c r="L223" i="4"/>
  <c r="N223" i="4"/>
  <c r="M223" i="4"/>
  <c r="L271" i="4"/>
  <c r="M271" i="4"/>
  <c r="N271" i="4"/>
  <c r="L88" i="4"/>
  <c r="N88" i="4"/>
  <c r="M88" i="4"/>
  <c r="L344" i="4"/>
  <c r="M344" i="4"/>
  <c r="L286" i="4"/>
  <c r="N286" i="4"/>
  <c r="M286" i="4"/>
  <c r="L274" i="4"/>
  <c r="N274" i="4"/>
  <c r="M274" i="4"/>
  <c r="L251" i="4"/>
  <c r="N251" i="4"/>
  <c r="M251" i="4"/>
  <c r="L275" i="4"/>
  <c r="N275" i="4"/>
  <c r="M275" i="4"/>
  <c r="L175" i="4"/>
  <c r="M175" i="4"/>
  <c r="N175" i="4"/>
  <c r="L150" i="4"/>
  <c r="M150" i="4"/>
  <c r="N150" i="4"/>
  <c r="L162" i="4"/>
  <c r="M162" i="4"/>
  <c r="N162" i="4"/>
  <c r="L285" i="4"/>
  <c r="M285" i="4"/>
  <c r="N285" i="4"/>
  <c r="L53" i="4"/>
  <c r="M53" i="4"/>
  <c r="N53" i="4"/>
  <c r="L147" i="4"/>
  <c r="M147" i="4"/>
  <c r="N147" i="4"/>
  <c r="L105" i="4"/>
  <c r="M105" i="4"/>
  <c r="N105" i="4"/>
  <c r="L178" i="4"/>
  <c r="N178" i="4"/>
  <c r="M178" i="4"/>
  <c r="L340" i="4"/>
  <c r="N340" i="4"/>
  <c r="M340" i="4"/>
  <c r="L41" i="4"/>
  <c r="N41" i="4"/>
  <c r="M41" i="4"/>
  <c r="L184" i="4"/>
  <c r="N184" i="4"/>
  <c r="M184" i="4"/>
  <c r="L314" i="4"/>
  <c r="M314" i="4"/>
  <c r="N314" i="4"/>
  <c r="L333" i="4"/>
  <c r="N333" i="4"/>
  <c r="M333" i="4"/>
  <c r="L130" i="4"/>
  <c r="N130" i="4"/>
  <c r="M130" i="4"/>
  <c r="L170" i="4"/>
  <c r="N170" i="4"/>
  <c r="M170" i="4"/>
  <c r="Q20" i="4"/>
  <c r="L249" i="4"/>
  <c r="N249" i="4"/>
  <c r="M249" i="4"/>
  <c r="L241" i="4"/>
  <c r="M241" i="4"/>
  <c r="N241" i="4"/>
  <c r="J18" i="4"/>
  <c r="K18" i="4" s="1"/>
  <c r="O18" i="4"/>
  <c r="P18" i="4" s="1"/>
  <c r="T18" i="4" s="1"/>
  <c r="L235" i="4"/>
  <c r="N235" i="4"/>
  <c r="M235" i="4"/>
  <c r="L312" i="4"/>
  <c r="N312" i="4"/>
  <c r="M312" i="4"/>
  <c r="L254" i="4"/>
  <c r="M254" i="4"/>
  <c r="N254" i="4"/>
  <c r="L86" i="4"/>
  <c r="N86" i="4"/>
  <c r="M86" i="4"/>
  <c r="L309" i="4"/>
  <c r="N309" i="4"/>
  <c r="M309" i="4"/>
  <c r="L292" i="4"/>
  <c r="N292" i="4"/>
  <c r="M292" i="4"/>
  <c r="L56" i="4"/>
  <c r="N56" i="4"/>
  <c r="M56" i="4"/>
  <c r="L33" i="4"/>
  <c r="N33" i="4"/>
  <c r="M33" i="4"/>
  <c r="Q7" i="4"/>
  <c r="Q172" i="4"/>
  <c r="Q94" i="4"/>
  <c r="Q62" i="4"/>
  <c r="L273" i="4"/>
  <c r="N273" i="4"/>
  <c r="M273" i="4"/>
  <c r="Q109" i="4"/>
  <c r="Q58" i="4"/>
  <c r="Q196" i="4"/>
  <c r="Q60" i="4"/>
  <c r="Q11" i="4"/>
  <c r="Q81" i="4"/>
  <c r="L245" i="4"/>
  <c r="N245" i="4"/>
  <c r="M245" i="4"/>
  <c r="L298" i="4"/>
  <c r="N298" i="4"/>
  <c r="M298" i="4"/>
  <c r="Q6" i="4"/>
  <c r="Q4" i="4"/>
  <c r="Q12" i="4"/>
  <c r="Q87" i="4"/>
  <c r="Q104" i="4"/>
  <c r="Q165" i="4"/>
  <c r="Q43" i="4"/>
  <c r="L20" i="4"/>
  <c r="N20" i="4"/>
  <c r="M20" i="4"/>
  <c r="L248" i="4"/>
  <c r="N248" i="4"/>
  <c r="M248" i="4"/>
  <c r="L156" i="4"/>
  <c r="N156" i="4"/>
  <c r="M156" i="4"/>
  <c r="Q179" i="4"/>
  <c r="Q123" i="4"/>
  <c r="L192" i="4"/>
  <c r="N192" i="4"/>
  <c r="M192" i="4"/>
  <c r="L180" i="4"/>
  <c r="N180" i="4"/>
  <c r="M180" i="4"/>
  <c r="L75" i="4"/>
  <c r="N75" i="4"/>
  <c r="M75" i="4"/>
  <c r="L310" i="4"/>
  <c r="N310" i="4"/>
  <c r="M310" i="4"/>
  <c r="L157" i="4"/>
  <c r="N157" i="4"/>
  <c r="M157" i="4"/>
  <c r="Q84" i="4"/>
  <c r="L8" i="4"/>
  <c r="N8" i="4"/>
  <c r="M8" i="4"/>
  <c r="L307" i="4"/>
  <c r="N307" i="4"/>
  <c r="M307" i="4"/>
  <c r="L243" i="4"/>
  <c r="N243" i="4"/>
  <c r="M243" i="4"/>
  <c r="L148" i="4"/>
  <c r="N148" i="4"/>
  <c r="M148" i="4"/>
  <c r="L99" i="4"/>
  <c r="M99" i="4"/>
  <c r="N99" i="4"/>
  <c r="L186" i="4"/>
  <c r="N186" i="4"/>
  <c r="M186" i="4"/>
  <c r="Q110" i="4"/>
  <c r="Q194" i="4"/>
  <c r="Q35" i="4"/>
  <c r="L84" i="4"/>
  <c r="N84" i="4"/>
  <c r="M84" i="4"/>
  <c r="Q168" i="4"/>
  <c r="Q78" i="4"/>
  <c r="Q55" i="4"/>
  <c r="L252" i="4"/>
  <c r="N252" i="4"/>
  <c r="M252" i="4"/>
  <c r="Q85" i="4"/>
  <c r="L158" i="4"/>
  <c r="M158" i="4"/>
  <c r="N158" i="4"/>
  <c r="L185" i="4"/>
  <c r="M185" i="4"/>
  <c r="N185" i="4"/>
  <c r="L54" i="4"/>
  <c r="N54" i="4"/>
  <c r="M54" i="4"/>
  <c r="L236" i="4"/>
  <c r="N236" i="4"/>
  <c r="M236" i="4"/>
  <c r="Q173" i="4"/>
  <c r="L101" i="4"/>
  <c r="N101" i="4"/>
  <c r="M101" i="4"/>
  <c r="J17" i="4"/>
  <c r="K17" i="4" s="1"/>
  <c r="O17" i="4"/>
  <c r="P17" i="4" s="1"/>
  <c r="T17" i="4" s="1"/>
  <c r="L232" i="4"/>
  <c r="M232" i="4"/>
  <c r="N232" i="4"/>
  <c r="L146" i="4"/>
  <c r="M146" i="4"/>
  <c r="N146" i="4"/>
  <c r="L214" i="4"/>
  <c r="N214" i="4"/>
  <c r="M214" i="4"/>
  <c r="Q111" i="4"/>
  <c r="Q28" i="4"/>
  <c r="Q135" i="4"/>
  <c r="Q71" i="4"/>
  <c r="Q198" i="4"/>
  <c r="L173" i="4"/>
  <c r="M173" i="4"/>
  <c r="N173" i="4"/>
  <c r="Q98" i="4"/>
  <c r="Q145" i="4"/>
  <c r="L127" i="4"/>
  <c r="N127" i="4"/>
  <c r="M127" i="4"/>
  <c r="L131" i="4"/>
  <c r="N131" i="4"/>
  <c r="M131" i="4"/>
  <c r="L169" i="4"/>
  <c r="M169" i="4"/>
  <c r="N169" i="4"/>
  <c r="L227" i="4"/>
  <c r="M227" i="4"/>
  <c r="N227" i="4"/>
  <c r="L209" i="4"/>
  <c r="N209" i="4"/>
  <c r="M209" i="4"/>
  <c r="L238" i="4"/>
  <c r="N238" i="4"/>
  <c r="M238" i="4"/>
  <c r="L133" i="4"/>
  <c r="N133" i="4"/>
  <c r="M133" i="4"/>
  <c r="L149" i="4"/>
  <c r="M149" i="4"/>
  <c r="N149" i="4"/>
  <c r="L69" i="4"/>
  <c r="N69" i="4"/>
  <c r="M69" i="4"/>
  <c r="L63" i="4"/>
  <c r="M63" i="4"/>
  <c r="N63" i="4"/>
  <c r="L19" i="4"/>
  <c r="N19" i="4"/>
  <c r="M19" i="4"/>
  <c r="Q141" i="4"/>
  <c r="Q68" i="4"/>
  <c r="L44" i="4"/>
  <c r="N44" i="4"/>
  <c r="M44" i="4"/>
  <c r="J316" i="4"/>
  <c r="K316" i="4" s="1"/>
  <c r="O316" i="4"/>
  <c r="P316" i="4" s="1"/>
  <c r="J46" i="4"/>
  <c r="K46" i="4" s="1"/>
  <c r="O46" i="4"/>
  <c r="P46" i="4" s="1"/>
  <c r="T46" i="4" s="1"/>
  <c r="L142" i="4"/>
  <c r="N142" i="4"/>
  <c r="M142" i="4"/>
  <c r="L204" i="4"/>
  <c r="N204" i="4"/>
  <c r="M204" i="4"/>
  <c r="L136" i="4"/>
  <c r="N136" i="4"/>
  <c r="M136" i="4"/>
  <c r="L265" i="4"/>
  <c r="M265" i="4"/>
  <c r="N265" i="4"/>
  <c r="Q93" i="4"/>
  <c r="Q192" i="4"/>
  <c r="Q100" i="4"/>
  <c r="Q73" i="4"/>
  <c r="Q171" i="4"/>
  <c r="Q8" i="4"/>
  <c r="Q45" i="4"/>
  <c r="L290" i="4"/>
  <c r="N290" i="4"/>
  <c r="M290" i="4"/>
  <c r="Q99" i="4"/>
  <c r="L260" i="4"/>
  <c r="N260" i="4"/>
  <c r="M260" i="4"/>
  <c r="L93" i="4"/>
  <c r="N93" i="4"/>
  <c r="M93" i="4"/>
  <c r="L278" i="4"/>
  <c r="N278" i="4"/>
  <c r="M278" i="4"/>
  <c r="L66" i="4"/>
  <c r="N66" i="4"/>
  <c r="M66" i="4"/>
  <c r="L121" i="4"/>
  <c r="M121" i="4"/>
  <c r="N121" i="4"/>
  <c r="L67" i="4"/>
  <c r="N67" i="4"/>
  <c r="M67" i="4"/>
  <c r="L73" i="4"/>
  <c r="N73" i="4"/>
  <c r="M73" i="4"/>
  <c r="L5" i="4"/>
  <c r="N5" i="4"/>
  <c r="M5" i="4"/>
  <c r="L228" i="4"/>
  <c r="N228" i="4"/>
  <c r="M228" i="4"/>
  <c r="L304" i="4"/>
  <c r="N304" i="4"/>
  <c r="M304" i="4"/>
  <c r="L107" i="4"/>
  <c r="N107" i="4"/>
  <c r="M107" i="4"/>
  <c r="N140" i="4"/>
  <c r="M140" i="4"/>
  <c r="L140" i="4"/>
  <c r="L182" i="4"/>
  <c r="N182" i="4"/>
  <c r="M182" i="4"/>
  <c r="Q183" i="4"/>
  <c r="L253" i="4"/>
  <c r="M253" i="4"/>
  <c r="N253" i="4"/>
  <c r="J118" i="4"/>
  <c r="K118" i="4" s="1"/>
  <c r="O118" i="4"/>
  <c r="P118" i="4" s="1"/>
  <c r="T118" i="4" s="1"/>
  <c r="L255" i="4"/>
  <c r="N255" i="4"/>
  <c r="M255" i="4"/>
  <c r="Q54" i="4"/>
  <c r="Q174" i="4"/>
  <c r="Q101" i="4"/>
  <c r="Q161" i="4"/>
  <c r="Q79" i="4"/>
  <c r="Q64" i="4"/>
  <c r="Q89" i="4"/>
  <c r="L207" i="4"/>
  <c r="M207" i="4"/>
  <c r="N207" i="4"/>
  <c r="L122" i="4"/>
  <c r="N122" i="4"/>
  <c r="M122" i="4"/>
  <c r="L197" i="4"/>
  <c r="N197" i="4"/>
  <c r="M197" i="4"/>
  <c r="L200" i="4"/>
  <c r="N200" i="4"/>
  <c r="M200" i="4"/>
  <c r="L35" i="4"/>
  <c r="N35" i="4"/>
  <c r="M35" i="4"/>
  <c r="L215" i="4"/>
  <c r="N215" i="4"/>
  <c r="M215" i="4"/>
  <c r="L174" i="4"/>
  <c r="N174" i="4"/>
  <c r="M174" i="4"/>
  <c r="L143" i="4"/>
  <c r="N143" i="4"/>
  <c r="M143" i="4"/>
  <c r="L22" i="4"/>
  <c r="M22" i="4"/>
  <c r="N22" i="4"/>
  <c r="L78" i="4"/>
  <c r="M78" i="4"/>
  <c r="N78" i="4"/>
  <c r="L258" i="4"/>
  <c r="N258" i="4"/>
  <c r="M258" i="4"/>
  <c r="L55" i="4"/>
  <c r="N55" i="4"/>
  <c r="M55" i="4"/>
  <c r="L64" i="4"/>
  <c r="M64" i="4"/>
  <c r="N64" i="4"/>
  <c r="L85" i="4"/>
  <c r="N85" i="4"/>
  <c r="M85" i="4"/>
  <c r="L324" i="4"/>
  <c r="M324" i="4"/>
  <c r="N324" i="4"/>
  <c r="Q32" i="4"/>
  <c r="Q21" i="4"/>
  <c r="Q103" i="4"/>
  <c r="Q69" i="4"/>
  <c r="Q19" i="4"/>
  <c r="Q44" i="4"/>
  <c r="Q153" i="4"/>
  <c r="Q82" i="4"/>
  <c r="Q51" i="4"/>
  <c r="L111" i="4"/>
  <c r="N111" i="4"/>
  <c r="M111" i="4"/>
  <c r="L115" i="4"/>
  <c r="N115" i="4"/>
  <c r="M115" i="4"/>
  <c r="L144" i="4"/>
  <c r="M144" i="4"/>
  <c r="N144" i="4"/>
  <c r="L135" i="4"/>
  <c r="M135" i="4"/>
  <c r="N135" i="4"/>
  <c r="Q13" i="4"/>
  <c r="L71" i="4"/>
  <c r="M71" i="4"/>
  <c r="N71" i="4"/>
  <c r="L198" i="4"/>
  <c r="N198" i="4"/>
  <c r="M198" i="4"/>
  <c r="L287" i="4"/>
  <c r="N287" i="4"/>
  <c r="M287" i="4"/>
  <c r="L219" i="4"/>
  <c r="N219" i="4"/>
  <c r="M219" i="4"/>
  <c r="L201" i="4"/>
  <c r="N201" i="4"/>
  <c r="M201" i="4"/>
  <c r="L279" i="4"/>
  <c r="N279" i="4"/>
  <c r="M279" i="4"/>
  <c r="L269" i="4"/>
  <c r="M269" i="4"/>
  <c r="N269" i="4"/>
  <c r="J3" i="4"/>
  <c r="K3" i="4" s="1"/>
  <c r="O3" i="4"/>
  <c r="P3" i="4" s="1"/>
  <c r="T3" i="4" s="1"/>
  <c r="L336" i="4"/>
  <c r="N336" i="4"/>
  <c r="M336" i="4"/>
  <c r="L40" i="4"/>
  <c r="N40" i="4"/>
  <c r="M40" i="4"/>
  <c r="L284" i="4"/>
  <c r="M284" i="4"/>
  <c r="N284" i="4"/>
  <c r="L294" i="4"/>
  <c r="N294" i="4"/>
  <c r="M294" i="4"/>
  <c r="Q74" i="4"/>
  <c r="Q190" i="4"/>
  <c r="Q162" i="4"/>
  <c r="Q53" i="4"/>
  <c r="Q105" i="4"/>
  <c r="Q184" i="4"/>
  <c r="Q170" i="4"/>
  <c r="L68" i="4"/>
  <c r="N68" i="4"/>
  <c r="M68" i="4"/>
  <c r="J97" i="4"/>
  <c r="K97" i="4" s="1"/>
  <c r="O97" i="4"/>
  <c r="P97" i="4" s="1"/>
  <c r="T97" i="4" s="1"/>
  <c r="J167" i="4"/>
  <c r="K167" i="4" s="1"/>
  <c r="O167" i="4"/>
  <c r="P167" i="4" s="1"/>
  <c r="T167" i="4" s="1"/>
  <c r="Q42" i="4"/>
  <c r="L7" i="4"/>
  <c r="M7" i="4"/>
  <c r="N7" i="4"/>
  <c r="L172" i="4"/>
  <c r="M172" i="4"/>
  <c r="N172" i="4"/>
  <c r="L300" i="4"/>
  <c r="N300" i="4"/>
  <c r="M300" i="4"/>
  <c r="L242" i="4"/>
  <c r="M242" i="4"/>
  <c r="N242" i="4"/>
  <c r="L94" i="4"/>
  <c r="N94" i="4"/>
  <c r="M94" i="4"/>
  <c r="L319" i="4"/>
  <c r="N319" i="4"/>
  <c r="M319" i="4"/>
  <c r="L288" i="4"/>
  <c r="M288" i="4"/>
  <c r="N288" i="4"/>
  <c r="L230" i="4"/>
  <c r="M230" i="4"/>
  <c r="N230" i="4"/>
  <c r="L62" i="4"/>
  <c r="M62" i="4"/>
  <c r="N62" i="4"/>
  <c r="L212" i="4"/>
  <c r="N212" i="4"/>
  <c r="M212" i="4"/>
  <c r="L306" i="4"/>
  <c r="N306" i="4"/>
  <c r="M306" i="4"/>
  <c r="L237" i="4"/>
  <c r="N237" i="4"/>
  <c r="M237" i="4"/>
  <c r="L109" i="4"/>
  <c r="N109" i="4"/>
  <c r="M109" i="4"/>
  <c r="L58" i="4"/>
  <c r="N58" i="4"/>
  <c r="M58" i="4"/>
  <c r="L196" i="4"/>
  <c r="N196" i="4"/>
  <c r="M196" i="4"/>
  <c r="L60" i="4"/>
  <c r="N60" i="4"/>
  <c r="M60" i="4"/>
  <c r="L225" i="4"/>
  <c r="N225" i="4"/>
  <c r="M225" i="4"/>
  <c r="L11" i="4"/>
  <c r="M11" i="4"/>
  <c r="N11" i="4"/>
  <c r="L266" i="4"/>
  <c r="M266" i="4"/>
  <c r="N266" i="4"/>
  <c r="L293" i="4"/>
  <c r="N293" i="4"/>
  <c r="M293" i="4"/>
  <c r="L81" i="4"/>
  <c r="M81" i="4"/>
  <c r="N81" i="4"/>
  <c r="L289" i="4"/>
  <c r="M289" i="4"/>
  <c r="N289" i="4"/>
  <c r="L6" i="4"/>
  <c r="N6" i="4"/>
  <c r="M6" i="4"/>
  <c r="L234" i="4"/>
  <c r="N234" i="4"/>
  <c r="M234" i="4"/>
  <c r="L346" i="4"/>
  <c r="M346" i="4"/>
  <c r="N346" i="4"/>
  <c r="L326" i="4"/>
  <c r="N326" i="4"/>
  <c r="M326" i="4"/>
  <c r="L4" i="4"/>
  <c r="N4" i="4"/>
  <c r="M4" i="4"/>
  <c r="L256" i="4"/>
  <c r="N256" i="4"/>
  <c r="M256" i="4"/>
  <c r="L334" i="4"/>
  <c r="N334" i="4"/>
  <c r="M334" i="4"/>
  <c r="L12" i="4"/>
  <c r="M12" i="4"/>
  <c r="N12" i="4"/>
  <c r="L87" i="4"/>
  <c r="N87" i="4"/>
  <c r="M87" i="4"/>
  <c r="L104" i="4"/>
  <c r="N104" i="4"/>
  <c r="M104" i="4"/>
  <c r="L165" i="4"/>
  <c r="N165" i="4"/>
  <c r="M165" i="4"/>
  <c r="L43" i="4"/>
  <c r="N43" i="4"/>
  <c r="M43" i="4"/>
  <c r="L231" i="4"/>
  <c r="M231" i="4"/>
  <c r="N231" i="4"/>
  <c r="L272" i="4"/>
  <c r="M272" i="4"/>
  <c r="N272" i="4"/>
  <c r="Q91" i="4"/>
  <c r="Q151" i="4"/>
  <c r="L317" i="4"/>
  <c r="N317" i="4"/>
  <c r="M317" i="4"/>
  <c r="L210" i="4"/>
  <c r="N210" i="4"/>
  <c r="M210" i="4"/>
  <c r="L343" i="4"/>
  <c r="M343" i="4"/>
  <c r="N343" i="4"/>
  <c r="J70" i="4"/>
  <c r="K70" i="4" s="1"/>
  <c r="O70" i="4"/>
  <c r="P70" i="4" s="1"/>
  <c r="T70" i="4" s="1"/>
  <c r="J10" i="4"/>
  <c r="K10" i="4" s="1"/>
  <c r="O10" i="4"/>
  <c r="P10" i="4" s="1"/>
  <c r="T10" i="4" s="1"/>
  <c r="J348" i="4"/>
  <c r="K348" i="4" s="1"/>
  <c r="O348" i="4"/>
  <c r="P348" i="4" s="1"/>
  <c r="T348" i="4" s="1"/>
  <c r="L296" i="4"/>
  <c r="N296" i="4"/>
  <c r="M296" i="4"/>
  <c r="L320" i="4"/>
  <c r="N320" i="4"/>
  <c r="M320" i="4"/>
  <c r="L338" i="4"/>
  <c r="N338" i="4"/>
  <c r="M338" i="4"/>
  <c r="L229" i="4"/>
  <c r="M229" i="4"/>
  <c r="N229" i="4"/>
  <c r="L42" i="4"/>
  <c r="N42" i="4"/>
  <c r="M42" i="4"/>
  <c r="L247" i="4"/>
  <c r="N247" i="4"/>
  <c r="M247" i="4"/>
  <c r="L328" i="4"/>
  <c r="N328" i="4"/>
  <c r="M328" i="4"/>
  <c r="L339" i="4"/>
  <c r="N339" i="4"/>
  <c r="M339" i="4"/>
  <c r="L330" i="4"/>
  <c r="N330" i="4"/>
  <c r="M330" i="4"/>
  <c r="Q59" i="4"/>
  <c r="Q30" i="4"/>
  <c r="Q163" i="4"/>
  <c r="Q114" i="4"/>
  <c r="Q177" i="4"/>
  <c r="Q29" i="4"/>
  <c r="Q47" i="4"/>
  <c r="Q124" i="4"/>
  <c r="Q160" i="4"/>
  <c r="Q176" i="4"/>
  <c r="Q188" i="4"/>
  <c r="Q52" i="4"/>
  <c r="L323" i="4"/>
  <c r="M323" i="4"/>
  <c r="N323" i="4"/>
  <c r="L341" i="4"/>
  <c r="M341" i="4"/>
  <c r="N341" i="4"/>
  <c r="Q9" i="4"/>
  <c r="Q191" i="4"/>
  <c r="Q49" i="4"/>
  <c r="Q50" i="4"/>
  <c r="Q113" i="4"/>
  <c r="Q23" i="4"/>
  <c r="Q34" i="4"/>
  <c r="Q137" i="4"/>
  <c r="Q61" i="4"/>
  <c r="Q14" i="4"/>
  <c r="L91" i="4"/>
  <c r="N91" i="4"/>
  <c r="M91" i="4"/>
  <c r="L151" i="4"/>
  <c r="M151" i="4"/>
  <c r="N151" i="4"/>
  <c r="Q92" i="4"/>
  <c r="Q138" i="4"/>
  <c r="Q119" i="4"/>
  <c r="Q67" i="4"/>
  <c r="Q195" i="4"/>
  <c r="L36" i="4"/>
  <c r="M36" i="4"/>
  <c r="N36" i="4"/>
  <c r="Q107" i="4"/>
  <c r="Q181" i="4"/>
  <c r="Q155" i="4"/>
  <c r="Q182" i="4"/>
  <c r="Q120" i="4"/>
  <c r="Q148" i="4"/>
  <c r="Q154" i="4"/>
  <c r="L282" i="4"/>
  <c r="M282" i="4"/>
  <c r="N282" i="4"/>
  <c r="L126" i="4"/>
  <c r="M126" i="4"/>
  <c r="N126" i="4"/>
  <c r="L108" i="4"/>
  <c r="N108" i="4"/>
  <c r="M108" i="4"/>
  <c r="L100" i="4"/>
  <c r="N100" i="4"/>
  <c r="M100" i="4"/>
  <c r="L171" i="4"/>
  <c r="N171" i="4"/>
  <c r="M171" i="4"/>
  <c r="L329" i="4"/>
  <c r="M329" i="4"/>
  <c r="N329" i="4"/>
  <c r="L45" i="4"/>
  <c r="M45" i="4"/>
  <c r="N45" i="4"/>
  <c r="J139" i="4"/>
  <c r="K139" i="4" s="1"/>
  <c r="O139" i="4"/>
  <c r="P139" i="4" s="1"/>
  <c r="L152" i="4"/>
  <c r="M152" i="4"/>
  <c r="N152" i="4"/>
  <c r="L179" i="4"/>
  <c r="M179" i="4"/>
  <c r="N179" i="4"/>
  <c r="L154" i="4"/>
  <c r="N154" i="4"/>
  <c r="M154" i="4"/>
  <c r="L123" i="4"/>
  <c r="N123" i="4"/>
  <c r="M123" i="4"/>
  <c r="Q77" i="4"/>
  <c r="Q197" i="4"/>
  <c r="Q185" i="4"/>
  <c r="Q102" i="4"/>
  <c r="Q187" i="4"/>
  <c r="L208" i="4"/>
  <c r="N208" i="4"/>
  <c r="M208" i="4"/>
  <c r="Q143" i="4"/>
  <c r="L183" i="4"/>
  <c r="N183" i="4"/>
  <c r="M183" i="4"/>
  <c r="L301" i="4"/>
  <c r="N301" i="4"/>
  <c r="M301" i="4"/>
  <c r="Q146" i="4"/>
  <c r="L220" i="4"/>
  <c r="N220" i="4"/>
  <c r="M220" i="4"/>
  <c r="L77" i="4"/>
  <c r="N77" i="4"/>
  <c r="M77" i="4"/>
  <c r="L110" i="4"/>
  <c r="N110" i="4"/>
  <c r="M110" i="4"/>
  <c r="L194" i="4"/>
  <c r="N194" i="4"/>
  <c r="M194" i="4"/>
  <c r="L239" i="4"/>
  <c r="M239" i="4"/>
  <c r="N239" i="4"/>
  <c r="L295" i="4"/>
  <c r="N295" i="4"/>
  <c r="M295" i="4"/>
  <c r="L15" i="4"/>
  <c r="N15" i="4"/>
  <c r="M15" i="4"/>
  <c r="L164" i="4"/>
  <c r="N164" i="4"/>
  <c r="M164" i="4"/>
  <c r="L277" i="4"/>
  <c r="M277" i="4"/>
  <c r="N277" i="4"/>
  <c r="J38" i="4"/>
  <c r="K38" i="4" s="1"/>
  <c r="O38" i="4"/>
  <c r="P38" i="4" s="1"/>
  <c r="L89" i="4"/>
  <c r="N89" i="4"/>
  <c r="M89" i="4"/>
  <c r="L313" i="4"/>
  <c r="N313" i="4"/>
  <c r="M313" i="4"/>
  <c r="L305" i="4"/>
  <c r="M305" i="4"/>
  <c r="N305" i="4"/>
  <c r="Q115" i="4"/>
  <c r="Q65" i="4"/>
  <c r="Q142" i="4"/>
  <c r="Q57" i="4"/>
  <c r="Q116" i="4"/>
  <c r="Q136" i="4"/>
  <c r="Q37" i="4"/>
  <c r="L280" i="4"/>
  <c r="N280" i="4"/>
  <c r="M280" i="4"/>
  <c r="L259" i="4"/>
  <c r="N259" i="4"/>
  <c r="M259" i="4"/>
  <c r="L59" i="4"/>
  <c r="N59" i="4"/>
  <c r="M59" i="4"/>
  <c r="L217" i="4"/>
  <c r="N217" i="4"/>
  <c r="M217" i="4"/>
  <c r="L30" i="4"/>
  <c r="N30" i="4"/>
  <c r="M30" i="4"/>
  <c r="L163" i="4"/>
  <c r="M163" i="4"/>
  <c r="N163" i="4"/>
  <c r="L262" i="4"/>
  <c r="N262" i="4"/>
  <c r="M262" i="4"/>
  <c r="L114" i="4"/>
  <c r="M114" i="4"/>
  <c r="N114" i="4"/>
  <c r="L205" i="4"/>
  <c r="M205" i="4"/>
  <c r="N205" i="4"/>
  <c r="L283" i="4"/>
  <c r="M283" i="4"/>
  <c r="N283" i="4"/>
  <c r="L177" i="4"/>
  <c r="N177" i="4"/>
  <c r="M177" i="4"/>
  <c r="L303" i="4"/>
  <c r="N303" i="4"/>
  <c r="M303" i="4"/>
  <c r="L29" i="4"/>
  <c r="N29" i="4"/>
  <c r="M29" i="4"/>
  <c r="L47" i="4"/>
  <c r="N47" i="4"/>
  <c r="M47" i="4"/>
  <c r="L124" i="4"/>
  <c r="N124" i="4"/>
  <c r="M124" i="4"/>
  <c r="L160" i="4"/>
  <c r="N160" i="4"/>
  <c r="M160" i="4"/>
  <c r="L176" i="4"/>
  <c r="N176" i="4"/>
  <c r="M176" i="4"/>
  <c r="L188" i="4"/>
  <c r="N188" i="4"/>
  <c r="M188" i="4"/>
  <c r="L203" i="4"/>
  <c r="M203" i="4"/>
  <c r="N203" i="4"/>
  <c r="L52" i="4"/>
  <c r="M52" i="4"/>
  <c r="N52" i="4"/>
  <c r="L270" i="4"/>
  <c r="M270" i="4"/>
  <c r="N270" i="4"/>
  <c r="L264" i="4"/>
  <c r="N264" i="4"/>
  <c r="M264" i="4"/>
  <c r="Q36" i="4"/>
  <c r="L9" i="4"/>
  <c r="M9" i="4"/>
  <c r="N9" i="4"/>
  <c r="L191" i="4"/>
  <c r="M191" i="4"/>
  <c r="N191" i="4"/>
  <c r="L49" i="4"/>
  <c r="N49" i="4"/>
  <c r="M49" i="4"/>
  <c r="L276" i="4"/>
  <c r="N276" i="4"/>
  <c r="M276" i="4"/>
  <c r="L218" i="4"/>
  <c r="N218" i="4"/>
  <c r="M218" i="4"/>
  <c r="L50" i="4"/>
  <c r="N50" i="4"/>
  <c r="M50" i="4"/>
  <c r="L113" i="4"/>
  <c r="N113" i="4"/>
  <c r="M113" i="4"/>
  <c r="L311" i="4"/>
  <c r="N311" i="4"/>
  <c r="M311" i="4"/>
  <c r="L206" i="4"/>
  <c r="M206" i="4"/>
  <c r="N206" i="4"/>
  <c r="L23" i="4"/>
  <c r="N23" i="4"/>
  <c r="M23" i="4"/>
  <c r="L34" i="4"/>
  <c r="N34" i="4"/>
  <c r="M34" i="4"/>
  <c r="L137" i="4"/>
  <c r="N137" i="4"/>
  <c r="M137" i="4"/>
  <c r="L61" i="4"/>
  <c r="N61" i="4"/>
  <c r="M61" i="4"/>
  <c r="L14" i="4"/>
  <c r="N14" i="4"/>
  <c r="M14" i="4"/>
  <c r="Q156" i="4"/>
  <c r="L92" i="4"/>
  <c r="N92" i="4"/>
  <c r="M92" i="4"/>
  <c r="L138" i="4"/>
  <c r="M138" i="4"/>
  <c r="N138" i="4"/>
  <c r="L119" i="4"/>
  <c r="M119" i="4"/>
  <c r="N119" i="4"/>
  <c r="F28" i="7"/>
  <c r="G28" i="7" s="1"/>
  <c r="H28" i="7" s="1"/>
  <c r="I28" i="7" s="1"/>
  <c r="F6" i="7"/>
  <c r="G6" i="7" s="1"/>
  <c r="H6" i="7" s="1"/>
  <c r="I6" i="7" s="1"/>
  <c r="J6" i="7" s="1"/>
  <c r="F13" i="7"/>
  <c r="G13" i="7" s="1"/>
  <c r="H13" i="7" s="1"/>
  <c r="I13" i="7" s="1"/>
  <c r="F12" i="7"/>
  <c r="G12" i="7" s="1"/>
  <c r="H12" i="7" s="1"/>
  <c r="I12" i="7" s="1"/>
  <c r="F7" i="7"/>
  <c r="G7" i="7" s="1"/>
  <c r="H7" i="7" s="1"/>
  <c r="I7" i="7" s="1"/>
  <c r="J7" i="7" s="1"/>
  <c r="F19" i="7"/>
  <c r="G19" i="7" s="1"/>
  <c r="H19" i="7" s="1"/>
  <c r="I19" i="7" s="1"/>
  <c r="J19" i="7" s="1"/>
  <c r="F29" i="7"/>
  <c r="G29" i="7" s="1"/>
  <c r="H29" i="7" s="1"/>
  <c r="I29" i="7" s="1"/>
  <c r="F26" i="7"/>
  <c r="G26" i="7" s="1"/>
  <c r="H26" i="7" s="1"/>
  <c r="I26" i="7" s="1"/>
  <c r="J26" i="7" s="1"/>
  <c r="F3" i="7"/>
  <c r="G3" i="7" s="1"/>
  <c r="H3" i="7" s="1"/>
  <c r="I3" i="7" s="1"/>
  <c r="J3" i="7" s="1"/>
  <c r="F27" i="7"/>
  <c r="G27" i="7" s="1"/>
  <c r="H27" i="7" s="1"/>
  <c r="I27" i="7" s="1"/>
  <c r="J27" i="7" s="1"/>
  <c r="F30" i="7"/>
  <c r="G30" i="7" s="1"/>
  <c r="H30" i="7" s="1"/>
  <c r="I30" i="7" s="1"/>
  <c r="J30" i="7" s="1"/>
  <c r="F8" i="7"/>
  <c r="G8" i="7" s="1"/>
  <c r="H8" i="7" s="1"/>
  <c r="I8" i="7" s="1"/>
  <c r="J8" i="7" s="1"/>
  <c r="F9" i="7"/>
  <c r="G9" i="7" s="1"/>
  <c r="H9" i="7" s="1"/>
  <c r="I9" i="7" s="1"/>
  <c r="F4" i="7"/>
  <c r="G4" i="7" s="1"/>
  <c r="H4" i="7" s="1"/>
  <c r="I4" i="7" s="1"/>
  <c r="J4" i="7" s="1"/>
  <c r="F14" i="7"/>
  <c r="G14" i="7" s="1"/>
  <c r="H14" i="7" s="1"/>
  <c r="I14" i="7" s="1"/>
  <c r="F10" i="7"/>
  <c r="G10" i="7" s="1"/>
  <c r="H10" i="7" s="1"/>
  <c r="I10" i="7" s="1"/>
  <c r="F15" i="7"/>
  <c r="G15" i="7" s="1"/>
  <c r="H15" i="7" s="1"/>
  <c r="I15" i="7" s="1"/>
  <c r="F17" i="7"/>
  <c r="G17" i="7" s="1"/>
  <c r="H17" i="7" s="1"/>
  <c r="I17" i="7" s="1"/>
  <c r="J17" i="7" s="1"/>
  <c r="F18" i="7"/>
  <c r="G18" i="7" s="1"/>
  <c r="H18" i="7" s="1"/>
  <c r="I18" i="7" s="1"/>
  <c r="J18" i="7" s="1"/>
  <c r="F5" i="7"/>
  <c r="G5" i="7" s="1"/>
  <c r="H5" i="7" s="1"/>
  <c r="I5" i="7" s="1"/>
  <c r="J5" i="7" s="1"/>
  <c r="F11" i="7"/>
  <c r="G11" i="7" s="1"/>
  <c r="H11" i="7" s="1"/>
  <c r="I11" i="7" s="1"/>
  <c r="E19" i="20" l="1"/>
  <c r="E45" i="20" s="1"/>
  <c r="E20" i="20"/>
  <c r="E46" i="20" s="1"/>
  <c r="D38" i="20"/>
  <c r="C46" i="20"/>
  <c r="E38" i="20"/>
  <c r="F46" i="20"/>
  <c r="E48" i="20"/>
  <c r="C48" i="20"/>
  <c r="AA350" i="4"/>
  <c r="AA351" i="4" s="1"/>
  <c r="D37" i="20"/>
  <c r="E37" i="20"/>
  <c r="T38" i="4"/>
  <c r="U38" i="4"/>
  <c r="V38" i="4" s="1"/>
  <c r="T31" i="4"/>
  <c r="U31" i="4"/>
  <c r="V31" i="4" s="1"/>
  <c r="F45" i="20"/>
  <c r="Q139" i="4"/>
  <c r="T139" i="4"/>
  <c r="S350" i="4"/>
  <c r="S351" i="4" s="1"/>
  <c r="Q316" i="4"/>
  <c r="T316" i="4"/>
  <c r="W350" i="4"/>
  <c r="W351" i="4" s="1"/>
  <c r="E50" i="20"/>
  <c r="E42" i="20"/>
  <c r="D50" i="20"/>
  <c r="F50" i="20"/>
  <c r="R350" i="4"/>
  <c r="R351" i="4" s="1"/>
  <c r="M352" i="22"/>
  <c r="M353" i="22" s="1"/>
  <c r="Q31" i="4"/>
  <c r="L348" i="4"/>
  <c r="N348" i="4"/>
  <c r="M348" i="4"/>
  <c r="Q70" i="4"/>
  <c r="L118" i="4"/>
  <c r="N118" i="4"/>
  <c r="M118" i="4"/>
  <c r="L70" i="4"/>
  <c r="M70" i="4"/>
  <c r="N70" i="4"/>
  <c r="Q167" i="4"/>
  <c r="L167" i="4"/>
  <c r="M167" i="4"/>
  <c r="D32" i="20" s="1"/>
  <c r="N167" i="4"/>
  <c r="E32" i="20" s="1"/>
  <c r="L46" i="4"/>
  <c r="N46" i="4"/>
  <c r="M46" i="4"/>
  <c r="L316" i="4"/>
  <c r="M316" i="4"/>
  <c r="D33" i="20" s="1"/>
  <c r="N316" i="4"/>
  <c r="E33" i="20" s="1"/>
  <c r="L31" i="4"/>
  <c r="N31" i="4"/>
  <c r="M31" i="4"/>
  <c r="Q97" i="4"/>
  <c r="L112" i="4"/>
  <c r="N112" i="4"/>
  <c r="M112" i="4"/>
  <c r="Q38" i="4"/>
  <c r="Q3" i="4"/>
  <c r="L38" i="4"/>
  <c r="M38" i="4"/>
  <c r="N38" i="4"/>
  <c r="L3" i="4"/>
  <c r="M3" i="4"/>
  <c r="N3" i="4"/>
  <c r="Q17" i="4"/>
  <c r="Q46" i="4"/>
  <c r="L18" i="4"/>
  <c r="N18" i="4"/>
  <c r="M18" i="4"/>
  <c r="N139" i="4"/>
  <c r="E31" i="20" s="1"/>
  <c r="L139" i="4"/>
  <c r="M139" i="4"/>
  <c r="D31" i="20" s="1"/>
  <c r="L97" i="4"/>
  <c r="M97" i="4"/>
  <c r="N97" i="4"/>
  <c r="Q112" i="4"/>
  <c r="Q10" i="4"/>
  <c r="L10" i="4"/>
  <c r="M10" i="4"/>
  <c r="N10" i="4"/>
  <c r="Q118" i="4"/>
  <c r="L17" i="4"/>
  <c r="N17" i="4"/>
  <c r="M17" i="4"/>
  <c r="Q18" i="4"/>
  <c r="E30" i="20" l="1"/>
  <c r="D30" i="20"/>
  <c r="G46" i="20"/>
  <c r="V350" i="4"/>
  <c r="V351" i="4" s="1"/>
  <c r="G22" i="20"/>
  <c r="G12" i="20"/>
  <c r="G20" i="20"/>
  <c r="E25" i="20"/>
  <c r="E51" i="20"/>
  <c r="D45" i="20"/>
  <c r="D51" i="20" s="1"/>
  <c r="E17" i="20"/>
  <c r="E43" i="20"/>
  <c r="G48" i="20"/>
  <c r="C40" i="20"/>
  <c r="G40" i="20" s="1"/>
  <c r="G14" i="20"/>
  <c r="C32" i="20"/>
  <c r="G32" i="20" s="1"/>
  <c r="G6" i="20"/>
  <c r="C38" i="20"/>
  <c r="G38" i="20" s="1"/>
  <c r="C30" i="20"/>
  <c r="E29" i="20"/>
  <c r="C45" i="20"/>
  <c r="D29" i="20"/>
  <c r="L350" i="4"/>
  <c r="L351" i="4" s="1"/>
  <c r="Q350" i="4"/>
  <c r="Q351" i="4" s="1"/>
  <c r="R352" i="4" s="1"/>
  <c r="R353" i="4" s="1"/>
  <c r="F25" i="20"/>
  <c r="C47" i="20"/>
  <c r="G47" i="20" s="1"/>
  <c r="G21" i="20"/>
  <c r="M350" i="4"/>
  <c r="M351" i="4" s="1"/>
  <c r="G5" i="20"/>
  <c r="C31" i="20"/>
  <c r="G31" i="20" s="1"/>
  <c r="T350" i="4"/>
  <c r="T351" i="4" s="1"/>
  <c r="C49" i="20"/>
  <c r="G49" i="20" s="1"/>
  <c r="G23" i="20"/>
  <c r="G15" i="20"/>
  <c r="C41" i="20"/>
  <c r="G41" i="20" s="1"/>
  <c r="C33" i="20"/>
  <c r="G33" i="20" s="1"/>
  <c r="G7" i="20"/>
  <c r="G8" i="20"/>
  <c r="C34" i="20"/>
  <c r="E34" i="20"/>
  <c r="N350" i="4"/>
  <c r="N351" i="4" s="1"/>
  <c r="D17" i="20"/>
  <c r="D42" i="20"/>
  <c r="C42" i="20"/>
  <c r="G16" i="20"/>
  <c r="F51" i="20"/>
  <c r="D34" i="20"/>
  <c r="C50" i="20"/>
  <c r="G50" i="20" s="1"/>
  <c r="C25" i="20"/>
  <c r="G24" i="20"/>
  <c r="G45" i="20" l="1"/>
  <c r="G19" i="20"/>
  <c r="G30" i="20"/>
  <c r="G4" i="20"/>
  <c r="D25" i="20"/>
  <c r="G25" i="20" s="1"/>
  <c r="D9" i="20"/>
  <c r="V352" i="4"/>
  <c r="V353" i="4" s="1"/>
  <c r="D35" i="20"/>
  <c r="M352" i="4"/>
  <c r="M353" i="4" s="1"/>
  <c r="C17" i="20"/>
  <c r="G17" i="20" s="1"/>
  <c r="E9" i="20"/>
  <c r="E35" i="20"/>
  <c r="C29" i="20"/>
  <c r="G29" i="20" s="1"/>
  <c r="G3" i="20"/>
  <c r="C9" i="20"/>
  <c r="C37" i="20"/>
  <c r="G37" i="20" s="1"/>
  <c r="G11" i="20"/>
  <c r="G13" i="20"/>
  <c r="C39" i="20"/>
  <c r="G39" i="20" s="1"/>
  <c r="C51" i="20"/>
  <c r="G51" i="20" s="1"/>
  <c r="G34" i="20"/>
  <c r="G42" i="20"/>
  <c r="D43" i="20"/>
  <c r="G9" i="20" l="1"/>
  <c r="C35" i="20"/>
  <c r="G35" i="20" s="1"/>
  <c r="C43" i="20"/>
  <c r="G43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tc={BFAAFAA4-BB28-4A41-A36E-90C5101A1135}</author>
    <author>tc={429A877C-D995-4E33-A8E5-697D56FD034B}</author>
    <author>tc={75F8D530-D666-4883-B871-AD71F14B88A1}</author>
    <author>tc={84C63C79-E39B-4E5A-A394-A60F6E876401}</author>
    <author>tc={3294C1CE-B925-4CC7-AA24-42763849977B}</author>
    <author>tc={B14B0C6E-2623-44FD-93A8-24195EEBE75F}</author>
  </authors>
  <commentList>
    <comment ref="A1" authorId="0" shapeId="0" xr:uid="{00000000-0006-0000-0000-000001000000}">
      <text>
        <r>
          <rPr>
            <sz val="10"/>
            <color rgb="FF000000"/>
            <rFont val="Arial"/>
            <scheme val="minor"/>
          </rPr>
          <t>not sure where tf david schwartz+team got these numbers from
	-Jenna Young
IPCC database??
	-Jenna Young</t>
        </r>
      </text>
    </comment>
    <comment ref="D3" authorId="1" shapeId="0" xr:uid="{BFAAFAA4-BB28-4A41-A36E-90C5101A1135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for all of Israel so it is kinda arbitrary to this project. Probably should remove -- more confusing than insightful</t>
      </text>
    </comment>
    <comment ref="G3" authorId="2" shapeId="0" xr:uid="{429A877C-D995-4E33-A8E5-697D56FD034B}">
      <text>
        <t>[Threaded comment]
Your version of Excel allows you to read this threaded comment; however, any edits to it will get removed if the file is opened in a newer version of Excel. Learn more: https://go.microsoft.com/fwlink/?linkid=870924
Comment:
    Just calculated these ones for kicks and they are wildly inaccurate… I don't understand why</t>
      </text>
    </comment>
    <comment ref="E4" authorId="3" shapeId="0" xr:uid="{75F8D530-D666-4883-B871-AD71F14B88A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from table 9 (email w CBS). Is the only data point in the table from this document</t>
      </text>
    </comment>
    <comment ref="D5" authorId="4" shapeId="0" xr:uid="{84C63C79-E39B-4E5A-A394-A60F6E876401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one value was given for trucks so I used the same -- this would be combined distance</t>
      </text>
    </comment>
    <comment ref="E5" authorId="5" shapeId="0" xr:uid="{3294C1CE-B925-4CC7-AA24-42763849977B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the same value -- only one was given</t>
      </text>
    </comment>
    <comment ref="D16" authorId="6" shapeId="0" xr:uid="{B14B0C6E-2623-44FD-93A8-24195EEBE75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accurate because it includes heavy trucks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tc={2D91F8DE-918D-4D60-B2E2-8E6E6D0899D5}</author>
    <author>tc={BF4FD2F0-A280-46A1-B42A-199192833264}</author>
    <author>tc={6351AD1D-634C-4D9D-A00E-E4AEEDE9AD78}</author>
    <author>tc={07A6ED13-BA43-4EB2-9555-C2DB12610797}</author>
    <author>tc={7F60A227-0809-427F-AE0D-E566C1E3F46D}</author>
    <author>tc={495DC093-F90F-4753-AF3A-09DE84EE360E}</author>
    <author>tc={C266734B-A9C8-4661-9CE5-05AD5839B937}</author>
    <author>tc={B314E371-1A1E-4D2F-8640-0E5EC70B30B2}</author>
    <author>tc={8939D78E-3AB3-4004-A12C-9850323264C4}</author>
    <author>tc={FD4A63AF-6C3E-47EE-83A3-18DBCEEA63B4}</author>
    <author>tc={4ACA08AD-C1A2-4C31-8116-F260C866BFFE}</author>
    <author>tc={934EFA60-EF0D-4B35-A77C-103CBEA18A1E}</author>
    <author>tc={0D4FD13B-9BAA-4C9B-A5DE-42EAB9B8F66E}</author>
    <author>tc={1F4CBF51-B76C-4B95-A82A-B7F399734F73}</author>
    <author>tc={55DA7D95-F1EF-4F05-B49C-0884E0A5BA9D}</author>
    <author>tc={C471EF9E-F456-46DB-83D6-42C86A5BD7F7}</author>
    <author>tc={4033D7F1-7822-449A-A836-92866AB1AADC}</author>
    <author>tc={D90C9618-CFAE-4DBB-9890-6A17D9A7571C}</author>
    <author>tc={ED403EA8-188F-46EA-A5B9-C64677743E63}</author>
    <author>tc={4CAECB86-EE42-4B2F-A0D4-62EDCE724B95}</author>
    <author>tc={15F02C18-97B2-4704-A2CF-91D7CCD1738D}</author>
    <author>tc={25010C7F-8E77-49ED-B01E-B420D6845E70}</author>
    <author>tc={EC9DE815-1531-4141-B4EC-4915EA44E9FD}</author>
    <author>tc={96D6A2C4-E7D7-4FC2-9F05-96C3BD5F287E}</author>
    <author>tc={9C4B473E-5BE2-4B7B-AAF7-D6E7FFE50D4B}</author>
  </authors>
  <commentList>
    <comment ref="G1" authorId="0" shapeId="0" xr:uid="{E563C570-EFA3-429A-871F-88BC602F6218}">
      <text>
        <r>
          <rPr>
            <sz val="10"/>
            <color rgb="FF000000"/>
            <rFont val="Arial"/>
            <scheme val="minor"/>
          </rPr>
          <t>this number is extrapolated from applying national proportions to  Eilat vehicle numbers
	-Jenna Young</t>
        </r>
      </text>
    </comment>
    <comment ref="R3" authorId="1" shapeId="0" xr:uid="{2D91F8DE-918D-4D60-B2E2-8E6E6D0899D5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"open loop" coefficient, was same as all pre euro 1 coefficients</t>
      </text>
    </comment>
    <comment ref="R9" authorId="2" shapeId="0" xr:uid="{BF4FD2F0-A280-46A1-B42A-199192833264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Euro 6 a/b/c, was equal to Euro d-temp</t>
      </text>
    </comment>
    <comment ref="O24" authorId="3" shapeId="0" xr:uid="{6351AD1D-634C-4D9D-A00E-E4AEEDE9AD78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the Euro 4 and later coefficient</t>
      </text>
    </comment>
    <comment ref="U45" authorId="4" shapeId="0" xr:uid="{07A6ED13-BA43-4EB2-9555-C2DB12610797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petrol for LPG oil consumption</t>
      </text>
    </comment>
    <comment ref="O65" authorId="5" shapeId="0" xr:uid="{7F60A227-0809-427F-AE0D-E566C1E3F46D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euro 4 coefficient</t>
      </text>
    </comment>
    <comment ref="R65" authorId="6" shapeId="0" xr:uid="{495DC093-F90F-4753-AF3A-09DE84EE360E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Euro 4</t>
      </text>
    </comment>
    <comment ref="U65" authorId="7" shapeId="0" xr:uid="{C266734B-A9C8-4661-9CE5-05AD5839B937}">
      <text>
        <t>[Threaded comment]
Your version of Excel allows you to read this threaded comment; however, any edits to it will get removed if the file is opened in a newer version of Excel. Learn more: https://go.microsoft.com/fwlink/?linkid=870924
Comment:
    Hybrids treated as petrol</t>
      </text>
    </comment>
    <comment ref="O69" authorId="8" shapeId="0" xr:uid="{B314E371-1A1E-4D2F-8640-0E5EC70B30B2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euro 4 coefficient</t>
      </text>
    </comment>
    <comment ref="R69" authorId="9" shapeId="0" xr:uid="{8939D78E-3AB3-4004-A12C-9850323264C4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euro 4</t>
      </text>
    </comment>
    <comment ref="C78" authorId="10" shapeId="0" xr:uid="{FD4A63AF-6C3E-47EE-83A3-18DBCEEA63B4}">
      <text>
        <t>[Threaded comment]
Your version of Excel allows you to read this threaded comment; however, any edits to it will get removed if the file is opened in a newer version of Excel. Learn more: https://go.microsoft.com/fwlink/?linkid=870924
Comment:
    Treating M2 and M3 as cars though they might be LCVs
Reply:
    Only comes out to appx 13 vehicles so negligible lol</t>
      </text>
    </comment>
    <comment ref="R78" authorId="11" shapeId="0" xr:uid="{4ACA08AD-C1A2-4C31-8116-F260C866BFFE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Petrol Large-SUV-Executive</t>
      </text>
    </comment>
    <comment ref="O125" authorId="12" shapeId="0" xr:uid="{934EFA60-EF0D-4B35-A77C-103CBEA18A1E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diesel *1.28 in line with PC
Reply:
    Also for minibus</t>
      </text>
    </comment>
    <comment ref="W125" authorId="13" shapeId="0" xr:uid="{0D4FD13B-9BAA-4C9B-A5DE-42EAB9B8F66E}">
      <text>
        <t>[Threaded comment]
Your version of Excel allows you to read this threaded comment; however, any edits to it will get removed if the file is opened in a newer version of Excel. Learn more: https://go.microsoft.com/fwlink/?linkid=870924
Comment:
    LCV and minibuses which use LPG use the same coefficient as passenger cars because petrol and diesel coefficients are the same for the two categories</t>
      </text>
    </comment>
    <comment ref="O167" authorId="14" shapeId="0" xr:uid="{1F4CBF51-B76C-4B95-A82A-B7F399734F73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conventional coefficient for all technologies</t>
      </text>
    </comment>
    <comment ref="R167" authorId="15" shapeId="0" xr:uid="{55DA7D95-F1EF-4F05-B49C-0884E0A5BA9D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conventional for all technologies</t>
      </text>
    </comment>
    <comment ref="O174" authorId="16" shapeId="0" xr:uid="{C471EF9E-F456-46DB-83D6-42C86A5BD7F7}">
      <text>
        <t>[Threaded comment]
Your version of Excel allows you to read this threaded comment; however, any edits to it will get removed if the file is opened in a newer version of Excel. Learn more: https://go.microsoft.com/fwlink/?linkid=870924
Comment:
    14001-20000kg vehicles were treated as 16-32t</t>
      </text>
    </comment>
    <comment ref="W174" authorId="17" shapeId="0" xr:uid="{4033D7F1-7822-449A-A836-92866AB1AADC}">
      <text>
        <t>[Threaded comment]
Your version of Excel allows you to read this threaded comment; however, any edits to it will get removed if the file is opened in a newer version of Excel. Learn more: https://go.microsoft.com/fwlink/?linkid=870924
Comment:
    Treated as &gt;16t</t>
      </text>
    </comment>
    <comment ref="O261" authorId="18" shapeId="0" xr:uid="{D90C9618-CFAE-4DBB-9890-6A17D9A7571C}">
      <text>
        <t>[Threaded comment]
Your version of Excel allows you to read this threaded comment; however, any edits to it will get removed if the file is opened in a newer version of Excel. Learn more: https://go.microsoft.com/fwlink/?linkid=870924
Comment:
    Diesel*1.28 like PC
Reply:
    Look into if bus CNG makes more sense here</t>
      </text>
    </comment>
    <comment ref="W261" authorId="19" shapeId="0" xr:uid="{ED403EA8-188F-46EA-A5B9-C64677743E6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PC*3.04 in line with the ratio between HDV diesel and PC Conventional diesel ratio
</t>
      </text>
    </comment>
    <comment ref="Z261" authorId="20" shapeId="0" xr:uid="{4CAECB86-EE42-4B2F-A0D4-62EDCE724B95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petrol</t>
      </text>
    </comment>
    <comment ref="O319" authorId="21" shapeId="0" xr:uid="{15F02C18-97B2-4704-A2CF-91D7CCD1738D}">
      <text>
        <t>[Threaded comment]
Your version of Excel allows you to read this threaded comment; however, any edits to it will get removed if the file is opened in a newer version of Excel. Learn more: https://go.microsoft.com/fwlink/?linkid=870924
Comment:
    Mopeds assumed to be two stroke
Reply:
    This is because of the engine size</t>
      </text>
    </comment>
    <comment ref="U319" authorId="22" shapeId="0" xr:uid="{25010C7F-8E77-49ED-B01E-B420D6845E70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strokes were treated as mopeds, four strokes as motorcycles</t>
      </text>
    </comment>
    <comment ref="O323" authorId="23" shapeId="0" xr:uid="{EC9DE815-1531-4141-B4EC-4915EA44E9FD}">
      <text>
        <t>[Threaded comment]
Your version of Excel allows you to read this threaded comment; however, any edits to it will get removed if the file is opened in a newer version of Excel. Learn more: https://go.microsoft.com/fwlink/?linkid=870924
Comment:
    Rows 323-326 were assumed to be mopeds (typo?) because the later rows include mopeds of the same size
Reply:
    *motorcycles</t>
      </text>
    </comment>
    <comment ref="R323" authorId="24" shapeId="0" xr:uid="{96D6A2C4-E7D7-4FC2-9F05-96C3BD5F287E}">
      <text>
        <t>[Threaded comment]
Your version of Excel allows you to read this threaded comment; however, any edits to it will get removed if the file is opened in a newer version of Excel. Learn more: https://go.microsoft.com/fwlink/?linkid=870924
Comment:
    Made these four stroke - double check that is what was used for fuel consumption</t>
      </text>
    </comment>
    <comment ref="O336" authorId="25" shapeId="0" xr:uid="{9C4B473E-5BE2-4B7B-AAF7-D6E7FFE50D4B}">
      <text>
        <t>[Threaded comment]
Your version of Excel allows you to read this threaded comment; however, any edits to it will get removed if the file is opened in a newer version of Excel. Learn more: https://go.microsoft.com/fwlink/?linkid=870924
Comment:
    151cc and larger was treated as 4 stroke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tc={1CE5BC97-7322-4F68-8DE8-ACED2B28D877}</author>
    <author>tc={94C40529-B140-45C7-9A0F-C2E175BD3081}</author>
    <author>tc={0ED43366-3102-47A1-BEFF-9A537F35877E}</author>
    <author>tc={7800D85B-70DE-4349-AE85-EF1721B1E70D}</author>
    <author>tc={25EA9130-FEEC-442B-A1DE-FEB0B861EB98}</author>
    <author>tc={0F3DF83B-14AC-465A-8391-8DF8AA3D4EFC}</author>
    <author>tc={B40A5A0E-F345-4C48-A1F9-5BF4E01C88F1}</author>
    <author>tc={5496DBB0-E95A-4CEA-9449-1FBF3995094B}</author>
    <author>tc={E38B00DD-C239-4809-A14E-716675DEE18C}</author>
    <author>tc={3AF31FAE-E739-4430-8FD8-22214EC68DD3}</author>
    <author>tc={9459F4ED-74A1-4CBB-8AC9-8A3358F8722F}</author>
    <author>tc={A7FEDE68-ED31-4C8E-AD86-C25E8909B8A7}</author>
    <author>tc={F7294694-FF25-4765-BF34-8E1BDE1F3447}</author>
    <author>tc={989CE5EF-3396-4201-94E9-87292B873619}</author>
    <author>tc={098C0CC6-203B-42E1-B35D-A523388F1771}</author>
    <author>tc={78C3F456-D884-4191-A81A-58449F7C764E}</author>
    <author>tc={D692A228-7838-40C7-9C18-CA752C200BF1}</author>
    <author>tc={FD91FEC6-F201-4D6B-8BDE-01EF91FFD847}</author>
    <author>tc={3A9DE8D0-3C38-4DBC-883B-A4C25E9C13DF}</author>
    <author>tc={CAEFD6C2-AE58-40B7-B101-4F0C235D8E1F}</author>
    <author>tc={551C787B-2758-483A-B2E7-701FE7C8DA6C}</author>
    <author>tc={731D8DB8-678E-4DDD-9765-C41137F2E9C8}</author>
    <author>tc={0FFA2E99-6518-457A-83EF-42E432A67E67}</author>
    <author>tc={EEF696A5-CDB4-4116-958F-158336AEC3F0}</author>
    <author>tc={DCDB1049-8925-40CF-AB5D-675DB1695734}</author>
  </authors>
  <commentList>
    <comment ref="G1" authorId="0" shapeId="0" xr:uid="{00000000-0006-0000-0300-000001000000}">
      <text>
        <r>
          <rPr>
            <sz val="10"/>
            <color rgb="FF000000"/>
            <rFont val="Arial"/>
            <scheme val="minor"/>
          </rPr>
          <t>this number is extrapolated from applying national proportions to  Eilat vehicle numbers
	-Jenna Young</t>
        </r>
      </text>
    </comment>
    <comment ref="R3" authorId="1" shapeId="0" xr:uid="{1CE5BC97-7322-4F68-8DE8-ACED2B28D877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"open loop" coefficient, was same as all pre euro 1 coefficients</t>
      </text>
    </comment>
    <comment ref="R9" authorId="2" shapeId="0" xr:uid="{94C40529-B140-45C7-9A0F-C2E175BD3081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Euro 6 a/b/c, was equal to Euro d-temp</t>
      </text>
    </comment>
    <comment ref="O24" authorId="3" shapeId="0" xr:uid="{0ED43366-3102-47A1-BEFF-9A537F35877E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the Euro 4 and later coefficient</t>
      </text>
    </comment>
    <comment ref="U45" authorId="4" shapeId="0" xr:uid="{7800D85B-70DE-4349-AE85-EF1721B1E70D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petrol for LPG oil consumption</t>
      </text>
    </comment>
    <comment ref="O65" authorId="5" shapeId="0" xr:uid="{25EA9130-FEEC-442B-A1DE-FEB0B861EB98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euro 4 coefficient</t>
      </text>
    </comment>
    <comment ref="R65" authorId="6" shapeId="0" xr:uid="{0F3DF83B-14AC-465A-8391-8DF8AA3D4EFC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Euro 4</t>
      </text>
    </comment>
    <comment ref="U65" authorId="7" shapeId="0" xr:uid="{B40A5A0E-F345-4C48-A1F9-5BF4E01C88F1}">
      <text>
        <t>[Threaded comment]
Your version of Excel allows you to read this threaded comment; however, any edits to it will get removed if the file is opened in a newer version of Excel. Learn more: https://go.microsoft.com/fwlink/?linkid=870924
Comment:
    Hybrids treated as petrol</t>
      </text>
    </comment>
    <comment ref="O69" authorId="8" shapeId="0" xr:uid="{5496DBB0-E95A-4CEA-9449-1FBF3995094B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euro 4 coefficient</t>
      </text>
    </comment>
    <comment ref="R69" authorId="9" shapeId="0" xr:uid="{E38B00DD-C239-4809-A14E-716675DEE18C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euro 4</t>
      </text>
    </comment>
    <comment ref="C78" authorId="10" shapeId="0" xr:uid="{3AF31FAE-E739-4430-8FD8-22214EC68DD3}">
      <text>
        <t>[Threaded comment]
Your version of Excel allows you to read this threaded comment; however, any edits to it will get removed if the file is opened in a newer version of Excel. Learn more: https://go.microsoft.com/fwlink/?linkid=870924
Comment:
    Treating M2 and M3 as cars though they might be LCVs
Reply:
    Only comes out to appx 13 vehicles so negligible lol</t>
      </text>
    </comment>
    <comment ref="R78" authorId="11" shapeId="0" xr:uid="{9459F4ED-74A1-4CBB-8AC9-8A3358F8722F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Petrol Large-SUV-Executive</t>
      </text>
    </comment>
    <comment ref="O125" authorId="12" shapeId="0" xr:uid="{A7FEDE68-ED31-4C8E-AD86-C25E8909B8A7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diesel *1.28 in line with PC
Reply:
    Also for minibus</t>
      </text>
    </comment>
    <comment ref="W125" authorId="13" shapeId="0" xr:uid="{F7294694-FF25-4765-BF34-8E1BDE1F3447}">
      <text>
        <t>[Threaded comment]
Your version of Excel allows you to read this threaded comment; however, any edits to it will get removed if the file is opened in a newer version of Excel. Learn more: https://go.microsoft.com/fwlink/?linkid=870924
Comment:
    LCV and minibuses which use LPG use the same coefficient as passenger cars because petrol and diesel coefficients are the same for the two categories</t>
      </text>
    </comment>
    <comment ref="O167" authorId="14" shapeId="0" xr:uid="{989CE5EF-3396-4201-94E9-87292B873619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conventional coefficient for all technologies</t>
      </text>
    </comment>
    <comment ref="R167" authorId="15" shapeId="0" xr:uid="{098C0CC6-203B-42E1-B35D-A523388F1771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conventional for all technologies</t>
      </text>
    </comment>
    <comment ref="O174" authorId="16" shapeId="0" xr:uid="{78C3F456-D884-4191-A81A-58449F7C764E}">
      <text>
        <t>[Threaded comment]
Your version of Excel allows you to read this threaded comment; however, any edits to it will get removed if the file is opened in a newer version of Excel. Learn more: https://go.microsoft.com/fwlink/?linkid=870924
Comment:
    14001-20000kg vehicles were treated as 16-32t</t>
      </text>
    </comment>
    <comment ref="W174" authorId="17" shapeId="0" xr:uid="{D692A228-7838-40C7-9C18-CA752C200BF1}">
      <text>
        <t>[Threaded comment]
Your version of Excel allows you to read this threaded comment; however, any edits to it will get removed if the file is opened in a newer version of Excel. Learn more: https://go.microsoft.com/fwlink/?linkid=870924
Comment:
    Treated as &gt;16t</t>
      </text>
    </comment>
    <comment ref="O261" authorId="18" shapeId="0" xr:uid="{FD91FEC6-F201-4D6B-8BDE-01EF91FFD847}">
      <text>
        <t>[Threaded comment]
Your version of Excel allows you to read this threaded comment; however, any edits to it will get removed if the file is opened in a newer version of Excel. Learn more: https://go.microsoft.com/fwlink/?linkid=870924
Comment:
    Diesel*1.28 like PC
Reply:
    Look into if bus CNG makes more sense here</t>
      </text>
    </comment>
    <comment ref="W261" authorId="19" shapeId="0" xr:uid="{3A9DE8D0-3C38-4DBC-883B-A4C25E9C13D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PC*3.04 in line with the ratio between HDV diesel and PC Conventional diesel ratio
</t>
      </text>
    </comment>
    <comment ref="Z261" authorId="20" shapeId="0" xr:uid="{CAEFD6C2-AE58-40B7-B101-4F0C235D8E1F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petrol</t>
      </text>
    </comment>
    <comment ref="O319" authorId="21" shapeId="0" xr:uid="{551C787B-2758-483A-B2E7-701FE7C8DA6C}">
      <text>
        <t>[Threaded comment]
Your version of Excel allows you to read this threaded comment; however, any edits to it will get removed if the file is opened in a newer version of Excel. Learn more: https://go.microsoft.com/fwlink/?linkid=870924
Comment:
    Mopeds assumed to be two stroke
Reply:
    This is because of the engine size</t>
      </text>
    </comment>
    <comment ref="U319" authorId="22" shapeId="0" xr:uid="{731D8DB8-678E-4DDD-9765-C41137F2E9C8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strokes were treated as mopeds, four strokes as motorcycles</t>
      </text>
    </comment>
    <comment ref="O323" authorId="23" shapeId="0" xr:uid="{0FFA2E99-6518-457A-83EF-42E432A67E67}">
      <text>
        <t>[Threaded comment]
Your version of Excel allows you to read this threaded comment; however, any edits to it will get removed if the file is opened in a newer version of Excel. Learn more: https://go.microsoft.com/fwlink/?linkid=870924
Comment:
    Rows 323-326 were assumed to be mopeds (typo?) because the later rows include mopeds of the same size
Reply:
    *motorcycles</t>
      </text>
    </comment>
    <comment ref="R323" authorId="24" shapeId="0" xr:uid="{EEF696A5-CDB4-4116-958F-158336AEC3F0}">
      <text>
        <t>[Threaded comment]
Your version of Excel allows you to read this threaded comment; however, any edits to it will get removed if the file is opened in a newer version of Excel. Learn more: https://go.microsoft.com/fwlink/?linkid=870924
Comment:
    Made these four stroke - double check that is what was used for fuel consumption</t>
      </text>
    </comment>
    <comment ref="O336" authorId="25" shapeId="0" xr:uid="{DCDB1049-8925-40CF-AB5D-675DB1695734}">
      <text>
        <t>[Threaded comment]
Your version of Excel allows you to read this threaded comment; however, any edits to it will get removed if the file is opened in a newer version of Excel. Learn more: https://go.microsoft.com/fwlink/?linkid=870924
Comment:
    151cc and larger was treated as 4 stroke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tc={845F2A5E-3728-4767-B7B6-FD3946C7EA22}</author>
  </authors>
  <commentList>
    <comment ref="C53" authorId="0" shapeId="0" xr:uid="{845F2A5E-3728-4767-B7B6-FD3946C7EA22}">
      <text>
        <t>[Threaded comment]
Your version of Excel allows you to read this threaded comment; however, any edits to it will get removed if the file is opened in a newer version of Excel. Learn more: https://go.microsoft.com/fwlink/?linkid=870924
Comment:
    Double check this is correct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<sst xmlns="http://schemas.openxmlformats.org/spreadsheetml/2006/main" count="4973" uniqueCount="369">
  <si>
    <t>Basic Distance Assumptions Vehicle Summary Table</t>
  </si>
  <si>
    <t>Type of Vehicle</t>
  </si>
  <si>
    <t># of Vehicles</t>
  </si>
  <si>
    <t>Annual Distance (million km)</t>
  </si>
  <si>
    <t>Annual Distance (km)</t>
  </si>
  <si>
    <t>Light Truck</t>
  </si>
  <si>
    <t>Truck</t>
  </si>
  <si>
    <t>Minibus</t>
  </si>
  <si>
    <t>Bus</t>
  </si>
  <si>
    <t>Taxi</t>
  </si>
  <si>
    <t>Motorcycle</t>
  </si>
  <si>
    <t>Special Vehicles</t>
  </si>
  <si>
    <t>Total:</t>
  </si>
  <si>
    <t>Category</t>
  </si>
  <si>
    <t>Fuel</t>
  </si>
  <si>
    <t>CO2 (fossil fuels)</t>
  </si>
  <si>
    <t>Typical Fuel Consumption</t>
  </si>
  <si>
    <t>kg CO2/kg fuel</t>
  </si>
  <si>
    <t>g fuel/km</t>
  </si>
  <si>
    <t>All Vehicle Types</t>
  </si>
  <si>
    <t>Petrol</t>
  </si>
  <si>
    <t>PC</t>
  </si>
  <si>
    <t>Diesel</t>
  </si>
  <si>
    <t>LPG</t>
  </si>
  <si>
    <t>CNG (or LNG)</t>
  </si>
  <si>
    <t>E85</t>
  </si>
  <si>
    <t>E5</t>
  </si>
  <si>
    <t>CNG</t>
  </si>
  <si>
    <t>E10</t>
  </si>
  <si>
    <t>LCV</t>
  </si>
  <si>
    <t>ETBE11</t>
  </si>
  <si>
    <t>HDV</t>
  </si>
  <si>
    <t>ETBE22</t>
  </si>
  <si>
    <t>CNG (Buses)</t>
  </si>
  <si>
    <t>L-Category</t>
  </si>
  <si>
    <t>CO2 (lubricant)</t>
  </si>
  <si>
    <t>g/kg fuel</t>
  </si>
  <si>
    <t>Mean</t>
  </si>
  <si>
    <t>Min</t>
  </si>
  <si>
    <t>Max</t>
  </si>
  <si>
    <t>CH4</t>
  </si>
  <si>
    <t>N2O</t>
  </si>
  <si>
    <t>(g/kg fuel)</t>
  </si>
  <si>
    <t>CO2</t>
  </si>
  <si>
    <t>Vehicle type</t>
  </si>
  <si>
    <t>Fuel type</t>
  </si>
  <si>
    <t>Cat</t>
  </si>
  <si>
    <t>Engine capacity or weight limit</t>
  </si>
  <si>
    <t>Euro Standard</t>
  </si>
  <si>
    <t>Proportion of vehicles</t>
  </si>
  <si>
    <t>Number of Vehicles</t>
  </si>
  <si>
    <t>Car</t>
  </si>
  <si>
    <t>M1</t>
  </si>
  <si>
    <t>&lt;1400 cc</t>
  </si>
  <si>
    <t>Euro 0</t>
  </si>
  <si>
    <t>Euro 1</t>
  </si>
  <si>
    <t>Euro 2</t>
  </si>
  <si>
    <t>Euro 3</t>
  </si>
  <si>
    <t>Euro 4</t>
  </si>
  <si>
    <t>Euro 5</t>
  </si>
  <si>
    <t>Euro 6</t>
  </si>
  <si>
    <t>1400-2000 cc</t>
  </si>
  <si>
    <t>&gt;2000 cc</t>
  </si>
  <si>
    <t>Hybrid</t>
  </si>
  <si>
    <t>Electric</t>
  </si>
  <si>
    <t>M2</t>
  </si>
  <si>
    <t>0-5000 kg</t>
  </si>
  <si>
    <t>M3</t>
  </si>
  <si>
    <t>N1</t>
  </si>
  <si>
    <t>≤ 1250 kg</t>
  </si>
  <si>
    <t>≤ 1305 kg</t>
  </si>
  <si>
    <t>1250 ≤ 1700 kg</t>
  </si>
  <si>
    <t>1305 ≤ 1760 kg</t>
  </si>
  <si>
    <t>1700 kg &lt;</t>
  </si>
  <si>
    <t>1760 kg &lt;</t>
  </si>
  <si>
    <t>RT</t>
  </si>
  <si>
    <t>N2</t>
  </si>
  <si>
    <t>3500-7500 kg</t>
  </si>
  <si>
    <t>AT</t>
  </si>
  <si>
    <t>N3</t>
  </si>
  <si>
    <t>14001-20000 kg</t>
  </si>
  <si>
    <t>20001-26000 kg</t>
  </si>
  <si>
    <t>28001-32000 kg</t>
  </si>
  <si>
    <t>32001-40000 kg</t>
  </si>
  <si>
    <t>&gt;40000 kg</t>
  </si>
  <si>
    <t>7501-12000 kg</t>
  </si>
  <si>
    <t>12001-14000 kg</t>
  </si>
  <si>
    <t>26001-28000 kg</t>
  </si>
  <si>
    <t>7502-12000 kg</t>
  </si>
  <si>
    <t>Ubus</t>
  </si>
  <si>
    <t>&lt;=15000 kg</t>
  </si>
  <si>
    <t>15001-18000 kg</t>
  </si>
  <si>
    <t>&gt;18000 kg</t>
  </si>
  <si>
    <t>UBus</t>
  </si>
  <si>
    <t>Moped</t>
  </si>
  <si>
    <t>L1</t>
  </si>
  <si>
    <t>&lt; 50 cc</t>
  </si>
  <si>
    <t>51 - 150 cc</t>
  </si>
  <si>
    <t>L2</t>
  </si>
  <si>
    <t>151 - 250 cc</t>
  </si>
  <si>
    <t>L3</t>
  </si>
  <si>
    <t>251 - 750 cc</t>
  </si>
  <si>
    <t>&gt;750 cc</t>
  </si>
  <si>
    <t>Sums to Check Data - Delete Later</t>
  </si>
  <si>
    <t>Vehicle Type</t>
  </si>
  <si>
    <t>Distance per Vehicle (thousand km)</t>
  </si>
  <si>
    <t>Distance per Vehicle (km)</t>
  </si>
  <si>
    <t>Calculated Distance per Vehicle (km)</t>
  </si>
  <si>
    <t>Calculated Annual Distance</t>
  </si>
  <si>
    <t>Fuel Consumed (g)</t>
  </si>
  <si>
    <t>Fuel Consumed (kg)</t>
  </si>
  <si>
    <t>Total</t>
  </si>
  <si>
    <t>Vehicle category</t>
  </si>
  <si>
    <t>Sub-category</t>
  </si>
  <si>
    <t>Technology</t>
  </si>
  <si>
    <t>FC (g/km)</t>
  </si>
  <si>
    <t>Passenger Cars</t>
  </si>
  <si>
    <t>Petrol Mini</t>
  </si>
  <si>
    <t>Euro 4 and later</t>
  </si>
  <si>
    <t>Petrol Small</t>
  </si>
  <si>
    <t>PRE-ECE to open loop</t>
  </si>
  <si>
    <t>Euro 1 and later</t>
  </si>
  <si>
    <t>Petrol Medium</t>
  </si>
  <si>
    <t>Petrol Large-SUV-Executive</t>
  </si>
  <si>
    <t>Diesel Small</t>
  </si>
  <si>
    <t>Diesel Medium</t>
  </si>
  <si>
    <t>Conventional</t>
  </si>
  <si>
    <t>Diesel Large-SUV-Executive</t>
  </si>
  <si>
    <t>2-stroke</t>
  </si>
  <si>
    <t>Hybrid Petrol Small</t>
  </si>
  <si>
    <t>Hybrid Petrol Medium</t>
  </si>
  <si>
    <t>Hybrid Petrol Large-SUV-Executive</t>
  </si>
  <si>
    <t>PHEV Petrol Small</t>
  </si>
  <si>
    <t>Euro 6 and later</t>
  </si>
  <si>
    <t>PHEV Petrol Medium</t>
  </si>
  <si>
    <t>PHEV Petrol Large-SUV-Executive</t>
  </si>
  <si>
    <t>PHEV Diesel Large-SUV-Executive</t>
  </si>
  <si>
    <t>Euro 5 and later</t>
  </si>
  <si>
    <t>Petrol &gt; 3.5 t</t>
  </si>
  <si>
    <t>&lt;=7.5 t</t>
  </si>
  <si>
    <t>7.5-16 t</t>
  </si>
  <si>
    <t>16-32 t</t>
  </si>
  <si>
    <t>&gt; 32 t</t>
  </si>
  <si>
    <t>Buses</t>
  </si>
  <si>
    <t>Urban CNG buses</t>
  </si>
  <si>
    <t>HD Euro I</t>
  </si>
  <si>
    <t>HD Euro II</t>
  </si>
  <si>
    <t>HD Euro III</t>
  </si>
  <si>
    <t>EEV</t>
  </si>
  <si>
    <t>Urban buses, standard</t>
  </si>
  <si>
    <t>Conentional</t>
  </si>
  <si>
    <t>Euro I and later</t>
  </si>
  <si>
    <t>Coaches, standard</t>
  </si>
  <si>
    <t>Urban Diesel Hybrid</t>
  </si>
  <si>
    <t>Euro VI</t>
  </si>
  <si>
    <t>L-category</t>
  </si>
  <si>
    <t>Mopeds 2-stroke &lt; 50 cm^3</t>
  </si>
  <si>
    <t>Euro 3 and later</t>
  </si>
  <si>
    <t>Mopeds 4-stroke &lt; 50 cm^3</t>
  </si>
  <si>
    <t>Motorcycles 2-stroke &gt; 50 cm^3</t>
  </si>
  <si>
    <t>Motorcycles 4-stroke &lt; 250 cm^3</t>
  </si>
  <si>
    <t>Motorcycles 4-stroke 250-750 cm^3</t>
  </si>
  <si>
    <t>Motorcycles 4-stroke &gt; 750 cm^3</t>
  </si>
  <si>
    <t>Mini cars Diesel</t>
  </si>
  <si>
    <t>ATVs</t>
  </si>
  <si>
    <t>Distance Per Vehicle</t>
  </si>
  <si>
    <t>Total Distance</t>
  </si>
  <si>
    <t>x</t>
  </si>
  <si>
    <t>Light Truck - Special Vehicle (Combined)</t>
  </si>
  <si>
    <t>Age</t>
  </si>
  <si>
    <t>FC Coefficient (kg/10000 km)</t>
  </si>
  <si>
    <t>Old</t>
  </si>
  <si>
    <t>New</t>
  </si>
  <si>
    <t>Urban Buses</t>
  </si>
  <si>
    <t>Coaches</t>
  </si>
  <si>
    <t>Any</t>
  </si>
  <si>
    <t>Mopeds</t>
  </si>
  <si>
    <t>Motorcycles</t>
  </si>
  <si>
    <t>4-stroke</t>
  </si>
  <si>
    <t>Mini-cars</t>
  </si>
  <si>
    <t>Type</t>
  </si>
  <si>
    <t>Tech</t>
  </si>
  <si>
    <t>CO2 lube</t>
  </si>
  <si>
    <t>Euro 4 - 98/69/EC II</t>
  </si>
  <si>
    <t>Euro 5 - EC 715/2007</t>
  </si>
  <si>
    <t>Euro 6 a/b/c</t>
  </si>
  <si>
    <t>Euro 6 d-temp</t>
  </si>
  <si>
    <t>Euro 6 d</t>
  </si>
  <si>
    <t>PRE ECE</t>
  </si>
  <si>
    <t>ECE 15/00-01</t>
  </si>
  <si>
    <t>ECE 15/02</t>
  </si>
  <si>
    <t>ECE 15/03</t>
  </si>
  <si>
    <t>ECE 15/04</t>
  </si>
  <si>
    <t>Open Loop</t>
  </si>
  <si>
    <t>Euro 1 - 91/441/EEC</t>
  </si>
  <si>
    <t>Euro 2 - 94/12/EEC</t>
  </si>
  <si>
    <t>Euro 3 - 98/69/EC I</t>
  </si>
  <si>
    <t>Euro 5 – EC 715/2007</t>
  </si>
  <si>
    <t>Urban CNG Buses</t>
  </si>
  <si>
    <t>Euro I - 91/542/EEC I</t>
  </si>
  <si>
    <t>Euro II - 91/542/EEC II</t>
  </si>
  <si>
    <t>Euro III - 2000</t>
  </si>
  <si>
    <t>n.a</t>
  </si>
  <si>
    <t>Urban Buses Standard</t>
  </si>
  <si>
    <t>Euro IV - 2005</t>
  </si>
  <si>
    <t>Euro V - 2008</t>
  </si>
  <si>
    <t>Euro VI A/B/C</t>
  </si>
  <si>
    <t>Euro VI D/E</t>
  </si>
  <si>
    <t>Urban Hybrid Buses</t>
  </si>
  <si>
    <t>Coaches Standard</t>
  </si>
  <si>
    <t>N2O (g/km)</t>
  </si>
  <si>
    <t>CO2 lube (g/km)</t>
  </si>
  <si>
    <t>Euro 1 - 93/59/EEC</t>
  </si>
  <si>
    <t>Euro 2 - 96/69/EEC</t>
  </si>
  <si>
    <t>Petrol &gt;3.5 t</t>
  </si>
  <si>
    <t>Diesel &lt;=7.5 t</t>
  </si>
  <si>
    <t>Diesel 7.5 - 16 t</t>
  </si>
  <si>
    <t>Diesel 16 - 32 t</t>
  </si>
  <si>
    <t>Diesel &gt; 32 t</t>
  </si>
  <si>
    <t>2-stroke &lt; 50 cc</t>
  </si>
  <si>
    <t>Mop - Euro 1</t>
  </si>
  <si>
    <t>Mop - Euro 2</t>
  </si>
  <si>
    <t>Mop - Euro 3 and later</t>
  </si>
  <si>
    <t>4-stroke &lt; 50 cc</t>
  </si>
  <si>
    <t>2-stroke &gt; 50 cc</t>
  </si>
  <si>
    <t>4-stroke &lt; 250 cc</t>
  </si>
  <si>
    <t>4-stroke 250 - 750 cc</t>
  </si>
  <si>
    <t>4-stroke &gt; 750 cc</t>
  </si>
  <si>
    <t>?</t>
  </si>
  <si>
    <t>CO2 Fossil Fuels (kg)</t>
  </si>
  <si>
    <t>Tier 1 Fuel Consumption (g)</t>
  </si>
  <si>
    <t>Tier 1 Fuel Consumption (kg)</t>
  </si>
  <si>
    <t>Tier 1 CO2 Fossil Fuels (kg)</t>
  </si>
  <si>
    <t>Tier 1 CO2 Lubricant (g)</t>
  </si>
  <si>
    <t>Tier 1 N2O (g)</t>
  </si>
  <si>
    <t>Tier 2 CO2 Fossil Fuels (kg)</t>
  </si>
  <si>
    <t>Tier 2 CO2 Lubricant (g)</t>
  </si>
  <si>
    <t>Tier 2 N2O (g)</t>
  </si>
  <si>
    <t>Euro 6 up to 2016</t>
  </si>
  <si>
    <t>Euro 6 2017 - 2019</t>
  </si>
  <si>
    <t>Euro 6 2020+</t>
  </si>
  <si>
    <t>Euro 6 - EC 715/2009</t>
  </si>
  <si>
    <t>2-Stroke</t>
  </si>
  <si>
    <t>na</t>
  </si>
  <si>
    <t>Hybred Petrol Small</t>
  </si>
  <si>
    <t>Hybrid Petrol Large</t>
  </si>
  <si>
    <t>PHEV Petrol Large</t>
  </si>
  <si>
    <t>PHEV Diesel Large</t>
  </si>
  <si>
    <t>Euro 4 and 5 &amp; 6 a/b/c</t>
  </si>
  <si>
    <t>Mot - Euro 1</t>
  </si>
  <si>
    <t>Mot - Euro 2</t>
  </si>
  <si>
    <t>Mot - Euro 3 and later</t>
  </si>
  <si>
    <t>Tier 3 CO2 Fossil Fuels (kg)</t>
  </si>
  <si>
    <t>Tier 2/3 Fuel Consumption (g)</t>
  </si>
  <si>
    <t>Tier 2/3 Fuel Consumption (kg)</t>
  </si>
  <si>
    <t>Ratio of Hydrogen to Carbon</t>
  </si>
  <si>
    <t>Ratio of Oxygen to Carbon</t>
  </si>
  <si>
    <t>CO2 Fossil Fuels</t>
  </si>
  <si>
    <t>CO2 Lubricant</t>
  </si>
  <si>
    <t>Carbon Ratios</t>
  </si>
  <si>
    <t>Motor Oil</t>
  </si>
  <si>
    <t>Tier 3 Oil Consumption (kg)</t>
  </si>
  <si>
    <t>Totals (kg)</t>
  </si>
  <si>
    <t>Totals (kg CO2)</t>
  </si>
  <si>
    <t>Tier 1 Total (kg)</t>
  </si>
  <si>
    <t>Tier 1 Total (tonne)</t>
  </si>
  <si>
    <t>Tier 2 Total (kg)</t>
  </si>
  <si>
    <t>Tier 2 Total (tonne)</t>
  </si>
  <si>
    <t>Year Start</t>
  </si>
  <si>
    <t>Year End</t>
  </si>
  <si>
    <t>Median</t>
  </si>
  <si>
    <t>Emission standard</t>
  </si>
  <si>
    <t>Sulphur content (ppm)</t>
  </si>
  <si>
    <t>Base EF (mg/km)</t>
  </si>
  <si>
    <t>a</t>
  </si>
  <si>
    <t>b</t>
  </si>
  <si>
    <t>pre-Euro</t>
  </si>
  <si>
    <t>All</t>
  </si>
  <si>
    <t>0-350</t>
  </si>
  <si>
    <t>0-30</t>
  </si>
  <si>
    <t>Sulpher content (ppm)</t>
  </si>
  <si>
    <t>Diesel passenger cars and LCVs</t>
  </si>
  <si>
    <t>Euro 3/4/5</t>
  </si>
  <si>
    <t>Euro 6 up to 2026 / 2017-2019 / 2020+</t>
  </si>
  <si>
    <t>LGP passenger cars</t>
  </si>
  <si>
    <t>&lt; 50cm^3</t>
  </si>
  <si>
    <t>&gt; 50 cm^3 2-stroke</t>
  </si>
  <si>
    <t>&gt; 50 cm^3 4-stroke</t>
  </si>
  <si>
    <t>HDV Category</t>
  </si>
  <si>
    <t>Urban (g/km)</t>
  </si>
  <si>
    <t>Rigid 7.5-12 t</t>
  </si>
  <si>
    <t>HD Euro IV</t>
  </si>
  <si>
    <t>HD Euro V</t>
  </si>
  <si>
    <t>HD Euro VI</t>
  </si>
  <si>
    <t>Articulated &gt; 34 t</t>
  </si>
  <si>
    <t>Urban Hot</t>
  </si>
  <si>
    <t>Petrol-Hybrid Petrol-PHEV</t>
  </si>
  <si>
    <t>Diesel-PHEV</t>
  </si>
  <si>
    <t>All Technologies</t>
  </si>
  <si>
    <t>Euro 4, 5 and 6 a/b/c</t>
  </si>
  <si>
    <t>Euro 6d-temp and later</t>
  </si>
  <si>
    <t>Heavy-duty vehicles and buses</t>
  </si>
  <si>
    <t>GVW&lt; 16t</t>
  </si>
  <si>
    <t>GVW&gt; 16t</t>
  </si>
  <si>
    <t>Diesel-Biodiesel</t>
  </si>
  <si>
    <t>Urban Buses and Coaches Hybrid Urban Buses</t>
  </si>
  <si>
    <t>Euro I</t>
  </si>
  <si>
    <t>Euro II</t>
  </si>
  <si>
    <t>Euro III</t>
  </si>
  <si>
    <t>&lt; 50 cm^3 2-stroke</t>
  </si>
  <si>
    <t>&lt; 50 cm^3 4-stroke</t>
  </si>
  <si>
    <t>Tier 3 Methane (mg)</t>
  </si>
  <si>
    <t>Tier 3 CO2 Lubricant (kg)</t>
  </si>
  <si>
    <t>Age for N2O</t>
  </si>
  <si>
    <t>Lifetime Mileage (km)</t>
  </si>
  <si>
    <t>Tier 3 N2O Coefficient (mg/km)</t>
  </si>
  <si>
    <t>Tier 3 N2O  (mg)</t>
  </si>
  <si>
    <t>Annual Mileage (km)</t>
  </si>
  <si>
    <t>Tier 3 Total (kg)</t>
  </si>
  <si>
    <t>Tier 3 Total (tonne)</t>
  </si>
  <si>
    <t>Tier 1</t>
  </si>
  <si>
    <t>Private Cars</t>
  </si>
  <si>
    <t>Light Commercial Vehicles</t>
  </si>
  <si>
    <t>Minibuses</t>
  </si>
  <si>
    <t>Heavy Duty Vehicles</t>
  </si>
  <si>
    <t>Tier 2</t>
  </si>
  <si>
    <t>Tier 3</t>
  </si>
  <si>
    <t>2022 Emissions</t>
  </si>
  <si>
    <t>Projection</t>
  </si>
  <si>
    <t>% EV</t>
  </si>
  <si>
    <t>30% PC EV</t>
  </si>
  <si>
    <t>40% PC EV</t>
  </si>
  <si>
    <t>50% PC EV</t>
  </si>
  <si>
    <t>75% PC EV</t>
  </si>
  <si>
    <t>100% PC EV</t>
  </si>
  <si>
    <t>Private Vehicle - Taxi - Tourists (Combined)</t>
  </si>
  <si>
    <t>Private Vehicle + Tourists (2055)</t>
  </si>
  <si>
    <t>2030 Emissions</t>
  </si>
  <si>
    <t>Projection Type</t>
  </si>
  <si>
    <t>Light Commercial Projections</t>
  </si>
  <si>
    <t>Heavy Duty Projections</t>
  </si>
  <si>
    <t>% of Total</t>
  </si>
  <si>
    <t>Mini-Cars Diesel</t>
  </si>
  <si>
    <t>Vehicle Technology/Class</t>
  </si>
  <si>
    <t>Rigid and Articulated 12-28 t and Coahces (all types)</t>
  </si>
  <si>
    <t>Rigid and Articulated 28-34 t</t>
  </si>
  <si>
    <t>Diesel Urban Buses (all types)</t>
  </si>
  <si>
    <t>Vehicle Category</t>
  </si>
  <si>
    <t>Tier One</t>
  </si>
  <si>
    <t>Tier Two</t>
  </si>
  <si>
    <t>Tier Three</t>
  </si>
  <si>
    <t>2019 Scenario1</t>
  </si>
  <si>
    <t>2019 Scenario 2</t>
  </si>
  <si>
    <t>2019 Scenario 3</t>
  </si>
  <si>
    <t>2022 Tier 1</t>
  </si>
  <si>
    <t>2022 Tier 2</t>
  </si>
  <si>
    <t>2022 Tier 3</t>
  </si>
  <si>
    <t>Heavy-Duty Trucks</t>
  </si>
  <si>
    <t>Motorcycles 4-stroke &gt; 750 cm^4</t>
  </si>
  <si>
    <t>Motorcycles 4-stroke 250-750 cm^4</t>
  </si>
  <si>
    <t>Motorcycles 4-stroke &lt; 250 cm^4</t>
  </si>
  <si>
    <t>Motorcycles 2-stroke &gt; 50 cm^4</t>
  </si>
  <si>
    <t>Motorcycles 2-stroke &gt; 50 cm^5</t>
  </si>
  <si>
    <t>Motorcycles 2-stroke &gt; 50 cm^6</t>
  </si>
  <si>
    <t>Mopeds 4-stroke &lt; 50 cm^4</t>
  </si>
  <si>
    <t>Mopeds 4-stroke &lt; 50 cm^5</t>
  </si>
  <si>
    <t>Mopeds 4-stroke &lt; 50 cm^6</t>
  </si>
  <si>
    <t>Mopeds 2-stroke &lt; 50 cm^4</t>
  </si>
  <si>
    <t>Year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</si>
</sst>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7">
    <font>
      <sz val="10"/>
      <color rgb="FF000000"/>
      <name val="Arial"/>
      <scheme val="minor"/>
    </font>
    <font>
      <b/>
      <sz val="11"/>
      <color rgb="FF000000"/>
      <name val="&quot;Times New Roman&quot;"/>
    </font>
    <font>
      <sz val="10"/>
      <name val="Arial"/>
    </font>
    <font>
      <sz val="11"/>
      <color rgb="FF000000"/>
      <name val="&quot;Times New Roman&quot;"/>
    </font>
    <font>
      <sz val="10"/>
      <color theme="1"/>
      <name val="Arial"/>
      <scheme val="minor"/>
    </font>
    <font>
      <sz val="10"/>
      <color rgb="FF000000"/>
      <name val="Arial"/>
    </font>
    <font>
      <sz val="9"/>
      <color theme="1"/>
      <name val="Arial"/>
      <scheme val="minor"/>
    </font>
    <font>
      <sz val="9"/>
      <color rgb="FF000000"/>
      <name val="Arial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sz val="12"/>
      <color rgb="FF000000"/>
      <name val="Times New Roman"/>
      <family val="1"/>
    </font>
    <font>
      <sz val="8"/>
      <name val="Arial"/>
      <family val="2"/>
      <scheme val="minor"/>
    </font>
    <font>
      <sz val="9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F2F2F2"/>
        <bgColor rgb="FFF2F2F2"/>
      </patternFill>
    </fill>
    <fill>
      <patternFill patternType="solid">
        <fgColor rgb="FFCCFFCC"/>
        <bgColor rgb="FFCCFFCC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theme="1"/>
      </bottom>
      <diagonal/>
    </border>
    <border>
      <left/>
      <right style="thin">
        <color theme="1"/>
      </right>
      <top style="thin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theme="1"/>
      </right>
      <top style="thin">
        <color rgb="FFFF0000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rgb="FFFF0000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19">
    <xf numFmtId="0" fontId="0" fillId="0" borderId="0" xfId="0"/>
    <xf numFmtId="0" fontId="2" fillId="0" borderId="2" xfId="0" applyFont="1" applyBorder="1"/>
    <xf numFmtId="0" fontId="3" fillId="0" borderId="3" xfId="0" applyFont="1" applyBorder="1"/>
    <xf numFmtId="3" fontId="3" fillId="0" borderId="4" xfId="0" applyNumberFormat="1" applyFont="1" applyBorder="1" applyAlignment="1">
      <alignment horizontal="right"/>
    </xf>
    <xf numFmtId="0" fontId="4" fillId="0" borderId="0" xfId="0" applyFont="1"/>
    <xf numFmtId="0" fontId="3" fillId="0" borderId="4" xfId="0" applyFont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3" fontId="1" fillId="3" borderId="4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4" fillId="0" borderId="6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2" xfId="0" applyFont="1" applyBorder="1"/>
    <xf numFmtId="0" fontId="4" fillId="0" borderId="22" xfId="0" applyFont="1" applyBorder="1" applyAlignment="1">
      <alignment horizontal="center"/>
    </xf>
    <xf numFmtId="0" fontId="2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3" fontId="4" fillId="0" borderId="22" xfId="0" applyNumberFormat="1" applyFont="1" applyBorder="1" applyAlignment="1">
      <alignment horizontal="center"/>
    </xf>
    <xf numFmtId="0" fontId="4" fillId="0" borderId="29" xfId="0" applyFont="1" applyBorder="1"/>
    <xf numFmtId="0" fontId="4" fillId="0" borderId="29" xfId="0" applyFont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0" fontId="4" fillId="0" borderId="32" xfId="0" applyFont="1" applyBorder="1"/>
    <xf numFmtId="0" fontId="4" fillId="0" borderId="32" xfId="0" applyFont="1" applyBorder="1" applyAlignment="1">
      <alignment horizontal="center"/>
    </xf>
    <xf numFmtId="0" fontId="2" fillId="0" borderId="33" xfId="0" applyFont="1" applyBorder="1"/>
    <xf numFmtId="0" fontId="2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15" xfId="0" applyFont="1" applyBorder="1"/>
    <xf numFmtId="2" fontId="4" fillId="0" borderId="28" xfId="0" applyNumberFormat="1" applyFont="1" applyBorder="1"/>
    <xf numFmtId="0" fontId="4" fillId="0" borderId="7" xfId="0" applyFont="1" applyBorder="1"/>
    <xf numFmtId="164" fontId="4" fillId="0" borderId="20" xfId="0" applyNumberFormat="1" applyFont="1" applyBorder="1"/>
    <xf numFmtId="164" fontId="4" fillId="0" borderId="19" xfId="0" applyNumberFormat="1" applyFont="1" applyBorder="1"/>
    <xf numFmtId="0" fontId="6" fillId="0" borderId="0" xfId="0" applyFont="1"/>
    <xf numFmtId="0" fontId="6" fillId="6" borderId="41" xfId="0" applyFont="1" applyFill="1" applyBorder="1" applyAlignment="1">
      <alignment horizontal="center"/>
    </xf>
    <xf numFmtId="0" fontId="6" fillId="7" borderId="42" xfId="0" applyFont="1" applyFill="1" applyBorder="1" applyAlignment="1">
      <alignment horizontal="center"/>
    </xf>
    <xf numFmtId="0" fontId="6" fillId="7" borderId="43" xfId="0" applyFont="1" applyFill="1" applyBorder="1" applyAlignment="1">
      <alignment horizontal="center"/>
    </xf>
    <xf numFmtId="0" fontId="6" fillId="7" borderId="4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45" xfId="0" applyFont="1" applyFill="1" applyBorder="1" applyAlignment="1">
      <alignment horizontal="center"/>
    </xf>
    <xf numFmtId="0" fontId="6" fillId="6" borderId="46" xfId="0" applyFont="1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/>
    </xf>
    <xf numFmtId="0" fontId="7" fillId="7" borderId="45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7" borderId="44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0" fillId="5" borderId="0" xfId="0" applyFont="1" applyFill="1" applyAlignment="1">
      <alignment wrapText="1"/>
    </xf>
    <xf numFmtId="0" fontId="11" fillId="0" borderId="0" xfId="0" applyFont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3" fontId="0" fillId="0" borderId="0" xfId="0" applyNumberFormat="1"/>
    <xf numFmtId="3" fontId="3" fillId="0" borderId="0" xfId="0" applyNumberFormat="1" applyFont="1" applyAlignment="1">
      <alignment horizontal="center"/>
    </xf>
    <xf numFmtId="0" fontId="1" fillId="10" borderId="43" xfId="0" applyFont="1" applyFill="1" applyBorder="1" applyAlignment="1">
      <alignment horizontal="center" wrapText="1"/>
    </xf>
    <xf numFmtId="0" fontId="12" fillId="11" borderId="0" xfId="0" applyFont="1" applyFill="1" applyAlignment="1">
      <alignment wrapText="1"/>
    </xf>
    <xf numFmtId="0" fontId="11" fillId="0" borderId="48" xfId="0" applyFont="1" applyBorder="1"/>
    <xf numFmtId="0" fontId="11" fillId="12" borderId="48" xfId="0" applyFont="1" applyFill="1" applyBorder="1"/>
    <xf numFmtId="0" fontId="11" fillId="0" borderId="48" xfId="0" applyFont="1" applyBorder="1" applyAlignment="1">
      <alignment horizontal="right"/>
    </xf>
    <xf numFmtId="0" fontId="11" fillId="0" borderId="50" xfId="0" applyFont="1" applyBorder="1"/>
    <xf numFmtId="0" fontId="13" fillId="0" borderId="0" xfId="0" applyFont="1"/>
    <xf numFmtId="3" fontId="3" fillId="0" borderId="5" xfId="0" applyNumberFormat="1" applyFont="1" applyBorder="1" applyAlignment="1">
      <alignment horizontal="right"/>
    </xf>
    <xf numFmtId="0" fontId="6" fillId="13" borderId="0" xfId="0" applyFont="1" applyFill="1"/>
    <xf numFmtId="2" fontId="9" fillId="8" borderId="52" xfId="1" applyNumberFormat="1" applyFont="1" applyFill="1" applyBorder="1" applyAlignment="1">
      <alignment horizontal="center" vertical="center"/>
    </xf>
    <xf numFmtId="2" fontId="9" fillId="8" borderId="53" xfId="1" applyNumberFormat="1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horizontal="center"/>
    </xf>
    <xf numFmtId="0" fontId="6" fillId="7" borderId="54" xfId="0" applyFont="1" applyFill="1" applyBorder="1" applyAlignment="1">
      <alignment horizontal="center"/>
    </xf>
    <xf numFmtId="0" fontId="6" fillId="7" borderId="55" xfId="0" applyFont="1" applyFill="1" applyBorder="1" applyAlignment="1">
      <alignment horizontal="center"/>
    </xf>
    <xf numFmtId="2" fontId="9" fillId="8" borderId="56" xfId="1" applyNumberFormat="1" applyFont="1" applyFill="1" applyBorder="1" applyAlignment="1">
      <alignment horizontal="center" vertical="center"/>
    </xf>
    <xf numFmtId="0" fontId="9" fillId="9" borderId="57" xfId="1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center"/>
    </xf>
    <xf numFmtId="3" fontId="6" fillId="13" borderId="58" xfId="0" applyNumberFormat="1" applyFont="1" applyFill="1" applyBorder="1"/>
    <xf numFmtId="0" fontId="9" fillId="9" borderId="46" xfId="1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/>
    </xf>
    <xf numFmtId="2" fontId="9" fillId="8" borderId="60" xfId="1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6" fillId="6" borderId="61" xfId="0" applyFont="1" applyFill="1" applyBorder="1" applyAlignment="1">
      <alignment horizontal="center"/>
    </xf>
    <xf numFmtId="0" fontId="6" fillId="13" borderId="58" xfId="0" applyFont="1" applyFill="1" applyBorder="1"/>
    <xf numFmtId="0" fontId="9" fillId="9" borderId="62" xfId="1" applyFont="1" applyFill="1" applyBorder="1" applyAlignment="1">
      <alignment horizontal="center" vertical="center"/>
    </xf>
    <xf numFmtId="0" fontId="6" fillId="13" borderId="63" xfId="0" applyFont="1" applyFill="1" applyBorder="1"/>
    <xf numFmtId="0" fontId="9" fillId="9" borderId="64" xfId="1" applyFont="1" applyFill="1" applyBorder="1" applyAlignment="1">
      <alignment horizontal="center" vertical="center"/>
    </xf>
    <xf numFmtId="2" fontId="9" fillId="8" borderId="59" xfId="1" applyNumberFormat="1" applyFont="1" applyFill="1" applyBorder="1" applyAlignment="1">
      <alignment horizontal="center" vertical="center"/>
    </xf>
    <xf numFmtId="2" fontId="9" fillId="8" borderId="66" xfId="1" applyNumberFormat="1" applyFont="1" applyFill="1" applyBorder="1" applyAlignment="1">
      <alignment horizontal="center" vertical="center"/>
    </xf>
    <xf numFmtId="0" fontId="6" fillId="13" borderId="65" xfId="0" applyFont="1" applyFill="1" applyBorder="1"/>
    <xf numFmtId="3" fontId="6" fillId="13" borderId="65" xfId="0" applyNumberFormat="1" applyFont="1" applyFill="1" applyBorder="1"/>
    <xf numFmtId="0" fontId="13" fillId="13" borderId="65" xfId="0" applyFont="1" applyFill="1" applyBorder="1"/>
    <xf numFmtId="0" fontId="13" fillId="0" borderId="65" xfId="0" applyFont="1" applyBorder="1"/>
    <xf numFmtId="0" fontId="6" fillId="13" borderId="67" xfId="0" applyFont="1" applyFill="1" applyBorder="1"/>
    <xf numFmtId="0" fontId="6" fillId="13" borderId="68" xfId="0" applyFont="1" applyFill="1" applyBorder="1"/>
    <xf numFmtId="0" fontId="6" fillId="13" borderId="69" xfId="0" applyFont="1" applyFill="1" applyBorder="1"/>
    <xf numFmtId="0" fontId="6" fillId="0" borderId="70" xfId="0" applyFont="1" applyBorder="1"/>
    <xf numFmtId="0" fontId="11" fillId="0" borderId="48" xfId="0" applyFont="1" applyBorder="1" applyAlignment="1">
      <alignment wrapText="1"/>
    </xf>
    <xf numFmtId="0" fontId="11" fillId="0" borderId="48" xfId="0" applyFont="1" applyBorder="1" applyAlignment="1">
      <alignment horizontal="right" wrapText="1"/>
    </xf>
    <xf numFmtId="0" fontId="11" fillId="12" borderId="48" xfId="0" applyFont="1" applyFill="1" applyBorder="1" applyAlignment="1">
      <alignment wrapText="1"/>
    </xf>
    <xf numFmtId="0" fontId="11" fillId="12" borderId="48" xfId="0" applyFont="1" applyFill="1" applyBorder="1" applyAlignment="1">
      <alignment horizontal="right" wrapText="1"/>
    </xf>
    <xf numFmtId="11" fontId="0" fillId="0" borderId="0" xfId="0" applyNumberFormat="1"/>
    <xf numFmtId="11" fontId="11" fillId="0" borderId="48" xfId="0" applyNumberFormat="1" applyFont="1" applyBorder="1" applyAlignment="1">
      <alignment horizontal="right"/>
    </xf>
    <xf numFmtId="0" fontId="10" fillId="5" borderId="0" xfId="0" applyFont="1" applyFill="1" applyAlignment="1">
      <alignment horizontal="center" wrapText="1"/>
    </xf>
    <xf numFmtId="0" fontId="10" fillId="5" borderId="26" xfId="0" applyFont="1" applyFill="1" applyBorder="1" applyAlignment="1">
      <alignment horizontal="center" wrapText="1"/>
    </xf>
    <xf numFmtId="0" fontId="10" fillId="5" borderId="43" xfId="0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14" fillId="0" borderId="7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4" xfId="0" applyFont="1" applyBorder="1" applyAlignment="1">
      <alignment vertical="center"/>
    </xf>
    <xf numFmtId="0" fontId="14" fillId="0" borderId="0" xfId="0" applyFont="1" applyAlignment="1">
      <alignment vertical="center"/>
    </xf>
    <xf numFmtId="11" fontId="6" fillId="0" borderId="0" xfId="0" applyNumberFormat="1" applyFont="1"/>
    <xf numFmtId="0" fontId="5" fillId="4" borderId="65" xfId="0" applyFont="1" applyFill="1" applyBorder="1" applyAlignment="1">
      <alignment horizontal="left"/>
    </xf>
    <xf numFmtId="11" fontId="13" fillId="0" borderId="0" xfId="0" applyNumberFormat="1" applyFont="1"/>
    <xf numFmtId="0" fontId="16" fillId="0" borderId="0" xfId="0" applyFont="1"/>
    <xf numFmtId="2" fontId="11" fillId="0" borderId="0" xfId="0" applyNumberFormat="1" applyFont="1"/>
    <xf numFmtId="2" fontId="0" fillId="0" borderId="0" xfId="0" applyNumberFormat="1"/>
    <xf numFmtId="0" fontId="3" fillId="0" borderId="42" xfId="0" applyFont="1" applyBorder="1"/>
    <xf numFmtId="0" fontId="3" fillId="0" borderId="43" xfId="0" applyFont="1" applyBorder="1" applyAlignment="1">
      <alignment horizontal="right"/>
    </xf>
    <xf numFmtId="3" fontId="13" fillId="13" borderId="58" xfId="0" applyNumberFormat="1" applyFont="1" applyFill="1" applyBorder="1"/>
    <xf numFmtId="0" fontId="14" fillId="0" borderId="26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1" fillId="0" borderId="49" xfId="0" applyFont="1" applyBorder="1" applyAlignment="1">
      <alignment horizontal="left"/>
    </xf>
    <xf numFmtId="0" fontId="11" fillId="0" borderId="51" xfId="0" applyFont="1" applyBorder="1" applyAlignment="1">
      <alignment horizontal="left"/>
    </xf>
    <xf numFmtId="165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0" xfId="0" applyFont="1" applyBorder="1"/>
    <xf numFmtId="0" fontId="2" fillId="0" borderId="14" xfId="0" applyFont="1" applyBorder="1"/>
    <xf numFmtId="0" fontId="4" fillId="0" borderId="10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21" xfId="0" applyFont="1" applyBorder="1"/>
    <xf numFmtId="0" fontId="4" fillId="0" borderId="6" xfId="0" applyFont="1" applyBorder="1"/>
    <xf numFmtId="0" fontId="2" fillId="0" borderId="39" xfId="0" applyFont="1" applyBorder="1"/>
    <xf numFmtId="0" fontId="2" fillId="0" borderId="11" xfId="0" applyFont="1" applyBorder="1"/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3" fontId="11" fillId="0" borderId="0" xfId="0" applyNumberFormat="1" applyFont="1"/>
    <xf numFmtId="0" fontId="11" fillId="0" borderId="72" xfId="0" applyFont="1" applyBorder="1"/>
    <xf numFmtId="0" fontId="11" fillId="0" borderId="73" xfId="0" applyFont="1" applyBorder="1"/>
    <xf numFmtId="0" fontId="11" fillId="0" borderId="73" xfId="0" applyFont="1" applyBorder="1" applyAlignment="1">
      <alignment horizontal="right"/>
    </xf>
    <xf numFmtId="0" fontId="11" fillId="0" borderId="74" xfId="0" applyFont="1" applyBorder="1"/>
    <xf numFmtId="0" fontId="11" fillId="0" borderId="51" xfId="0" applyFont="1" applyBorder="1"/>
    <xf numFmtId="0" fontId="11" fillId="0" borderId="75" xfId="0" applyFont="1" applyBorder="1"/>
    <xf numFmtId="0" fontId="11" fillId="0" borderId="76" xfId="0" applyFont="1" applyBorder="1"/>
    <xf numFmtId="0" fontId="11" fillId="0" borderId="49" xfId="0" applyFont="1" applyBorder="1"/>
    <xf numFmtId="0" fontId="11" fillId="0" borderId="77" xfId="0" applyFont="1" applyBorder="1" applyAlignment="1">
      <alignment horizontal="right"/>
    </xf>
    <xf numFmtId="0" fontId="0" fillId="0" borderId="0" xfId="0" applyBorder="1"/>
    <xf numFmtId="0" fontId="11" fillId="0" borderId="76" xfId="0" applyFont="1" applyBorder="1" applyAlignment="1">
      <alignment horizontal="center"/>
    </xf>
    <xf numFmtId="0" fontId="11" fillId="0" borderId="74" xfId="0" applyFont="1" applyBorder="1" applyAlignment="1">
      <alignment horizontal="center"/>
    </xf>
    <xf numFmtId="0" fontId="11" fillId="0" borderId="76" xfId="0" applyFont="1" applyBorder="1" applyAlignment="1"/>
    <xf numFmtId="0" fontId="11" fillId="0" borderId="49" xfId="0" applyFont="1" applyBorder="1" applyAlignment="1"/>
    <xf numFmtId="0" fontId="11" fillId="0" borderId="48" xfId="0" applyFont="1" applyBorder="1" applyAlignment="1"/>
    <xf numFmtId="0" fontId="0" fillId="0" borderId="0" xfId="0" applyAlignment="1"/>
    <xf numFmtId="0" fontId="11" fillId="0" borderId="79" xfId="0" applyFont="1" applyBorder="1" applyAlignment="1">
      <alignment horizontal="center"/>
    </xf>
    <xf numFmtId="0" fontId="11" fillId="0" borderId="78" xfId="0" applyFont="1" applyBorder="1"/>
    <xf numFmtId="0" fontId="11" fillId="0" borderId="49" xfId="0" applyFont="1" applyBorder="1" applyAlignment="1">
      <alignment horizontal="right"/>
    </xf>
    <xf numFmtId="11" fontId="11" fillId="0" borderId="49" xfId="0" applyNumberFormat="1" applyFont="1" applyBorder="1" applyAlignment="1">
      <alignment horizontal="right"/>
    </xf>
    <xf numFmtId="0" fontId="11" fillId="0" borderId="76" xfId="0" applyFont="1" applyBorder="1" applyAlignment="1">
      <alignment vertical="center"/>
    </xf>
    <xf numFmtId="0" fontId="11" fillId="0" borderId="75" xfId="0" applyFont="1" applyBorder="1" applyAlignment="1">
      <alignment vertical="center"/>
    </xf>
    <xf numFmtId="0" fontId="14" fillId="0" borderId="81" xfId="0" applyFont="1" applyBorder="1" applyAlignment="1">
      <alignment vertical="center" wrapText="1"/>
    </xf>
    <xf numFmtId="0" fontId="14" fillId="0" borderId="86" xfId="0" applyFont="1" applyBorder="1" applyAlignment="1">
      <alignment vertical="center" wrapText="1"/>
    </xf>
    <xf numFmtId="0" fontId="14" fillId="0" borderId="87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14" fillId="0" borderId="45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88" xfId="0" applyFont="1" applyBorder="1" applyAlignment="1">
      <alignment vertical="center"/>
    </xf>
    <xf numFmtId="0" fontId="14" fillId="0" borderId="89" xfId="0" applyFont="1" applyBorder="1" applyAlignment="1">
      <alignment vertical="center"/>
    </xf>
    <xf numFmtId="0" fontId="14" fillId="0" borderId="80" xfId="0" applyFont="1" applyBorder="1" applyAlignment="1">
      <alignment vertical="center"/>
    </xf>
    <xf numFmtId="0" fontId="14" fillId="0" borderId="82" xfId="0" applyFont="1" applyBorder="1" applyAlignment="1">
      <alignment vertical="center"/>
    </xf>
    <xf numFmtId="0" fontId="14" fillId="0" borderId="83" xfId="0" applyFont="1" applyBorder="1" applyAlignment="1">
      <alignment vertical="center"/>
    </xf>
    <xf numFmtId="0" fontId="14" fillId="0" borderId="84" xfId="0" applyFont="1" applyBorder="1" applyAlignment="1">
      <alignment vertical="center"/>
    </xf>
    <xf numFmtId="0" fontId="14" fillId="0" borderId="85" xfId="0" applyFont="1" applyBorder="1" applyAlignment="1">
      <alignment vertical="center"/>
    </xf>
    <xf numFmtId="0" fontId="11" fillId="12" borderId="73" xfId="0" applyFont="1" applyFill="1" applyBorder="1"/>
    <xf numFmtId="0" fontId="11" fillId="0" borderId="48" xfId="0" applyFont="1" applyBorder="1" applyAlignment="1">
      <alignment horizontal="left"/>
    </xf>
    <xf numFmtId="0" fontId="11" fillId="12" borderId="49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1" fillId="0" borderId="72" xfId="0" applyFont="1" applyBorder="1" applyAlignment="1">
      <alignment wrapText="1"/>
    </xf>
    <xf numFmtId="0" fontId="11" fillId="0" borderId="73" xfId="0" applyFont="1" applyBorder="1" applyAlignment="1">
      <alignment wrapText="1"/>
    </xf>
    <xf numFmtId="0" fontId="11" fillId="12" borderId="73" xfId="0" applyFont="1" applyFill="1" applyBorder="1" applyAlignment="1">
      <alignment wrapText="1"/>
    </xf>
    <xf numFmtId="0" fontId="11" fillId="0" borderId="73" xfId="0" applyFont="1" applyBorder="1" applyAlignment="1">
      <alignment horizontal="right" wrapText="1"/>
    </xf>
    <xf numFmtId="0" fontId="11" fillId="0" borderId="74" xfId="0" applyFont="1" applyBorder="1" applyAlignment="1">
      <alignment wrapText="1"/>
    </xf>
    <xf numFmtId="0" fontId="11" fillId="0" borderId="51" xfId="0" applyFont="1" applyBorder="1" applyAlignment="1">
      <alignment wrapText="1"/>
    </xf>
    <xf numFmtId="0" fontId="11" fillId="0" borderId="75" xfId="0" applyFont="1" applyBorder="1" applyAlignment="1">
      <alignment wrapText="1"/>
    </xf>
    <xf numFmtId="0" fontId="11" fillId="0" borderId="76" xfId="0" applyFont="1" applyBorder="1" applyAlignment="1">
      <alignment wrapText="1"/>
    </xf>
    <xf numFmtId="0" fontId="11" fillId="0" borderId="49" xfId="0" applyFont="1" applyBorder="1" applyAlignment="1">
      <alignment wrapText="1"/>
    </xf>
    <xf numFmtId="0" fontId="11" fillId="0" borderId="49" xfId="0" applyFont="1" applyBorder="1" applyAlignment="1">
      <alignment horizontal="right" wrapText="1"/>
    </xf>
    <xf numFmtId="0" fontId="11" fillId="0" borderId="77" xfId="0" applyFont="1" applyBorder="1" applyAlignment="1">
      <alignment horizontal="right" wrapText="1"/>
    </xf>
    <xf numFmtId="0" fontId="11" fillId="0" borderId="76" xfId="0" applyFont="1" applyBorder="1" applyAlignment="1">
      <alignment horizontal="center" vertical="center"/>
    </xf>
    <xf numFmtId="11" fontId="11" fillId="0" borderId="73" xfId="0" applyNumberFormat="1" applyFont="1" applyBorder="1" applyAlignment="1">
      <alignment horizontal="right"/>
    </xf>
    <xf numFmtId="11" fontId="11" fillId="0" borderId="77" xfId="0" applyNumberFormat="1" applyFont="1" applyBorder="1" applyAlignment="1">
      <alignment horizontal="right"/>
    </xf>
    <xf numFmtId="0" fontId="11" fillId="12" borderId="73" xfId="0" applyFont="1" applyFill="1" applyBorder="1" applyAlignment="1">
      <alignment horizontal="right"/>
    </xf>
    <xf numFmtId="0" fontId="11" fillId="12" borderId="49" xfId="0" applyFont="1" applyFill="1" applyBorder="1"/>
    <xf numFmtId="0" fontId="11" fillId="12" borderId="77" xfId="0" applyFont="1" applyFill="1" applyBorder="1"/>
    <xf numFmtId="0" fontId="14" fillId="0" borderId="24" xfId="0" applyFont="1" applyBorder="1" applyAlignment="1">
      <alignment horizontal="center" vertical="center" wrapText="1"/>
    </xf>
    <xf numFmtId="3" fontId="14" fillId="0" borderId="24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vertical="top" wrapText="1"/>
    </xf>
    <xf numFmtId="0" fontId="14" fillId="0" borderId="4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3" fontId="14" fillId="0" borderId="0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61735520-86E0-42F3-BF92-452EDFB18E86}"/>
  </cellStyles>
  <dxfs count="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fill>
        <patternFill patternType="solid">
          <fgColor indexed="64"/>
          <bgColor rgb="FFFFFFFF"/>
        </patternFill>
      </fill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fill>
        <patternFill patternType="solid">
          <fgColor indexed="64"/>
          <bgColor rgb="FFFFFFFF"/>
        </patternFill>
      </fill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numFmt numFmtId="15" formatCode="0.00E+00"/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rgb="FFCCCCCC"/>
        </right>
        <top/>
        <bottom/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numFmt numFmtId="15" formatCode="0.00E+00"/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rgb="FFCCCCCC"/>
        </right>
        <top/>
        <bottom/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righ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medium">
          <color rgb="FFCCCCCC"/>
        </right>
        <top/>
        <bottom/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numFmt numFmtId="15" formatCode="0.00E+00"/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numFmt numFmtId="15" formatCode="0.00E+00"/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 outline="0">
        <left/>
        <right style="medium">
          <color rgb="FFCCCCCC"/>
        </right>
        <top style="medium">
          <color rgb="FFCCCCCC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medium">
          <color rgb="FFCCCCCC"/>
        </left>
        <right/>
        <top style="medium">
          <color rgb="FFCCCCCC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general" vertical="bottom" textRotation="0" wrapText="0" indent="0" justifyLastLine="0" shrinkToFit="0" readingOrder="0"/>
      <border diagonalUp="0" diagonalDown="0" outline="0">
        <left/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border diagonalUp="0" diagonalDown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</a:t>
            </a:r>
            <a:r>
              <a:rPr lang="en-US" baseline="0"/>
              <a:t> Emissions: Tier One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'Projection Editor'!$C$28</c:f>
              <c:strCache>
                <c:ptCount val="1"/>
                <c:pt idx="0">
                  <c:v>CO2 Fossil Fuels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'Projection Editor'!$B$29:$B$35</c:f>
              <c:strCache>
                <c:ptCount val="7"/>
                <c:pt idx="0">
                  <c:v>Private Cars</c:v>
                </c:pt>
                <c:pt idx="1">
                  <c:v>Light Commercial Vehicles</c:v>
                </c:pt>
                <c:pt idx="2">
                  <c:v>Minibuses</c:v>
                </c:pt>
                <c:pt idx="3">
                  <c:v>Heavy Duty Vehicles</c:v>
                </c:pt>
                <c:pt idx="4">
                  <c:v>Buses</c:v>
                </c:pt>
                <c:pt idx="5">
                  <c:v>L-Category</c:v>
                </c:pt>
                <c:pt idx="6">
                  <c:v>Total</c:v>
                </c:pt>
              </c:strCache>
            </c:strRef>
          </c:cat>
          <c:val>
            <c:numRef>
              <c:f>'Projection Editor'!$C$29:$C$35</c:f>
              <c:numCache>
                <c:formatCode>General</c:formatCode>
                <c:ptCount val="7"/>
                <c:pt idx="0">
                  <c:v>85842.449603810775</c:v>
                </c:pt>
                <c:pt idx="1">
                  <c:v>5977.9842820784124</c:v>
                </c:pt>
                <c:pt idx="2">
                  <c:v>363.21573742826399</c:v>
                </c:pt>
                <c:pt idx="3">
                  <c:v>16087.616038897311</c:v>
                </c:pt>
                <c:pt idx="4">
                  <c:v>1759.3742905463455</c:v>
                </c:pt>
                <c:pt idx="5">
                  <c:v>1645.2480098265139</c:v>
                </c:pt>
                <c:pt idx="6">
                  <c:v>111675.88796258761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7-41EC-BDB3-F534755D6914}"/>
            </c:ext>
          </c:extLst>
        </c:ser>
        <c:ser>
          <c:idx val="1"/>
          <c:order val="1"/>
          <c:tx>
            <c:strRef>
              <c:f>'Projection Editor'!$D$28</c:f>
              <c:strCache>
                <c:ptCount val="1"/>
                <c:pt idx="0">
                  <c:v>CO2 Lubricant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'Projection Editor'!$B$29:$B$35</c:f>
              <c:strCache>
                <c:ptCount val="7"/>
                <c:pt idx="0">
                  <c:v>Private Cars</c:v>
                </c:pt>
                <c:pt idx="1">
                  <c:v>Light Commercial Vehicles</c:v>
                </c:pt>
                <c:pt idx="2">
                  <c:v>Minibuses</c:v>
                </c:pt>
                <c:pt idx="3">
                  <c:v>Heavy Duty Vehicles</c:v>
                </c:pt>
                <c:pt idx="4">
                  <c:v>Buses</c:v>
                </c:pt>
                <c:pt idx="5">
                  <c:v>L-Category</c:v>
                </c:pt>
                <c:pt idx="6">
                  <c:v>Total</c:v>
                </c:pt>
              </c:strCache>
            </c:strRef>
          </c:cat>
          <c:val>
            <c:numRef>
              <c:f>'Projection Editor'!$D$29:$D$35</c:f>
              <c:numCache>
                <c:formatCode>General</c:formatCode>
                <c:ptCount val="7"/>
                <c:pt idx="0">
                  <c:v>239.33063189378026</c:v>
                </c:pt>
                <c:pt idx="1">
                  <c:v>12.04425861772028</c:v>
                </c:pt>
                <c:pt idx="2">
                  <c:v>0.73467144262768191</c:v>
                </c:pt>
                <c:pt idx="3">
                  <c:v>12.891677559829285</c:v>
                </c:pt>
                <c:pt idx="4">
                  <c:v>1.410164309873057</c:v>
                </c:pt>
                <c:pt idx="5">
                  <c:v>27.931316796676057</c:v>
                </c:pt>
                <c:pt idx="6">
                  <c:v>294.34272062050661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57-41EC-BDB3-F534755D6914}"/>
            </c:ext>
          </c:extLst>
        </c:ser>
        <c:ser>
          <c:idx val="2"/>
          <c:order val="2"/>
          <c:tx>
            <c:strRef>
              <c:f>'Projection Editor'!$E$28</c:f>
              <c:strCache>
                <c:ptCount val="1"/>
                <c:pt idx="0">
                  <c:v>N2O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'Projection Editor'!$B$29:$B$35</c:f>
              <c:strCache>
                <c:ptCount val="7"/>
                <c:pt idx="0">
                  <c:v>Private Cars</c:v>
                </c:pt>
                <c:pt idx="1">
                  <c:v>Light Commercial Vehicles</c:v>
                </c:pt>
                <c:pt idx="2">
                  <c:v>Minibuses</c:v>
                </c:pt>
                <c:pt idx="3">
                  <c:v>Heavy Duty Vehicles</c:v>
                </c:pt>
                <c:pt idx="4">
                  <c:v>Buses</c:v>
                </c:pt>
                <c:pt idx="5">
                  <c:v>L-Category</c:v>
                </c:pt>
                <c:pt idx="6">
                  <c:v>Total</c:v>
                </c:pt>
              </c:strCache>
            </c:strRef>
          </c:cat>
          <c:val>
            <c:numRef>
              <c:f>'Projection Editor'!$E$29:$E$35</c:f>
              <c:numCache>
                <c:formatCode>General</c:formatCode>
                <c:ptCount val="7"/>
                <c:pt idx="0">
                  <c:v>1591.9819840238633</c:v>
                </c:pt>
                <c:pt idx="1">
                  <c:v>36.875334799419917</c:v>
                </c:pt>
                <c:pt idx="2">
                  <c:v>1.9141042927288148</c:v>
                </c:pt>
                <c:pt idx="3">
                  <c:v>77.921492024592354</c:v>
                </c:pt>
                <c:pt idx="4">
                  <c:v>8.4376681816735104</c:v>
                </c:pt>
                <c:pt idx="5">
                  <c:v>9.1280373962668868</c:v>
                </c:pt>
                <c:pt idx="6">
                  <c:v>1726.2586207185448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57-41EC-BDB3-F534755D6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0004368"/>
        <c:axId val="1442139488"/>
      </c:barChart>
      <c:catAx>
        <c:axId val="16400043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Vehicle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139488"/>
        <c:crosses val="autoZero"/>
        <c:auto val="1"/>
        <c:lblAlgn val="ctr"/>
        <c:lblOffset val="100"/>
        <c:noMultiLvlLbl val="0"/>
      </c:catAx>
      <c:valAx>
        <c:axId val="144213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GHG</a:t>
                </a:r>
                <a:r>
                  <a:rPr lang="en-US" baseline="0"/>
                  <a:t> Emissions (tonnes CO2eq)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000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Emissions: Tier Two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'Projection Editor'!$C$36</c:f>
              <c:strCache>
                <c:ptCount val="1"/>
                <c:pt idx="0">
                  <c:v>CO2 Fossil Fuels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'Projection Editor'!$B$37:$B$43</c:f>
              <c:strCache>
                <c:ptCount val="7"/>
                <c:pt idx="0">
                  <c:v>Private Cars</c:v>
                </c:pt>
                <c:pt idx="1">
                  <c:v>Light Commercial Vehicles</c:v>
                </c:pt>
                <c:pt idx="2">
                  <c:v>Minibuses</c:v>
                </c:pt>
                <c:pt idx="3">
                  <c:v>Heavy Duty Vehicles</c:v>
                </c:pt>
                <c:pt idx="4">
                  <c:v>Buses</c:v>
                </c:pt>
                <c:pt idx="5">
                  <c:v>L-Category</c:v>
                </c:pt>
                <c:pt idx="6">
                  <c:v>Total</c:v>
                </c:pt>
              </c:strCache>
            </c:strRef>
          </c:cat>
          <c:val>
            <c:numRef>
              <c:f>'Projection Editor'!$C$37:$C$43</c:f>
              <c:numCache>
                <c:formatCode>General</c:formatCode>
                <c:ptCount val="7"/>
                <c:pt idx="0">
                  <c:v>75713.433676192537</c:v>
                </c:pt>
                <c:pt idx="1">
                  <c:v>5876.2849036534853</c:v>
                </c:pt>
                <c:pt idx="2">
                  <c:v>363.18125928586795</c:v>
                </c:pt>
                <c:pt idx="3">
                  <c:v>11553.374753449789</c:v>
                </c:pt>
                <c:pt idx="4">
                  <c:v>2206.589986405701</c:v>
                </c:pt>
                <c:pt idx="5">
                  <c:v>1479.2636892266012</c:v>
                </c:pt>
                <c:pt idx="6">
                  <c:v>97192.128268213972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3-465E-9745-05B010C55167}"/>
            </c:ext>
          </c:extLst>
        </c:ser>
        <c:ser>
          <c:idx val="1"/>
          <c:order val="1"/>
          <c:tx>
            <c:strRef>
              <c:f>'Projection Editor'!$D$36</c:f>
              <c:strCache>
                <c:ptCount val="1"/>
                <c:pt idx="0">
                  <c:v>CO2 Lubricant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'Projection Editor'!$B$37:$B$43</c:f>
              <c:strCache>
                <c:ptCount val="7"/>
                <c:pt idx="0">
                  <c:v>Private Cars</c:v>
                </c:pt>
                <c:pt idx="1">
                  <c:v>Light Commercial Vehicles</c:v>
                </c:pt>
                <c:pt idx="2">
                  <c:v>Minibuses</c:v>
                </c:pt>
                <c:pt idx="3">
                  <c:v>Heavy Duty Vehicles</c:v>
                </c:pt>
                <c:pt idx="4">
                  <c:v>Buses</c:v>
                </c:pt>
                <c:pt idx="5">
                  <c:v>L-Category</c:v>
                </c:pt>
                <c:pt idx="6">
                  <c:v>Total</c:v>
                </c:pt>
              </c:strCache>
            </c:strRef>
          </c:cat>
          <c:val>
            <c:numRef>
              <c:f>'Projection Editor'!$D$37:$D$43</c:f>
              <c:numCache>
                <c:formatCode>General</c:formatCode>
                <c:ptCount val="7"/>
                <c:pt idx="0">
                  <c:v>158.7095711676989</c:v>
                </c:pt>
                <c:pt idx="1">
                  <c:v>9.892958219961848</c:v>
                </c:pt>
                <c:pt idx="2">
                  <c:v>0.57837872656161016</c:v>
                </c:pt>
                <c:pt idx="3">
                  <c:v>10.380781649712409</c:v>
                </c:pt>
                <c:pt idx="4">
                  <c:v>0.64373697902097915</c:v>
                </c:pt>
                <c:pt idx="5">
                  <c:v>12.210732844785692</c:v>
                </c:pt>
                <c:pt idx="6">
                  <c:v>192.41615958774148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3-465E-9745-05B010C55167}"/>
            </c:ext>
          </c:extLst>
        </c:ser>
        <c:ser>
          <c:idx val="2"/>
          <c:order val="2"/>
          <c:tx>
            <c:strRef>
              <c:f>'Projection Editor'!$E$36</c:f>
              <c:strCache>
                <c:ptCount val="1"/>
                <c:pt idx="0">
                  <c:v>N2O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'Projection Editor'!$B$37:$B$43</c:f>
              <c:strCache>
                <c:ptCount val="7"/>
                <c:pt idx="0">
                  <c:v>Private Cars</c:v>
                </c:pt>
                <c:pt idx="1">
                  <c:v>Light Commercial Vehicles</c:v>
                </c:pt>
                <c:pt idx="2">
                  <c:v>Minibuses</c:v>
                </c:pt>
                <c:pt idx="3">
                  <c:v>Heavy Duty Vehicles</c:v>
                </c:pt>
                <c:pt idx="4">
                  <c:v>Buses</c:v>
                </c:pt>
                <c:pt idx="5">
                  <c:v>L-Category</c:v>
                </c:pt>
                <c:pt idx="6">
                  <c:v>Total</c:v>
                </c:pt>
              </c:strCache>
            </c:strRef>
          </c:cat>
          <c:val>
            <c:numRef>
              <c:f>'Projection Editor'!$E$37:$E$43</c:f>
              <c:numCache>
                <c:formatCode>General</c:formatCode>
                <c:ptCount val="7"/>
                <c:pt idx="0">
                  <c:v>213.34915129849591</c:v>
                </c:pt>
                <c:pt idx="1">
                  <c:v>42.237355486370674</c:v>
                </c:pt>
                <c:pt idx="2">
                  <c:v>2.1336878025795833</c:v>
                </c:pt>
                <c:pt idx="3">
                  <c:v>65.165739365140553</c:v>
                </c:pt>
                <c:pt idx="4">
                  <c:v>23.460794000516689</c:v>
                </c:pt>
                <c:pt idx="5">
                  <c:v>7.3761585310525808</c:v>
                </c:pt>
                <c:pt idx="6">
                  <c:v>353.72288648415594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3-465E-9745-05B010C55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3783279"/>
        <c:axId val="1574654048"/>
      </c:barChart>
      <c:catAx>
        <c:axId val="1313783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Vehicle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4654048"/>
        <c:crosses val="autoZero"/>
        <c:auto val="1"/>
        <c:lblAlgn val="ctr"/>
        <c:lblOffset val="100"/>
        <c:noMultiLvlLbl val="0"/>
      </c:catAx>
      <c:valAx>
        <c:axId val="157465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GHG Emissions (tonnes CO2eq)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3783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Emissions:</a:t>
            </a:r>
            <a:r>
              <a:rPr lang="en-US" baseline="0"/>
              <a:t> Tier Three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'Projection Editor'!$C$44</c:f>
              <c:strCache>
                <c:ptCount val="1"/>
                <c:pt idx="0">
                  <c:v>CO2 Fossil Fuels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'Projection Editor'!$B$45:$B$51</c:f>
              <c:strCache>
                <c:ptCount val="7"/>
                <c:pt idx="0">
                  <c:v>Private Cars</c:v>
                </c:pt>
                <c:pt idx="1">
                  <c:v>Light Commercial Vehicles</c:v>
                </c:pt>
                <c:pt idx="2">
                  <c:v>Minibuses</c:v>
                </c:pt>
                <c:pt idx="3">
                  <c:v>Heavy Duty Vehicles</c:v>
                </c:pt>
                <c:pt idx="4">
                  <c:v>Buses</c:v>
                </c:pt>
                <c:pt idx="5">
                  <c:v>L-Category</c:v>
                </c:pt>
                <c:pt idx="6">
                  <c:v>Total</c:v>
                </c:pt>
              </c:strCache>
            </c:strRef>
          </c:cat>
          <c:val>
            <c:numRef>
              <c:f>'Projection Editor'!$C$45:$C$51</c:f>
              <c:numCache>
                <c:formatCode>General</c:formatCode>
                <c:ptCount val="7"/>
                <c:pt idx="0">
                  <c:v>75724.736235651406</c:v>
                </c:pt>
                <c:pt idx="1">
                  <c:v>5877.1663764694213</c:v>
                </c:pt>
                <c:pt idx="2">
                  <c:v>363.23611304773266</c:v>
                </c:pt>
                <c:pt idx="3">
                  <c:v>10086.148634467247</c:v>
                </c:pt>
                <c:pt idx="4">
                  <c:v>2206.9232628580307</c:v>
                </c:pt>
                <c:pt idx="5">
                  <c:v>1479.4871125890938</c:v>
                </c:pt>
                <c:pt idx="6">
                  <c:v>95737.69773508294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9-4FC5-A233-755FC0737D5C}"/>
            </c:ext>
          </c:extLst>
        </c:ser>
        <c:ser>
          <c:idx val="1"/>
          <c:order val="1"/>
          <c:tx>
            <c:strRef>
              <c:f>'Projection Editor'!$D$44</c:f>
              <c:strCache>
                <c:ptCount val="1"/>
                <c:pt idx="0">
                  <c:v>CO2 Lubricant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'Projection Editor'!$B$45:$B$51</c:f>
              <c:strCache>
                <c:ptCount val="7"/>
                <c:pt idx="0">
                  <c:v>Private Cars</c:v>
                </c:pt>
                <c:pt idx="1">
                  <c:v>Light Commercial Vehicles</c:v>
                </c:pt>
                <c:pt idx="2">
                  <c:v>Minibuses</c:v>
                </c:pt>
                <c:pt idx="3">
                  <c:v>Heavy Duty Vehicles</c:v>
                </c:pt>
                <c:pt idx="4">
                  <c:v>Buses</c:v>
                </c:pt>
                <c:pt idx="5">
                  <c:v>L-Category</c:v>
                </c:pt>
                <c:pt idx="6">
                  <c:v>Total</c:v>
                </c:pt>
              </c:strCache>
            </c:strRef>
          </c:cat>
          <c:val>
            <c:numRef>
              <c:f>'Projection Editor'!$D$45:$D$51</c:f>
              <c:numCache>
                <c:formatCode>General</c:formatCode>
                <c:ptCount val="7"/>
                <c:pt idx="0">
                  <c:v>156.49404500124683</c:v>
                </c:pt>
                <c:pt idx="1">
                  <c:v>10.389743022016519</c:v>
                </c:pt>
                <c:pt idx="2">
                  <c:v>0.62700048523217167</c:v>
                </c:pt>
                <c:pt idx="3">
                  <c:v>10.285745470652779</c:v>
                </c:pt>
                <c:pt idx="4">
                  <c:v>3.2959155643751661</c:v>
                </c:pt>
                <c:pt idx="5">
                  <c:v>12.069833731873436</c:v>
                </c:pt>
                <c:pt idx="6">
                  <c:v>193.16228327539693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9-4FC5-A233-755FC0737D5C}"/>
            </c:ext>
          </c:extLst>
        </c:ser>
        <c:ser>
          <c:idx val="2"/>
          <c:order val="2"/>
          <c:tx>
            <c:strRef>
              <c:f>'Projection Editor'!$E$44</c:f>
              <c:strCache>
                <c:ptCount val="1"/>
                <c:pt idx="0">
                  <c:v>N2O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'Projection Editor'!$B$45:$B$51</c:f>
              <c:strCache>
                <c:ptCount val="7"/>
                <c:pt idx="0">
                  <c:v>Private Cars</c:v>
                </c:pt>
                <c:pt idx="1">
                  <c:v>Light Commercial Vehicles</c:v>
                </c:pt>
                <c:pt idx="2">
                  <c:v>Minibuses</c:v>
                </c:pt>
                <c:pt idx="3">
                  <c:v>Heavy Duty Vehicles</c:v>
                </c:pt>
                <c:pt idx="4">
                  <c:v>Buses</c:v>
                </c:pt>
                <c:pt idx="5">
                  <c:v>L-Category</c:v>
                </c:pt>
                <c:pt idx="6">
                  <c:v>Total</c:v>
                </c:pt>
              </c:strCache>
            </c:strRef>
          </c:cat>
          <c:val>
            <c:numRef>
              <c:f>'Projection Editor'!$E$45:$E$51</c:f>
              <c:numCache>
                <c:formatCode>General</c:formatCode>
                <c:ptCount val="7"/>
                <c:pt idx="0">
                  <c:v>345.02737103090186</c:v>
                </c:pt>
                <c:pt idx="1">
                  <c:v>63.664387451215624</c:v>
                </c:pt>
                <c:pt idx="2">
                  <c:v>4.1623853537625504</c:v>
                </c:pt>
                <c:pt idx="3">
                  <c:v>138.16838685610085</c:v>
                </c:pt>
                <c:pt idx="4">
                  <c:v>24.354122245786822</c:v>
                </c:pt>
                <c:pt idx="5">
                  <c:v>8.8123003529983475</c:v>
                </c:pt>
                <c:pt idx="6">
                  <c:v>584.18895329076611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39-4FC5-A233-755FC0737D5C}"/>
            </c:ext>
          </c:extLst>
        </c:ser>
        <c:ser>
          <c:idx val="3"/>
          <c:order val="3"/>
          <c:tx>
            <c:strRef>
              <c:f>'Projection Editor'!$F$44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'Projection Editor'!$B$45:$B$51</c:f>
              <c:strCache>
                <c:ptCount val="7"/>
                <c:pt idx="0">
                  <c:v>Private Cars</c:v>
                </c:pt>
                <c:pt idx="1">
                  <c:v>Light Commercial Vehicles</c:v>
                </c:pt>
                <c:pt idx="2">
                  <c:v>Minibuses</c:v>
                </c:pt>
                <c:pt idx="3">
                  <c:v>Heavy Duty Vehicles</c:v>
                </c:pt>
                <c:pt idx="4">
                  <c:v>Buses</c:v>
                </c:pt>
                <c:pt idx="5">
                  <c:v>L-Category</c:v>
                </c:pt>
                <c:pt idx="6">
                  <c:v>Total</c:v>
                </c:pt>
              </c:strCache>
            </c:strRef>
          </c:cat>
          <c:val>
            <c:numRef>
              <c:f>'Projection Editor'!$F$45:$F$51</c:f>
              <c:numCache>
                <c:formatCode>General</c:formatCode>
                <c:ptCount val="7"/>
                <c:pt idx="0">
                  <c:v>125.57436076628566</c:v>
                </c:pt>
                <c:pt idx="1">
                  <c:v>8.9637792816658113</c:v>
                </c:pt>
                <c:pt idx="2">
                  <c:v>5.2242580952724514E-2</c:v>
                </c:pt>
                <c:pt idx="3">
                  <c:v>207.71969789362228</c:v>
                </c:pt>
                <c:pt idx="4">
                  <c:v>30.047937320564792</c:v>
                </c:pt>
                <c:pt idx="5">
                  <c:v>228.66530931480222</c:v>
                </c:pt>
                <c:pt idx="6">
                  <c:v>601.0233271578935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39-4FC5-A233-755FC0737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8866352"/>
        <c:axId val="1457684992"/>
      </c:barChart>
      <c:catAx>
        <c:axId val="1608866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Vehicle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7684992"/>
        <c:crosses val="autoZero"/>
        <c:auto val="1"/>
        <c:lblAlgn val="ctr"/>
        <c:lblOffset val="100"/>
        <c:noMultiLvlLbl val="0"/>
      </c:catAx>
      <c:valAx>
        <c:axId val="145768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GHG Emissions (tonnes</a:t>
                </a:r>
                <a:r>
                  <a:rPr lang="en-US" baseline="0"/>
                  <a:t> CO2eq)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86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Tier One Projections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'Projection Editor'!$I$69</c:f>
              <c:strCache>
                <c:ptCount val="1"/>
                <c:pt idx="0">
                  <c:v>Private Cars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'Projection Editor'!$J$68:$P$68</c:f>
              <c:strCache>
                <c:ptCount val="7"/>
                <c:pt idx="0">
                  <c:v>2022</c:v>
                </c:pt>
                <c:pt idx="1">
                  <c:v>2030</c:v>
                </c:pt>
                <c:pt idx="2">
                  <c:v>30% PC EV</c:v>
                </c:pt>
                <c:pt idx="3">
                  <c:v>40% PC EV</c:v>
                </c:pt>
                <c:pt idx="4">
                  <c:v>50% PC EV</c:v>
                </c:pt>
                <c:pt idx="5">
                  <c:v>75% PC EV</c:v>
                </c:pt>
                <c:pt idx="6">
                  <c:v>100% PC EV</c:v>
                </c:pt>
              </c:strCache>
            </c:strRef>
          </c:cat>
          <c:val>
            <c:numRef>
              <c:f>'Projection Editor'!$J$69:$P$69</c:f>
              <c:numCache>
                <c:formatCode>General</c:formatCode>
                <c:ptCount val="7"/>
                <c:pt idx="0">
                  <c:v>71848.232452970173</c:v>
                </c:pt>
                <c:pt idx="1">
                  <c:v>87673.762219728422</c:v>
                </c:pt>
                <c:pt idx="2">
                  <c:v>61371.633553809894</c:v>
                </c:pt>
                <c:pt idx="3" formatCode="0.00">
                  <c:v>52604.257331837049</c:v>
                </c:pt>
                <c:pt idx="4" formatCode="0.00">
                  <c:v>43836.881109864211</c:v>
                </c:pt>
                <c:pt idx="5" formatCode="0.00">
                  <c:v>21918.440554932105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1-4147-8E6C-05D947100472}"/>
            </c:ext>
          </c:extLst>
        </c:ser>
        <c:ser>
          <c:idx val="1"/>
          <c:order val="1"/>
          <c:tx>
            <c:strRef>
              <c:f>'Projection Editor'!$I$70</c:f>
              <c:strCache>
                <c:ptCount val="1"/>
                <c:pt idx="0">
                  <c:v>Light Commercial Vehicles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'Projection Editor'!$J$68:$P$68</c:f>
              <c:strCache>
                <c:ptCount val="7"/>
                <c:pt idx="0">
                  <c:v>2022</c:v>
                </c:pt>
                <c:pt idx="1">
                  <c:v>2030</c:v>
                </c:pt>
                <c:pt idx="2">
                  <c:v>30% PC EV</c:v>
                </c:pt>
                <c:pt idx="3">
                  <c:v>40% PC EV</c:v>
                </c:pt>
                <c:pt idx="4">
                  <c:v>50% PC EV</c:v>
                </c:pt>
                <c:pt idx="5">
                  <c:v>75% PC EV</c:v>
                </c:pt>
                <c:pt idx="6">
                  <c:v>100% PC EV</c:v>
                </c:pt>
              </c:strCache>
            </c:strRef>
          </c:cat>
          <c:val>
            <c:numRef>
              <c:f>'Projection Editor'!$J$70:$P$70</c:f>
              <c:numCache>
                <c:formatCode>General</c:formatCode>
                <c:ptCount val="7"/>
                <c:pt idx="0">
                  <c:v>7803.7033670921182</c:v>
                </c:pt>
                <c:pt idx="1">
                  <c:v>6026.9038754955527</c:v>
                </c:pt>
                <c:pt idx="2">
                  <c:v>6026.9038754955527</c:v>
                </c:pt>
                <c:pt idx="3" formatCode="0.00">
                  <c:v>6026.9038754955527</c:v>
                </c:pt>
                <c:pt idx="4" formatCode="0.00">
                  <c:v>6026.9038754955527</c:v>
                </c:pt>
                <c:pt idx="5" formatCode="0.00">
                  <c:v>6026.9038754955527</c:v>
                </c:pt>
                <c:pt idx="6">
                  <c:v>6026.9038754955527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1-4147-8E6C-05D947100472}"/>
            </c:ext>
          </c:extLst>
        </c:ser>
        <c:ser>
          <c:idx val="2"/>
          <c:order val="2"/>
          <c:tx>
            <c:strRef>
              <c:f>'Projection Editor'!$I$71</c:f>
              <c:strCache>
                <c:ptCount val="1"/>
                <c:pt idx="0">
                  <c:v>Minibuses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'Projection Editor'!$J$68:$P$68</c:f>
              <c:strCache>
                <c:ptCount val="7"/>
                <c:pt idx="0">
                  <c:v>2022</c:v>
                </c:pt>
                <c:pt idx="1">
                  <c:v>2030</c:v>
                </c:pt>
                <c:pt idx="2">
                  <c:v>30% PC EV</c:v>
                </c:pt>
                <c:pt idx="3">
                  <c:v>40% PC EV</c:v>
                </c:pt>
                <c:pt idx="4">
                  <c:v>50% PC EV</c:v>
                </c:pt>
                <c:pt idx="5">
                  <c:v>75% PC EV</c:v>
                </c:pt>
                <c:pt idx="6">
                  <c:v>100% PC EV</c:v>
                </c:pt>
              </c:strCache>
            </c:strRef>
          </c:cat>
          <c:val>
            <c:numRef>
              <c:f>'Projection Editor'!$J$71:$P$71</c:f>
              <c:numCache>
                <c:formatCode>General</c:formatCode>
                <c:ptCount val="7"/>
                <c:pt idx="0">
                  <c:v>466.79265472599855</c:v>
                </c:pt>
                <c:pt idx="1">
                  <c:v>365.86451316362053</c:v>
                </c:pt>
                <c:pt idx="2">
                  <c:v>365.86451316362053</c:v>
                </c:pt>
                <c:pt idx="3" formatCode="0.00">
                  <c:v>365.86451316362053</c:v>
                </c:pt>
                <c:pt idx="4" formatCode="0.00">
                  <c:v>365.86451316362053</c:v>
                </c:pt>
                <c:pt idx="5" formatCode="0.00">
                  <c:v>365.86451316362053</c:v>
                </c:pt>
                <c:pt idx="6">
                  <c:v>365.86451316362053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B1-4147-8E6C-05D947100472}"/>
            </c:ext>
          </c:extLst>
        </c:ser>
        <c:ser>
          <c:idx val="3"/>
          <c:order val="3"/>
          <c:tx>
            <c:strRef>
              <c:f>'Projection Editor'!$I$72</c:f>
              <c:strCache>
                <c:ptCount val="1"/>
                <c:pt idx="0">
                  <c:v>Heavy Duty Vehicles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'Projection Editor'!$J$68:$P$68</c:f>
              <c:strCache>
                <c:ptCount val="7"/>
                <c:pt idx="0">
                  <c:v>2022</c:v>
                </c:pt>
                <c:pt idx="1">
                  <c:v>2030</c:v>
                </c:pt>
                <c:pt idx="2">
                  <c:v>30% PC EV</c:v>
                </c:pt>
                <c:pt idx="3">
                  <c:v>40% PC EV</c:v>
                </c:pt>
                <c:pt idx="4">
                  <c:v>50% PC EV</c:v>
                </c:pt>
                <c:pt idx="5">
                  <c:v>75% PC EV</c:v>
                </c:pt>
                <c:pt idx="6">
                  <c:v>100% PC EV</c:v>
                </c:pt>
              </c:strCache>
            </c:strRef>
          </c:cat>
          <c:val>
            <c:numRef>
              <c:f>'Projection Editor'!$J$72:$P$72</c:f>
              <c:numCache>
                <c:formatCode>General</c:formatCode>
                <c:ptCount val="7"/>
                <c:pt idx="0">
                  <c:v>13421.947167718125</c:v>
                </c:pt>
                <c:pt idx="1">
                  <c:v>16178.429208481733</c:v>
                </c:pt>
                <c:pt idx="2">
                  <c:v>16178.429208481733</c:v>
                </c:pt>
                <c:pt idx="3" formatCode="0.00">
                  <c:v>16178.429208481733</c:v>
                </c:pt>
                <c:pt idx="4" formatCode="0.00">
                  <c:v>16178.429208481733</c:v>
                </c:pt>
                <c:pt idx="5" formatCode="0.00">
                  <c:v>16178.429208481733</c:v>
                </c:pt>
                <c:pt idx="6">
                  <c:v>16178.429208481733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B1-4147-8E6C-05D947100472}"/>
            </c:ext>
          </c:extLst>
        </c:ser>
        <c:ser>
          <c:idx val="4"/>
          <c:order val="4"/>
          <c:tx>
            <c:strRef>
              <c:f>'Projection Editor'!$I$73</c:f>
              <c:strCache>
                <c:ptCount val="1"/>
                <c:pt idx="0">
                  <c:v>Buses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'Projection Editor'!$J$68:$P$68</c:f>
              <c:strCache>
                <c:ptCount val="7"/>
                <c:pt idx="0">
                  <c:v>2022</c:v>
                </c:pt>
                <c:pt idx="1">
                  <c:v>2030</c:v>
                </c:pt>
                <c:pt idx="2">
                  <c:v>30% PC EV</c:v>
                </c:pt>
                <c:pt idx="3">
                  <c:v>40% PC EV</c:v>
                </c:pt>
                <c:pt idx="4">
                  <c:v>50% PC EV</c:v>
                </c:pt>
                <c:pt idx="5">
                  <c:v>75% PC EV</c:v>
                </c:pt>
                <c:pt idx="6">
                  <c:v>100% PC EV</c:v>
                </c:pt>
              </c:strCache>
            </c:strRef>
          </c:cat>
          <c:val>
            <c:numRef>
              <c:f>'Projection Editor'!$J$73:$P$73</c:f>
              <c:numCache>
                <c:formatCode>General</c:formatCode>
                <c:ptCount val="7"/>
                <c:pt idx="0">
                  <c:v>2188.1095742665839</c:v>
                </c:pt>
                <c:pt idx="1">
                  <c:v>1769.2221230378921</c:v>
                </c:pt>
                <c:pt idx="2">
                  <c:v>1769.2221230378921</c:v>
                </c:pt>
                <c:pt idx="3" formatCode="0.00">
                  <c:v>1769.2221230378921</c:v>
                </c:pt>
                <c:pt idx="4" formatCode="0.00">
                  <c:v>1769.2221230378921</c:v>
                </c:pt>
                <c:pt idx="5" formatCode="0.00">
                  <c:v>1769.2221230378921</c:v>
                </c:pt>
                <c:pt idx="6">
                  <c:v>1769.2221230378921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B1-4147-8E6C-05D947100472}"/>
            </c:ext>
          </c:extLst>
        </c:ser>
        <c:ser>
          <c:idx val="5"/>
          <c:order val="5"/>
          <c:tx>
            <c:strRef>
              <c:f>'Projection Editor'!$I$74</c:f>
              <c:strCache>
                <c:ptCount val="1"/>
                <c:pt idx="0">
                  <c:v>L-Category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'Projection Editor'!$J$68:$P$68</c:f>
              <c:strCache>
                <c:ptCount val="7"/>
                <c:pt idx="0">
                  <c:v>2022</c:v>
                </c:pt>
                <c:pt idx="1">
                  <c:v>2030</c:v>
                </c:pt>
                <c:pt idx="2">
                  <c:v>30% PC EV</c:v>
                </c:pt>
                <c:pt idx="3">
                  <c:v>40% PC EV</c:v>
                </c:pt>
                <c:pt idx="4">
                  <c:v>50% PC EV</c:v>
                </c:pt>
                <c:pt idx="5">
                  <c:v>75% PC EV</c:v>
                </c:pt>
                <c:pt idx="6">
                  <c:v>100% PC EV</c:v>
                </c:pt>
              </c:strCache>
            </c:strRef>
          </c:cat>
          <c:val>
            <c:numRef>
              <c:f>'Projection Editor'!$J$74:$P$74</c:f>
              <c:numCache>
                <c:formatCode>General</c:formatCode>
                <c:ptCount val="7"/>
                <c:pt idx="0">
                  <c:v>1418.7966842468416</c:v>
                </c:pt>
                <c:pt idx="1">
                  <c:v>1682.3073640194568</c:v>
                </c:pt>
                <c:pt idx="2">
                  <c:v>1682.3073640194568</c:v>
                </c:pt>
                <c:pt idx="3" formatCode="0.00">
                  <c:v>1682.3073640194568</c:v>
                </c:pt>
                <c:pt idx="4" formatCode="0.00">
                  <c:v>1682.3073640194568</c:v>
                </c:pt>
                <c:pt idx="5" formatCode="0.00">
                  <c:v>1682.3073640194568</c:v>
                </c:pt>
                <c:pt idx="6">
                  <c:v>1682.3073640194568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B1-4147-8E6C-05D947100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7271056"/>
        <c:axId val="1573926400"/>
      </c:barChart>
      <c:catAx>
        <c:axId val="1647271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Scenario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926400"/>
        <c:crosses val="autoZero"/>
        <c:auto val="1"/>
        <c:lblAlgn val="ctr"/>
        <c:lblOffset val="100"/>
        <c:noMultiLvlLbl val="0"/>
      </c:catAx>
      <c:valAx>
        <c:axId val="157392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GHG Emissions (tonnes CO2eq)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27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Tier Two Projections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'Projection Editor'!$I$77</c:f>
              <c:strCache>
                <c:ptCount val="1"/>
                <c:pt idx="0">
                  <c:v>Private Cars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'Projection Editor'!$J$76:$P$76</c:f>
              <c:strCache>
                <c:ptCount val="7"/>
                <c:pt idx="0">
                  <c:v>2022</c:v>
                </c:pt>
                <c:pt idx="1">
                  <c:v>2030</c:v>
                </c:pt>
                <c:pt idx="2">
                  <c:v>30% PC EV</c:v>
                </c:pt>
                <c:pt idx="3">
                  <c:v>40% PC EV</c:v>
                </c:pt>
                <c:pt idx="4">
                  <c:v>50% PC EV</c:v>
                </c:pt>
                <c:pt idx="5">
                  <c:v>75% PC EV</c:v>
                </c:pt>
                <c:pt idx="6">
                  <c:v>100% PC EV</c:v>
                </c:pt>
              </c:strCache>
            </c:strRef>
          </c:cat>
          <c:val>
            <c:numRef>
              <c:f>'Projection Editor'!$J$77:$P$77</c:f>
              <c:numCache>
                <c:formatCode>General</c:formatCode>
                <c:ptCount val="7"/>
                <c:pt idx="0">
                  <c:v>62351.700277867501</c:v>
                </c:pt>
                <c:pt idx="1">
                  <c:v>76085.492398658724</c:v>
                </c:pt>
                <c:pt idx="2">
                  <c:v>53259.844679061105</c:v>
                </c:pt>
                <c:pt idx="3" formatCode="0.00">
                  <c:v>45651.295439195237</c:v>
                </c:pt>
                <c:pt idx="4" formatCode="0.00">
                  <c:v>38042.746199329362</c:v>
                </c:pt>
                <c:pt idx="5" formatCode="0.00">
                  <c:v>19021.373099664681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A-4157-9795-CFDA4C482708}"/>
            </c:ext>
          </c:extLst>
        </c:ser>
        <c:ser>
          <c:idx val="1"/>
          <c:order val="1"/>
          <c:tx>
            <c:strRef>
              <c:f>'Projection Editor'!$I$78</c:f>
              <c:strCache>
                <c:ptCount val="1"/>
                <c:pt idx="0">
                  <c:v>Light Commercial Vehicles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'Projection Editor'!$J$76:$P$76</c:f>
              <c:strCache>
                <c:ptCount val="7"/>
                <c:pt idx="0">
                  <c:v>2022</c:v>
                </c:pt>
                <c:pt idx="1">
                  <c:v>2030</c:v>
                </c:pt>
                <c:pt idx="2">
                  <c:v>30% PC EV</c:v>
                </c:pt>
                <c:pt idx="3">
                  <c:v>40% PC EV</c:v>
                </c:pt>
                <c:pt idx="4">
                  <c:v>50% PC EV</c:v>
                </c:pt>
                <c:pt idx="5">
                  <c:v>75% PC EV</c:v>
                </c:pt>
                <c:pt idx="6">
                  <c:v>100% PC EV</c:v>
                </c:pt>
              </c:strCache>
            </c:strRef>
          </c:cat>
          <c:val>
            <c:numRef>
              <c:f>'Projection Editor'!$J$78:$P$78</c:f>
              <c:numCache>
                <c:formatCode>General</c:formatCode>
                <c:ptCount val="7"/>
                <c:pt idx="0">
                  <c:v>7676.1791375720277</c:v>
                </c:pt>
                <c:pt idx="1">
                  <c:v>5928.4152173598177</c:v>
                </c:pt>
                <c:pt idx="2">
                  <c:v>5928.4152173598177</c:v>
                </c:pt>
                <c:pt idx="3" formatCode="0.00">
                  <c:v>5928.4152173598177</c:v>
                </c:pt>
                <c:pt idx="4" formatCode="0.00">
                  <c:v>5928.4152173598177</c:v>
                </c:pt>
                <c:pt idx="5" formatCode="0.00">
                  <c:v>5928.4152173598177</c:v>
                </c:pt>
                <c:pt idx="6">
                  <c:v>5928.4152173598177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6A-4157-9795-CFDA4C482708}"/>
            </c:ext>
          </c:extLst>
        </c:ser>
        <c:ser>
          <c:idx val="2"/>
          <c:order val="2"/>
          <c:tx>
            <c:strRef>
              <c:f>'Projection Editor'!$I$79</c:f>
              <c:strCache>
                <c:ptCount val="1"/>
                <c:pt idx="0">
                  <c:v>Minibuses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'Projection Editor'!$J$76:$P$76</c:f>
              <c:strCache>
                <c:ptCount val="7"/>
                <c:pt idx="0">
                  <c:v>2022</c:v>
                </c:pt>
                <c:pt idx="1">
                  <c:v>2030</c:v>
                </c:pt>
                <c:pt idx="2">
                  <c:v>30% PC EV</c:v>
                </c:pt>
                <c:pt idx="3">
                  <c:v>40% PC EV</c:v>
                </c:pt>
                <c:pt idx="4">
                  <c:v>50% PC EV</c:v>
                </c:pt>
                <c:pt idx="5">
                  <c:v>75% PC EV</c:v>
                </c:pt>
                <c:pt idx="6">
                  <c:v>100% PC EV</c:v>
                </c:pt>
              </c:strCache>
            </c:strRef>
          </c:cat>
          <c:val>
            <c:numRef>
              <c:f>'Projection Editor'!$J$79:$P$79</c:f>
              <c:numCache>
                <c:formatCode>General</c:formatCode>
                <c:ptCount val="7"/>
                <c:pt idx="0">
                  <c:v>466.82941569501168</c:v>
                </c:pt>
                <c:pt idx="1">
                  <c:v>365.89332581500912</c:v>
                </c:pt>
                <c:pt idx="2">
                  <c:v>365.89332581500912</c:v>
                </c:pt>
                <c:pt idx="3" formatCode="0.00">
                  <c:v>365.89332581500912</c:v>
                </c:pt>
                <c:pt idx="4" formatCode="0.00">
                  <c:v>365.89332581500912</c:v>
                </c:pt>
                <c:pt idx="5" formatCode="0.00">
                  <c:v>365.89332581500912</c:v>
                </c:pt>
                <c:pt idx="6">
                  <c:v>365.89332581500912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6A-4157-9795-CFDA4C482708}"/>
            </c:ext>
          </c:extLst>
        </c:ser>
        <c:ser>
          <c:idx val="3"/>
          <c:order val="3"/>
          <c:tx>
            <c:strRef>
              <c:f>'Projection Editor'!$I$80</c:f>
              <c:strCache>
                <c:ptCount val="1"/>
                <c:pt idx="0">
                  <c:v>Heavy Duty Vehicles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'Projection Editor'!$J$76:$P$76</c:f>
              <c:strCache>
                <c:ptCount val="7"/>
                <c:pt idx="0">
                  <c:v>2022</c:v>
                </c:pt>
                <c:pt idx="1">
                  <c:v>2030</c:v>
                </c:pt>
                <c:pt idx="2">
                  <c:v>30% PC EV</c:v>
                </c:pt>
                <c:pt idx="3">
                  <c:v>40% PC EV</c:v>
                </c:pt>
                <c:pt idx="4">
                  <c:v>50% PC EV</c:v>
                </c:pt>
                <c:pt idx="5">
                  <c:v>75% PC EV</c:v>
                </c:pt>
                <c:pt idx="6">
                  <c:v>100% PC EV</c:v>
                </c:pt>
              </c:strCache>
            </c:strRef>
          </c:cat>
          <c:val>
            <c:numRef>
              <c:f>'Projection Editor'!$J$80:$P$80</c:f>
              <c:numCache>
                <c:formatCode>General</c:formatCode>
                <c:ptCount val="7"/>
                <c:pt idx="0">
                  <c:v>9647.5847532583412</c:v>
                </c:pt>
                <c:pt idx="1">
                  <c:v>11628.921274464641</c:v>
                </c:pt>
                <c:pt idx="2">
                  <c:v>11628.921274464641</c:v>
                </c:pt>
                <c:pt idx="3" formatCode="0.00">
                  <c:v>11628.921274464641</c:v>
                </c:pt>
                <c:pt idx="4" formatCode="0.00">
                  <c:v>11628.921274464641</c:v>
                </c:pt>
                <c:pt idx="5" formatCode="0.00">
                  <c:v>11628.921274464641</c:v>
                </c:pt>
                <c:pt idx="6">
                  <c:v>11628.921274464641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6A-4157-9795-CFDA4C482708}"/>
            </c:ext>
          </c:extLst>
        </c:ser>
        <c:ser>
          <c:idx val="4"/>
          <c:order val="4"/>
          <c:tx>
            <c:strRef>
              <c:f>'Projection Editor'!$I$81</c:f>
              <c:strCache>
                <c:ptCount val="1"/>
                <c:pt idx="0">
                  <c:v>Buses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'Projection Editor'!$J$76:$P$76</c:f>
              <c:strCache>
                <c:ptCount val="7"/>
                <c:pt idx="0">
                  <c:v>2022</c:v>
                </c:pt>
                <c:pt idx="1">
                  <c:v>2030</c:v>
                </c:pt>
                <c:pt idx="2">
                  <c:v>30% PC EV</c:v>
                </c:pt>
                <c:pt idx="3">
                  <c:v>40% PC EV</c:v>
                </c:pt>
                <c:pt idx="4">
                  <c:v>50% PC EV</c:v>
                </c:pt>
                <c:pt idx="5">
                  <c:v>75% PC EV</c:v>
                </c:pt>
                <c:pt idx="6">
                  <c:v>100% PC EV</c:v>
                </c:pt>
              </c:strCache>
            </c:strRef>
          </c:cat>
          <c:val>
            <c:numRef>
              <c:f>'Projection Editor'!$J$81:$P$81</c:f>
              <c:numCache>
                <c:formatCode>General</c:formatCode>
                <c:ptCount val="7"/>
                <c:pt idx="0">
                  <c:v>2758.8613533932566</c:v>
                </c:pt>
                <c:pt idx="1">
                  <c:v>2230.6945173852387</c:v>
                </c:pt>
                <c:pt idx="2">
                  <c:v>2230.6945173852387</c:v>
                </c:pt>
                <c:pt idx="3" formatCode="0.00">
                  <c:v>2230.6945173852387</c:v>
                </c:pt>
                <c:pt idx="4" formatCode="0.00">
                  <c:v>2230.6945173852387</c:v>
                </c:pt>
                <c:pt idx="5" formatCode="0.00">
                  <c:v>2230.6945173852387</c:v>
                </c:pt>
                <c:pt idx="6">
                  <c:v>2230.6945173852387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6A-4157-9795-CFDA4C482708}"/>
            </c:ext>
          </c:extLst>
        </c:ser>
        <c:ser>
          <c:idx val="5"/>
          <c:order val="5"/>
          <c:tx>
            <c:strRef>
              <c:f>'Projection Editor'!$I$82</c:f>
              <c:strCache>
                <c:ptCount val="1"/>
                <c:pt idx="0">
                  <c:v>L-Category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'Projection Editor'!$J$76:$P$76</c:f>
              <c:strCache>
                <c:ptCount val="7"/>
                <c:pt idx="0">
                  <c:v>2022</c:v>
                </c:pt>
                <c:pt idx="1">
                  <c:v>2030</c:v>
                </c:pt>
                <c:pt idx="2">
                  <c:v>30% PC EV</c:v>
                </c:pt>
                <c:pt idx="3">
                  <c:v>40% PC EV</c:v>
                </c:pt>
                <c:pt idx="4">
                  <c:v>50% PC EV</c:v>
                </c:pt>
                <c:pt idx="5">
                  <c:v>75% PC EV</c:v>
                </c:pt>
                <c:pt idx="6">
                  <c:v>100% PC EV</c:v>
                </c:pt>
              </c:strCache>
            </c:strRef>
          </c:cat>
          <c:val>
            <c:numRef>
              <c:f>'Projection Editor'!$J$82:$P$82</c:f>
              <c:numCache>
                <c:formatCode>General</c:formatCode>
                <c:ptCount val="7"/>
                <c:pt idx="0">
                  <c:v>1264.0894082876375</c:v>
                </c:pt>
                <c:pt idx="1">
                  <c:v>1498.8505806024395</c:v>
                </c:pt>
                <c:pt idx="2">
                  <c:v>1498.8505806024395</c:v>
                </c:pt>
                <c:pt idx="3" formatCode="0.00">
                  <c:v>1498.8505806024395</c:v>
                </c:pt>
                <c:pt idx="4" formatCode="0.00">
                  <c:v>1498.8505806024395</c:v>
                </c:pt>
                <c:pt idx="5" formatCode="0.00">
                  <c:v>1498.8505806024395</c:v>
                </c:pt>
                <c:pt idx="6">
                  <c:v>1498.8505806024395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6A-4157-9795-CFDA4C482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2238671"/>
        <c:axId val="1523704256"/>
      </c:barChart>
      <c:catAx>
        <c:axId val="13022386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Scenario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704256"/>
        <c:crosses val="autoZero"/>
        <c:auto val="1"/>
        <c:lblAlgn val="ctr"/>
        <c:lblOffset val="100"/>
        <c:noMultiLvlLbl val="0"/>
      </c:catAx>
      <c:valAx>
        <c:axId val="152370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GHG Emissions (tonnes CO2eq)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238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Tier Three Projections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'Projection Editor'!$I$85</c:f>
              <c:strCache>
                <c:ptCount val="1"/>
                <c:pt idx="0">
                  <c:v>Private Cars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'Projection Editor'!$J$84:$P$84</c:f>
              <c:strCache>
                <c:ptCount val="7"/>
                <c:pt idx="0">
                  <c:v>2022</c:v>
                </c:pt>
                <c:pt idx="1">
                  <c:v>2030</c:v>
                </c:pt>
                <c:pt idx="2">
                  <c:v>30% PC EV</c:v>
                </c:pt>
                <c:pt idx="3">
                  <c:v>40% PC EV</c:v>
                </c:pt>
                <c:pt idx="4">
                  <c:v>50% PC EV</c:v>
                </c:pt>
                <c:pt idx="5">
                  <c:v>75% PC EV</c:v>
                </c:pt>
                <c:pt idx="6">
                  <c:v>100% PC EV</c:v>
                </c:pt>
              </c:strCache>
            </c:strRef>
          </c:cat>
          <c:val>
            <c:numRef>
              <c:f>'Projection Editor'!$J$85:$P$85</c:f>
              <c:numCache>
                <c:formatCode>General</c:formatCode>
                <c:ptCount val="7"/>
                <c:pt idx="0">
                  <c:v>62569.964328577895</c:v>
                </c:pt>
                <c:pt idx="1">
                  <c:v>76351.832012449842</c:v>
                </c:pt>
                <c:pt idx="2">
                  <c:v>53446.282408714891</c:v>
                </c:pt>
                <c:pt idx="3" formatCode="0.00">
                  <c:v>45811.099207469902</c:v>
                </c:pt>
                <c:pt idx="4" formatCode="0.00">
                  <c:v>38175.916006224921</c:v>
                </c:pt>
                <c:pt idx="5" formatCode="0.00">
                  <c:v>19087.958003112461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F-4C2F-960A-261326464659}"/>
            </c:ext>
          </c:extLst>
        </c:ser>
        <c:ser>
          <c:idx val="1"/>
          <c:order val="1"/>
          <c:tx>
            <c:strRef>
              <c:f>'Projection Editor'!$I$86</c:f>
              <c:strCache>
                <c:ptCount val="1"/>
                <c:pt idx="0">
                  <c:v>Light Commercial Vehicles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'Projection Editor'!$J$84:$P$84</c:f>
              <c:strCache>
                <c:ptCount val="7"/>
                <c:pt idx="0">
                  <c:v>2022</c:v>
                </c:pt>
                <c:pt idx="1">
                  <c:v>2030</c:v>
                </c:pt>
                <c:pt idx="2">
                  <c:v>30% PC EV</c:v>
                </c:pt>
                <c:pt idx="3">
                  <c:v>40% PC EV</c:v>
                </c:pt>
                <c:pt idx="4">
                  <c:v>50% PC EV</c:v>
                </c:pt>
                <c:pt idx="5">
                  <c:v>75% PC EV</c:v>
                </c:pt>
                <c:pt idx="6">
                  <c:v>100% PC EV</c:v>
                </c:pt>
              </c:strCache>
            </c:strRef>
          </c:cat>
          <c:val>
            <c:numRef>
              <c:f>'Projection Editor'!$J$86:$P$86</c:f>
              <c:numCache>
                <c:formatCode>General</c:formatCode>
                <c:ptCount val="7"/>
                <c:pt idx="0">
                  <c:v>7717.3140875876206</c:v>
                </c:pt>
                <c:pt idx="1">
                  <c:v>5960.1842862243193</c:v>
                </c:pt>
                <c:pt idx="2">
                  <c:v>5960.1842862243193</c:v>
                </c:pt>
                <c:pt idx="3" formatCode="0.00">
                  <c:v>5960.1842862243193</c:v>
                </c:pt>
                <c:pt idx="4" formatCode="0.00">
                  <c:v>5960.1842862243193</c:v>
                </c:pt>
                <c:pt idx="5" formatCode="0.00">
                  <c:v>5960.1842862243193</c:v>
                </c:pt>
                <c:pt idx="6">
                  <c:v>5960.1842862243193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F-4C2F-960A-261326464659}"/>
            </c:ext>
          </c:extLst>
        </c:ser>
        <c:ser>
          <c:idx val="2"/>
          <c:order val="2"/>
          <c:tx>
            <c:strRef>
              <c:f>'Projection Editor'!$I$87</c:f>
              <c:strCache>
                <c:ptCount val="1"/>
                <c:pt idx="0">
                  <c:v>Minibuses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'Projection Editor'!$J$84:$P$84</c:f>
              <c:strCache>
                <c:ptCount val="7"/>
                <c:pt idx="0">
                  <c:v>2022</c:v>
                </c:pt>
                <c:pt idx="1">
                  <c:v>2030</c:v>
                </c:pt>
                <c:pt idx="2">
                  <c:v>30% PC EV</c:v>
                </c:pt>
                <c:pt idx="3">
                  <c:v>40% PC EV</c:v>
                </c:pt>
                <c:pt idx="4">
                  <c:v>50% PC EV</c:v>
                </c:pt>
                <c:pt idx="5">
                  <c:v>75% PC EV</c:v>
                </c:pt>
                <c:pt idx="6">
                  <c:v>100% PC EV</c:v>
                </c:pt>
              </c:strCache>
            </c:strRef>
          </c:cat>
          <c:val>
            <c:numRef>
              <c:f>'Projection Editor'!$J$87:$P$87</c:f>
              <c:numCache>
                <c:formatCode>General</c:formatCode>
                <c:ptCount val="7"/>
                <c:pt idx="0">
                  <c:v>469.61642876910906</c:v>
                </c:pt>
                <c:pt idx="1">
                  <c:v>368.07774146768008</c:v>
                </c:pt>
                <c:pt idx="2">
                  <c:v>368.07774146768008</c:v>
                </c:pt>
                <c:pt idx="3" formatCode="0.00">
                  <c:v>368.07774146768008</c:v>
                </c:pt>
                <c:pt idx="4" formatCode="0.00">
                  <c:v>368.07774146768008</c:v>
                </c:pt>
                <c:pt idx="5" formatCode="0.00">
                  <c:v>368.07774146768008</c:v>
                </c:pt>
                <c:pt idx="6">
                  <c:v>368.07774146768008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F-4C2F-960A-261326464659}"/>
            </c:ext>
          </c:extLst>
        </c:ser>
        <c:ser>
          <c:idx val="3"/>
          <c:order val="3"/>
          <c:tx>
            <c:strRef>
              <c:f>'Projection Editor'!$I$88</c:f>
              <c:strCache>
                <c:ptCount val="1"/>
                <c:pt idx="0">
                  <c:v>Heavy Duty Vehicles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'Projection Editor'!$J$84:$P$84</c:f>
              <c:strCache>
                <c:ptCount val="7"/>
                <c:pt idx="0">
                  <c:v>2022</c:v>
                </c:pt>
                <c:pt idx="1">
                  <c:v>2030</c:v>
                </c:pt>
                <c:pt idx="2">
                  <c:v>30% PC EV</c:v>
                </c:pt>
                <c:pt idx="3">
                  <c:v>40% PC EV</c:v>
                </c:pt>
                <c:pt idx="4">
                  <c:v>50% PC EV</c:v>
                </c:pt>
                <c:pt idx="5">
                  <c:v>75% PC EV</c:v>
                </c:pt>
                <c:pt idx="6">
                  <c:v>100% PC EV</c:v>
                </c:pt>
              </c:strCache>
            </c:strRef>
          </c:cat>
          <c:val>
            <c:numRef>
              <c:f>'Projection Editor'!$J$88:$P$88</c:f>
              <c:numCache>
                <c:formatCode>General</c:formatCode>
                <c:ptCount val="7"/>
                <c:pt idx="0">
                  <c:v>8663.1587420016531</c:v>
                </c:pt>
                <c:pt idx="1">
                  <c:v>10442.322464687624</c:v>
                </c:pt>
                <c:pt idx="2">
                  <c:v>10442.322464687624</c:v>
                </c:pt>
                <c:pt idx="3" formatCode="0.00">
                  <c:v>10442.322464687624</c:v>
                </c:pt>
                <c:pt idx="4" formatCode="0.00">
                  <c:v>10442.322464687624</c:v>
                </c:pt>
                <c:pt idx="5" formatCode="0.00">
                  <c:v>10442.322464687624</c:v>
                </c:pt>
                <c:pt idx="6">
                  <c:v>10442.322464687624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F-4C2F-960A-261326464659}"/>
            </c:ext>
          </c:extLst>
        </c:ser>
        <c:ser>
          <c:idx val="4"/>
          <c:order val="4"/>
          <c:tx>
            <c:strRef>
              <c:f>'Projection Editor'!$I$89</c:f>
              <c:strCache>
                <c:ptCount val="1"/>
                <c:pt idx="0">
                  <c:v>Buses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'Projection Editor'!$J$84:$P$84</c:f>
              <c:strCache>
                <c:ptCount val="7"/>
                <c:pt idx="0">
                  <c:v>2022</c:v>
                </c:pt>
                <c:pt idx="1">
                  <c:v>2030</c:v>
                </c:pt>
                <c:pt idx="2">
                  <c:v>30% PC EV</c:v>
                </c:pt>
                <c:pt idx="3">
                  <c:v>40% PC EV</c:v>
                </c:pt>
                <c:pt idx="4">
                  <c:v>50% PC EV</c:v>
                </c:pt>
                <c:pt idx="5">
                  <c:v>75% PC EV</c:v>
                </c:pt>
                <c:pt idx="6">
                  <c:v>100% PC EV</c:v>
                </c:pt>
              </c:strCache>
            </c:strRef>
          </c:cat>
          <c:val>
            <c:numRef>
              <c:f>'Projection Editor'!$J$89:$P$89</c:f>
              <c:numCache>
                <c:formatCode>General</c:formatCode>
                <c:ptCount val="7"/>
                <c:pt idx="0">
                  <c:v>2800.962693352722</c:v>
                </c:pt>
                <c:pt idx="1">
                  <c:v>2264.6212379887579</c:v>
                </c:pt>
                <c:pt idx="2">
                  <c:v>2264.6212379887579</c:v>
                </c:pt>
                <c:pt idx="3" formatCode="0.00">
                  <c:v>2264.6212379887579</c:v>
                </c:pt>
                <c:pt idx="4" formatCode="0.00">
                  <c:v>2264.6212379887579</c:v>
                </c:pt>
                <c:pt idx="5" formatCode="0.00">
                  <c:v>2264.6212379887579</c:v>
                </c:pt>
                <c:pt idx="6">
                  <c:v>2264.6212379887579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BF-4C2F-960A-261326464659}"/>
            </c:ext>
          </c:extLst>
        </c:ser>
        <c:ser>
          <c:idx val="5"/>
          <c:order val="5"/>
          <c:tx>
            <c:strRef>
              <c:f>'Projection Editor'!$I$90</c:f>
              <c:strCache>
                <c:ptCount val="1"/>
                <c:pt idx="0">
                  <c:v>L-Category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'Projection Editor'!$J$84:$P$84</c:f>
              <c:strCache>
                <c:ptCount val="7"/>
                <c:pt idx="0">
                  <c:v>2022</c:v>
                </c:pt>
                <c:pt idx="1">
                  <c:v>2030</c:v>
                </c:pt>
                <c:pt idx="2">
                  <c:v>30% PC EV</c:v>
                </c:pt>
                <c:pt idx="3">
                  <c:v>40% PC EV</c:v>
                </c:pt>
                <c:pt idx="4">
                  <c:v>50% PC EV</c:v>
                </c:pt>
                <c:pt idx="5">
                  <c:v>75% PC EV</c:v>
                </c:pt>
                <c:pt idx="6">
                  <c:v>100% PC EV</c:v>
                </c:pt>
              </c:strCache>
            </c:strRef>
          </c:cat>
          <c:val>
            <c:numRef>
              <c:f>'Projection Editor'!$J$90:$P$90</c:f>
              <c:numCache>
                <c:formatCode>General</c:formatCode>
                <c:ptCount val="7"/>
                <c:pt idx="0">
                  <c:v>1458.2177635172868</c:v>
                </c:pt>
                <c:pt idx="1">
                  <c:v>1729.0345559887678</c:v>
                </c:pt>
                <c:pt idx="2">
                  <c:v>1729.0345559887678</c:v>
                </c:pt>
                <c:pt idx="3" formatCode="0.00">
                  <c:v>1729.0345559887678</c:v>
                </c:pt>
                <c:pt idx="4" formatCode="0.00">
                  <c:v>1729.0345559887678</c:v>
                </c:pt>
                <c:pt idx="5" formatCode="0.00">
                  <c:v>1729.0345559887678</c:v>
                </c:pt>
                <c:pt idx="6">
                  <c:v>1729.0345559887678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BF-4C2F-960A-261326464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2875663"/>
        <c:axId val="1523705744"/>
      </c:barChart>
      <c:catAx>
        <c:axId val="15128756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Scenario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705744"/>
        <c:crosses val="autoZero"/>
        <c:auto val="1"/>
        <c:lblAlgn val="ctr"/>
        <c:lblOffset val="100"/>
        <c:noMultiLvlLbl val="0"/>
      </c:catAx>
      <c:valAx>
        <c:axId val="152370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GHG Emissions (tonnes CO2eq)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287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Eilat 2022 Transportation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'Projection Editor'!$AN$15:$AP$15</c:f>
              <c:strCache>
                <c:ptCount val="3"/>
                <c:pt idx="0">
                  <c:v>Tier One</c:v>
                </c:pt>
                <c:pt idx="1">
                  <c:v>Tier Two</c:v>
                </c:pt>
                <c:pt idx="2">
                  <c:v>Tier Three</c:v>
                </c:pt>
              </c:strCache>
            </c:strRef>
          </c:cat>
          <c:val>
            <c:numRef>
              <c:f>'Projection Editor'!$AN$16:$AP$16</c:f>
              <c:numCache>
                <c:formatCode>General</c:formatCode>
                <c:ptCount val="3"/>
                <c:pt idx="0">
                  <c:v>71848.232452970173</c:v>
                </c:pt>
                <c:pt idx="1">
                  <c:v>62351.700277867501</c:v>
                </c:pt>
                <c:pt idx="2">
                  <c:v>62569.964328577895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EA5-4C78-A9EC-37D5DE519E8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'Projection Editor'!$AN$15:$AP$15</c:f>
              <c:strCache>
                <c:ptCount val="3"/>
                <c:pt idx="0">
                  <c:v>Tier One</c:v>
                </c:pt>
                <c:pt idx="1">
                  <c:v>Tier Two</c:v>
                </c:pt>
                <c:pt idx="2">
                  <c:v>Tier Three</c:v>
                </c:pt>
              </c:strCache>
            </c:strRef>
          </c:cat>
          <c:val>
            <c:numRef>
              <c:f>'Projection Editor'!$AN$17:$AP$17</c:f>
              <c:numCache>
                <c:formatCode>General</c:formatCode>
                <c:ptCount val="3"/>
                <c:pt idx="0">
                  <c:v>7803.7033670921182</c:v>
                </c:pt>
                <c:pt idx="1">
                  <c:v>7676.1791375720277</c:v>
                </c:pt>
                <c:pt idx="2">
                  <c:v>7717.3140875876206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EA5-4C78-A9EC-37D5DE519E8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'Projection Editor'!$AN$15:$AP$15</c:f>
              <c:strCache>
                <c:ptCount val="3"/>
                <c:pt idx="0">
                  <c:v>Tier One</c:v>
                </c:pt>
                <c:pt idx="1">
                  <c:v>Tier Two</c:v>
                </c:pt>
                <c:pt idx="2">
                  <c:v>Tier Three</c:v>
                </c:pt>
              </c:strCache>
            </c:strRef>
          </c:cat>
          <c:val>
            <c:numRef>
              <c:f>'Projection Editor'!$AN$18:$AP$18</c:f>
              <c:numCache>
                <c:formatCode>General</c:formatCode>
                <c:ptCount val="3"/>
                <c:pt idx="0">
                  <c:v>466.79265472599855</c:v>
                </c:pt>
                <c:pt idx="1">
                  <c:v>466.82941569501168</c:v>
                </c:pt>
                <c:pt idx="2">
                  <c:v>469.61642876910906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EA5-4C78-A9EC-37D5DE519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132512"/>
        <c:axId val="525309632"/>
      </c:barChart>
      <c:catAx>
        <c:axId val="47313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309632"/>
        <c:crosses val="autoZero"/>
        <c:auto val="1"/>
        <c:lblAlgn val="ctr"/>
        <c:lblOffset val="100"/>
        <c:noMultiLvlLbl val="0"/>
      </c:catAx>
      <c:valAx>
        <c:axId val="525309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GHG Emissions (tonnes CO2eq)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3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Previous</a:t>
            </a:r>
            <a:r>
              <a:rPr lang="en-US" baseline="0"/>
              <a:t> Calculation Comparisons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64-4027-89AE-033FB19A344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E64-4027-89AE-033FB19A344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64-4027-89AE-033FB19A344E}"/>
              </c:ext>
            </c:extLst>
          </c:dPt>
          <c:cat>
            <c:strRef>
              <c:f>'Projection Editor'!$AK$45:$AK$50</c:f>
              <c:strCache>
                <c:ptCount val="6"/>
                <c:pt idx="0">
                  <c:v>2019 Scenario1</c:v>
                </c:pt>
                <c:pt idx="1">
                  <c:v>2019 Scenario 2</c:v>
                </c:pt>
                <c:pt idx="2">
                  <c:v>2019 Scenario 3</c:v>
                </c:pt>
                <c:pt idx="3">
                  <c:v>2022 Tier 1</c:v>
                </c:pt>
                <c:pt idx="4">
                  <c:v>2022 Tier 2</c:v>
                </c:pt>
                <c:pt idx="5">
                  <c:v>2022 Tier 3</c:v>
                </c:pt>
              </c:strCache>
            </c:strRef>
          </c:cat>
          <c:val>
            <c:numRef>
              <c:f>'Projection Editor'!$AL$45:$AL$50</c:f>
              <c:numCache>
                <c:formatCode>#,##0</c:formatCode>
                <c:ptCount val="6"/>
                <c:pt idx="0">
                  <c:v>106311</c:v>
                </c:pt>
                <c:pt idx="1">
                  <c:v>78469</c:v>
                </c:pt>
                <c:pt idx="2">
                  <c:v>72936</c:v>
                </c:pt>
                <c:pt idx="3" formatCode="General">
                  <c:v>97147.581901019847</c:v>
                </c:pt>
                <c:pt idx="4" formatCode="General">
                  <c:v>84165.2443460738</c:v>
                </c:pt>
                <c:pt idx="5" formatCode="General">
                  <c:v>83679.234043806282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4-4027-89AE-033FB19A3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309248"/>
        <c:axId val="408148192"/>
      </c:barChart>
      <c:catAx>
        <c:axId val="25330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48192"/>
        <c:crosses val="autoZero"/>
        <c:auto val="1"/>
        <c:lblAlgn val="ctr"/>
        <c:lblOffset val="100"/>
        <c:noMultiLvlLbl val="0"/>
      </c:catAx>
      <c:valAx>
        <c:axId val="40814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GHG Emissions (tonnes CO2 eq)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30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13</xdr:row>
      <xdr:rowOff>69850</xdr:rowOff>
    </xdr:from>
    <xdr:to>
      <xdr:col>16</xdr:col>
      <xdr:colOff>320675</xdr:colOff>
      <xdr:row>30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7056B7-D3D3-B193-2DBD-1D7806BD2E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3175</xdr:colOff>
      <xdr:row>30</xdr:row>
      <xdr:rowOff>133350</xdr:rowOff>
    </xdr:from>
    <xdr:to>
      <xdr:col>16</xdr:col>
      <xdr:colOff>307975</xdr:colOff>
      <xdr:row>48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B59B4C-DEDF-064F-D61B-02287CF24A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48</xdr:row>
      <xdr:rowOff>19050</xdr:rowOff>
    </xdr:from>
    <xdr:to>
      <xdr:col>16</xdr:col>
      <xdr:colOff>314325</xdr:colOff>
      <xdr:row>65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149B9DC-5242-1F1A-9492-78EAB41C07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230797</xdr:colOff>
      <xdr:row>58</xdr:row>
      <xdr:rowOff>32727</xdr:rowOff>
    </xdr:from>
    <xdr:to>
      <xdr:col>27</xdr:col>
      <xdr:colOff>86946</xdr:colOff>
      <xdr:row>83</xdr:row>
      <xdr:rowOff>20027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AA5A884-7357-7ED7-A815-CAF28BEBFF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327269</xdr:colOff>
      <xdr:row>84</xdr:row>
      <xdr:rowOff>25399</xdr:rowOff>
    </xdr:from>
    <xdr:to>
      <xdr:col>27</xdr:col>
      <xdr:colOff>195384</xdr:colOff>
      <xdr:row>108</xdr:row>
      <xdr:rowOff>146537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43ECC7C-0098-76B0-57B1-8791ABE0C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434730</xdr:colOff>
      <xdr:row>111</xdr:row>
      <xdr:rowOff>87922</xdr:rowOff>
    </xdr:from>
    <xdr:to>
      <xdr:col>27</xdr:col>
      <xdr:colOff>283307</xdr:colOff>
      <xdr:row>136</xdr:row>
      <xdr:rowOff>62522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CCA070C-0308-203E-72DE-37B71758F0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327268</xdr:colOff>
      <xdr:row>22</xdr:row>
      <xdr:rowOff>74246</xdr:rowOff>
    </xdr:from>
    <xdr:to>
      <xdr:col>46</xdr:col>
      <xdr:colOff>224692</xdr:colOff>
      <xdr:row>40</xdr:row>
      <xdr:rowOff>3907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ABD5ED4-EFC6-9386-C4CB-BD0072D80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102576</xdr:colOff>
      <xdr:row>39</xdr:row>
      <xdr:rowOff>103553</xdr:rowOff>
    </xdr:from>
    <xdr:to>
      <xdr:col>35</xdr:col>
      <xdr:colOff>434730</xdr:colOff>
      <xdr:row>57</xdr:row>
      <xdr:rowOff>33215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51E48FD-A5D1-D0E7-B482-5539B29B3B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nna Young" id="{FEB18068-CF42-49B8-B0A8-19DD46BD3136}" userId="1af3aece6ef3ec87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2CE9927-500C-4557-9596-9A11423059E3}" name="Table24" displayName="Table24" ref="K123:P125" totalsRowShown="0" headerRowDxfId="0">
  <autoFilter ref="K123:P125" xr:uid="{32CE9927-500C-4557-9596-9A11423059E3}"/>
  <tableColumns count="6">
    <tableColumn id="1" xr3:uid="{DE8CB5BA-3566-498E-94FB-BBF58D8818C0}" name="Year Comparison"/>
    <tableColumn id="2" xr3:uid="{A5EC81D9-2DFD-40AA-A522-84F75DC5FD6C}" name="30% PC EV">
      <calculatedColumnFormula>MROUND(100*L112/$K112,1)</calculatedColumnFormula>
    </tableColumn>
    <tableColumn id="3" xr3:uid="{EBA48851-8681-47F5-B10E-1363090489C8}" name="40% PC EV">
      <calculatedColumnFormula>MROUND(100*M112/$K112,1)</calculatedColumnFormula>
    </tableColumn>
    <tableColumn id="4" xr3:uid="{781B590A-E198-41A7-BE7F-033DD560DABA}" name="50% PC EV">
      <calculatedColumnFormula>MROUND(100*N112/$K112,1)</calculatedColumnFormula>
    </tableColumn>
    <tableColumn id="5" xr3:uid="{43A6EF04-6B06-443A-B646-599C93FFC158}" name="75% PC EV">
      <calculatedColumnFormula>MROUND(100*O112/$K112,1)</calculatedColumnFormula>
    </tableColumn>
    <tableColumn id="6" xr3:uid="{DF31BA0A-C6E8-4DAA-9B9D-61B6715C6E5C}" name="100% PC EV">
      <calculatedColumnFormula>MROUND(100*P112/$K112,1)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173D286-CE44-43EB-B87B-2E8E32203A73}" name="Table10" displayName="Table10" ref="E2:H20" totalsRowShown="0" headerRowDxfId="53" headerRowBorderDxfId="58" tableBorderDxfId="59">
  <autoFilter ref="E2:H20" xr:uid="{7173D286-CE44-43EB-B87B-2E8E32203A73}"/>
  <tableColumns count="4">
    <tableColumn id="1" xr3:uid="{D93994B7-AAD4-44BE-B66B-DC753A047EF6}" name="Category" dataDxfId="57"/>
    <tableColumn id="2" xr3:uid="{6A1696E4-42F6-4D8B-909C-85C9B63C21CB}" name="Fuel" dataDxfId="56"/>
    <tableColumn id="3" xr3:uid="{D1542EAF-9734-4196-824B-D46C5D8F5C34}" name="Age" dataDxfId="55"/>
    <tableColumn id="4" xr3:uid="{9899D378-3DDD-4454-9417-6B50C950F9B1}" name="FC Coefficient (kg/10000 km)" dataDxfId="54"/>
  </tableColumns>
  <tableStyleInfo name="TableStyleMedium1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E938E8F-CF01-490C-980A-8A9A9BFCE37A}" name="Table11" displayName="Table11" ref="A2:C5" totalsRowShown="0" headerRowDxfId="46" headerRowBorderDxfId="51" tableBorderDxfId="52" totalsRowBorderDxfId="50">
  <autoFilter ref="A2:C5" xr:uid="{DE938E8F-CF01-490C-980A-8A9A9BFCE37A}"/>
  <tableColumns count="3">
    <tableColumn id="1" xr3:uid="{26CBFCF9-4A1C-4B3D-B511-D45C1C339437}" name="Fuel" dataDxfId="49"/>
    <tableColumn id="2" xr3:uid="{0B363820-770A-4B60-81BF-CB2A0E5B5AB3}" name="Ratio of Hydrogen to Carbon" dataDxfId="48"/>
    <tableColumn id="3" xr3:uid="{8F949417-FC66-407F-96C2-B4EF39DAE490}" name="Ratio of Oxygen to Carbon" dataDxfId="47"/>
  </tableColumns>
  <tableStyleInfo name="TableStyleMedium1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9C0547B-33B2-4AF5-A213-08DBEDC3B1AF}" name="Table15" displayName="Table15" ref="A1:D77" totalsRowShown="0" headerRowDxfId="40" headerRowBorderDxfId="44" tableBorderDxfId="45">
  <autoFilter ref="A1:D77" xr:uid="{69C0547B-33B2-4AF5-A213-08DBEDC3B1AF}"/>
  <tableColumns count="4">
    <tableColumn id="1" xr3:uid="{B659A484-3459-40A4-8141-D72176A9D145}" name="Vehicle category" dataDxfId="43"/>
    <tableColumn id="2" xr3:uid="{C496FAD6-863B-453D-AB84-E45ED93E42CB}" name="Sub-category" dataDxfId="39"/>
    <tableColumn id="3" xr3:uid="{72E570BE-F499-4293-A0AF-E1D3DB105D14}" name="Technology" dataDxfId="42"/>
    <tableColumn id="4" xr3:uid="{BF2593F1-A80A-4352-B980-1F7A93593D15}" name="FC (g/km)" dataDxfId="41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FC8FF1-0848-4DFB-9DD6-0B2FDB3CAC8E}" name="Table1" displayName="Table1" ref="C4:G11" totalsRowShown="0" headerRowDxfId="106">
  <autoFilter ref="C4:G11" xr:uid="{93FC8FF1-0848-4DFB-9DD6-0B2FDB3CAC8E}"/>
  <tableColumns count="5">
    <tableColumn id="1" xr3:uid="{23EEC36F-BBFB-4B1B-8B70-BDF463B2FDF8}" name="Euro Standard" dataDxfId="107"/>
    <tableColumn id="2" xr3:uid="{4F18AE90-F675-43B8-BB52-DEBE1D89EEC2}" name="Year Start"/>
    <tableColumn id="3" xr3:uid="{FF3A2AAC-8378-4748-92D1-F95BF7F4DC63}" name="Year End"/>
    <tableColumn id="4" xr3:uid="{09C88A5C-1F43-4C4C-938A-B256DBC69CDC}" name="Median">
      <calculatedColumnFormula>ROUND(MEDIAN(D5:E5),0)</calculatedColumnFormula>
    </tableColumn>
    <tableColumn id="5" xr3:uid="{45B37987-AC2C-4E61-97E7-06E8BB8549DC}" name="Age">
      <calculatedColumnFormula>2022-F5</calculatedColumnFormula>
    </tableColumn>
  </tableColumns>
  <tableStyleInfo name="TableStyleMedium1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59139B0-B871-4235-A069-4378E4981F2B}" name="Table7" displayName="Table7" ref="A1:E8" totalsRowShown="0" headerRowDxfId="67" headerRowBorderDxfId="73" tableBorderDxfId="74">
  <autoFilter ref="A1:E8" xr:uid="{659139B0-B871-4235-A069-4378E4981F2B}"/>
  <tableColumns count="5">
    <tableColumn id="1" xr3:uid="{13C5A2F6-1283-4499-93CA-37C32994E09C}" name="Emission standard" dataDxfId="72"/>
    <tableColumn id="2" xr3:uid="{C71F9FFA-FAFB-40C5-BFD8-2AAFDC1A6B37}" name="Sulphur content (ppm)" dataDxfId="71"/>
    <tableColumn id="3" xr3:uid="{08F9A176-3A0F-4F30-853B-832B5B573C40}" name="Base EF (mg/km)" dataDxfId="70"/>
    <tableColumn id="4" xr3:uid="{63725476-6C70-4D1F-B732-59B5ABC5F60D}" name="a" dataDxfId="69"/>
    <tableColumn id="5" xr3:uid="{11206272-7082-488B-82AA-D2EF82AE10EE}" name="b" dataDxfId="68"/>
  </tableColumns>
  <tableStyleInfo name="TableStyleMedium1"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2E3D377-87E5-4154-BA62-AA5679691361}" name="Table6" displayName="Table6" ref="A1:E8" totalsRowShown="0" headerRowDxfId="75" headerRowBorderDxfId="82" tableBorderDxfId="83" totalsRowBorderDxfId="81">
  <autoFilter ref="A1:E8" xr:uid="{52E3D377-87E5-4154-BA62-AA5679691361}"/>
  <tableColumns count="5">
    <tableColumn id="1" xr3:uid="{04525CEA-D9CD-4DBA-9088-07BD3EE7AE3F}" name="Emission standard" dataDxfId="80"/>
    <tableColumn id="2" xr3:uid="{951E63D9-3B1B-44D8-9777-EF73DF4A84CD}" name="Sulpher content (ppm)" dataDxfId="79"/>
    <tableColumn id="3" xr3:uid="{9B56BC61-CD10-4CBF-ACA0-F5AED28D165F}" name="Base EF (mg/km)" dataDxfId="78"/>
    <tableColumn id="4" xr3:uid="{E2ED3527-B1FC-4DCA-91EE-0F41E2EA9B7E}" name="a" dataDxfId="77"/>
    <tableColumn id="5" xr3:uid="{4FA12AEB-A896-4F53-9E6B-8B5C28618895}" name="b" dataDxfId="76"/>
  </tableColumns>
  <tableStyleInfo name="TableStyleMedium1"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9DC66C8-8873-4E78-9DBF-EA3A6FE8EF49}" name="Table5" displayName="Table5" ref="A1:B19" headerRowDxfId="86" headerRowBorderDxfId="90" tableBorderDxfId="91" totalsRowBorderDxfId="89">
  <autoFilter ref="A1:B19" xr:uid="{99DC66C8-8873-4E78-9DBF-EA3A6FE8EF49}"/>
  <tableColumns count="2">
    <tableColumn id="1" xr3:uid="{FE6EBB93-954C-47B1-A4D5-DC7D98AB62E9}" name="Vehicle Category" totalsRowLabel="Total" dataDxfId="88" totalsRowDxfId="84"/>
    <tableColumn id="2" xr3:uid="{CE908367-8DCB-4DD6-90F6-A5FBBA59B674}" name="Urban Hot" totalsRowFunction="sum" dataDxfId="87" totalsRowDxfId="85"/>
  </tableColumns>
  <tableStyleInfo name="TableStyleMedium1"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CB0E7E-9A74-4602-B4D0-C4E294CBBDAC}" name="Table4" displayName="Table4" ref="A1:C37" totalsRowShown="0" headerRowDxfId="92" headerRowBorderDxfId="97" tableBorderDxfId="98" totalsRowBorderDxfId="96">
  <autoFilter ref="A1:C37" xr:uid="{2ECB0E7E-9A74-4602-B4D0-C4E294CBBDAC}"/>
  <tableColumns count="3">
    <tableColumn id="1" xr3:uid="{971A5232-AF73-4CCF-B2D0-E1D1A3A49B86}" name="HDV Category" dataDxfId="95"/>
    <tableColumn id="2" xr3:uid="{FD6612D3-B4CE-4937-89EF-DED8CDD06031}" name="Technology" dataDxfId="94"/>
    <tableColumn id="3" xr3:uid="{CD700C55-B78A-4E29-BD73-E1E48B780FED}" name="Urban (g/km)" dataDxfId="93"/>
  </tableColumns>
  <tableStyleInfo name="TableStyleMedium1"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339F0E-C419-47A8-84B4-7877BF08C970}" name="Table3" displayName="Table3" ref="A1:D46" totalsRowShown="0" headerRowDxfId="101" headerRowBorderDxfId="104" tableBorderDxfId="105">
  <autoFilter ref="A1:D46" xr:uid="{0C339F0E-C419-47A8-84B4-7877BF08C970}"/>
  <tableColumns count="4">
    <tableColumn id="1" xr3:uid="{84119528-2356-4BC6-9C55-4EBB6ADC0D8B}" name="Vehicle Type" dataDxfId="100"/>
    <tableColumn id="2" xr3:uid="{26DF6B00-9D00-4C75-A26C-F3BF67119260}" name="Fuel" dataDxfId="99"/>
    <tableColumn id="3" xr3:uid="{9A8FD562-FEAB-4BA3-927C-F59FB1FDD472}" name="Vehicle Technology/Class" dataDxfId="103"/>
    <tableColumn id="4" xr3:uid="{70E48403-AF1E-431F-866C-98AD394E07FD}" name="Urban Hot" dataDxfId="102"/>
  </tableColumns>
  <tableStyleInfo name="TableStyleMedium1"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7417E92-A872-4CD2-B0BD-42559D0C7189}" name="Table16" displayName="Table16" ref="A1:D87" totalsRowShown="0" headerRowDxfId="31" headerRowBorderDxfId="37" tableBorderDxfId="38" totalsRowBorderDxfId="36">
  <autoFilter ref="A1:D87" xr:uid="{67417E92-A872-4CD2-B0BD-42559D0C7189}"/>
  <tableColumns count="4">
    <tableColumn id="1" xr3:uid="{401B9981-B2F9-4E26-A370-D612DBAEED67}" name="Type" dataDxfId="35"/>
    <tableColumn id="2" xr3:uid="{9380CB0E-59D8-4073-8D0E-779FD14E3314}" name="Tech" dataDxfId="34"/>
    <tableColumn id="3" xr3:uid="{44E9163D-E5D1-4964-B060-1E80D0BC89DF}" name="N2O" dataDxfId="33"/>
    <tableColumn id="4" xr3:uid="{F482D06D-0B00-41D6-9DBB-82232F77ECDA}" name="CO2 lube" dataDxfId="32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69193F7-CB73-4D0A-95F9-61191206D277}" name="Table17" displayName="Table17" ref="A1:D19" totalsRowShown="0" headerRowDxfId="24" headerRowBorderDxfId="29" tableBorderDxfId="30">
  <autoFilter ref="A1:D19" xr:uid="{169193F7-CB73-4D0A-95F9-61191206D277}"/>
  <tableColumns count="4">
    <tableColumn id="1" xr3:uid="{ED20127C-3DE4-4A94-BAC6-3AC935DBCCB5}" name="Type" dataDxfId="28"/>
    <tableColumn id="2" xr3:uid="{8BDE666F-7D13-4389-B0E3-FBB27B1851E6}" name="Technology" dataDxfId="27"/>
    <tableColumn id="3" xr3:uid="{A888AFF7-FDC4-409D-B6D0-C5438732420F}" name="N2O (g/km)" dataDxfId="26"/>
    <tableColumn id="4" xr3:uid="{EFB71475-D817-4A80-B2CF-D9D3B8D8A14D}" name="CO2 lube (g/km)" dataDxfId="25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3723C58-49B4-45AF-9354-41B02FF79FB0}" name="Table18" displayName="Table18" ref="B1:E34" totalsRowShown="0" headerRowDxfId="17" headerRowBorderDxfId="22" tableBorderDxfId="23">
  <autoFilter ref="B1:E34" xr:uid="{83723C58-49B4-45AF-9354-41B02FF79FB0}"/>
  <tableColumns count="4">
    <tableColumn id="1" xr3:uid="{3B6DC1F2-6618-4E2E-8291-3197E43EC71E}" name="Type" dataDxfId="21"/>
    <tableColumn id="2" xr3:uid="{8C8CD0ED-4398-42F5-97B3-A9AC0365B795}" name="Technology" dataDxfId="20"/>
    <tableColumn id="3" xr3:uid="{DC40FC01-EDA5-44EB-9827-BF012B74C4E8}" name="N2O (g/km)" dataDxfId="19"/>
    <tableColumn id="4" xr3:uid="{AA84E574-6622-4D95-A9F2-C9B4752AF563}" name="CO2 lube (g/km)" dataDxfId="18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6C69305-1745-41B2-AC97-A283D58C4AD5}" name="Table19" displayName="Table19" ref="A1:D23" totalsRowShown="0" headerRowDxfId="9" headerRowBorderDxfId="15" tableBorderDxfId="16" totalsRowBorderDxfId="14">
  <autoFilter ref="A1:D23" xr:uid="{36C69305-1745-41B2-AC97-A283D58C4AD5}"/>
  <tableColumns count="4">
    <tableColumn id="1" xr3:uid="{4AD27E31-EA76-4DFC-9906-AC72E5EE7760}" name="Type" dataDxfId="13"/>
    <tableColumn id="2" xr3:uid="{6E23BD45-3C6D-4D0E-9A89-DF9F85FDE5D3}" name="Technology" dataDxfId="12"/>
    <tableColumn id="3" xr3:uid="{4D5AB686-D01F-421A-B982-3183FDD4F657}" name="N2O" dataDxfId="11"/>
    <tableColumn id="4" xr3:uid="{CCD345E9-DBBD-43EA-A7C5-DCCDEF965626}" name="CO2" dataDxfId="10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25EBDC4-39D9-4553-BBAB-BF0AEB33AA5C}" name="Table20" displayName="Table20" ref="A1:D37" totalsRowShown="0" headerRowDxfId="1" headerRowBorderDxfId="7" tableBorderDxfId="8" totalsRowBorderDxfId="6">
  <autoFilter ref="A1:D37" xr:uid="{425EBDC4-39D9-4553-BBAB-BF0AEB33AA5C}"/>
  <tableColumns count="4">
    <tableColumn id="1" xr3:uid="{F031A12B-EE4A-41D8-B3A8-ACB3B5CD2CFC}" name="Type" dataDxfId="5"/>
    <tableColumn id="2" xr3:uid="{797B4D69-0B7C-41A5-805F-ADA17B550EF1}" name="Technology" dataDxfId="4"/>
    <tableColumn id="3" xr3:uid="{81904CFF-901E-43D0-9B23-FADBCD9D2C4A}" name="N2O (g/km)" dataDxfId="3"/>
    <tableColumn id="4" xr3:uid="{F886C320-BA30-4047-8BAA-FA9E1BEB8B50}" name="CO2 lube (g/km)" dataDxfId="2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5900FDB-8A7E-4A42-8C76-AE48FFE6B388}" name="Table8" displayName="Table8" ref="A1:D19" totalsRowShown="0" headerRowDxfId="60" headerRowBorderDxfId="65" tableBorderDxfId="66">
  <autoFilter ref="A1:D19" xr:uid="{65900FDB-8A7E-4A42-8C76-AE48FFE6B388}"/>
  <tableColumns count="4">
    <tableColumn id="1" xr3:uid="{4AA3E8CA-88F5-4289-A134-3A8FEA0B86E5}" name="Category" dataDxfId="64"/>
    <tableColumn id="2" xr3:uid="{5A95CE31-D0E9-458A-B26E-3401B61E415C}" name="Fuel" dataDxfId="63"/>
    <tableColumn id="3" xr3:uid="{FD690A2D-1850-40E1-B3E2-37B71E786A59}" name="Age" dataDxfId="62"/>
    <tableColumn id="4" xr3:uid="{AB54385E-09A2-4DB3-833A-D091F1045935}" name="FC Coefficient (kg/10000 km)" dataDxfId="6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4-02-06T19:04:04.95" personId="{FEB18068-CF42-49B8-B0A8-19DD46BD3136}" id="{BFAAFAA4-BB28-4A41-A36E-90C5101A1135}">
    <text>This is for all of Israel so it is kinda arbitrary to this project. Probably should remove -- more confusing than insightful</text>
  </threadedComment>
  <threadedComment ref="G3" dT="2024-02-02T13:41:01.46" personId="{FEB18068-CF42-49B8-B0A8-19DD46BD3136}" id="{429A877C-D995-4E33-A8E5-697D56FD034B}">
    <text>Just calculated these ones for kicks and they are wildly inaccurate… I don't understand why</text>
  </threadedComment>
  <threadedComment ref="E4" dT="2024-02-06T18:42:25.39" personId="{FEB18068-CF42-49B8-B0A8-19DD46BD3136}" id="{75F8D530-D666-4883-B871-AD71F14B88A1}">
    <text>This is from table 9 (email w CBS). Is the only data point in the table from this document</text>
  </threadedComment>
  <threadedComment ref="D5" dT="2024-02-02T13:20:07.89" personId="{FEB18068-CF42-49B8-B0A8-19DD46BD3136}" id="{84C63C79-E39B-4E5A-A394-A60F6E876401}">
    <text>Only one value was given for trucks so I used the same -- this would be combined distance</text>
  </threadedComment>
  <threadedComment ref="E5" dT="2024-02-02T13:23:22.70" personId="{FEB18068-CF42-49B8-B0A8-19DD46BD3136}" id="{3294C1CE-B925-4CC7-AA24-42763849977B}">
    <text>Used the same value -- only one was given</text>
  </threadedComment>
  <threadedComment ref="D16" dT="2024-02-06T18:35:16.45" personId="{FEB18068-CF42-49B8-B0A8-19DD46BD3136}" id="{B14B0C6E-2623-44FD-93A8-24195EEBE75F}">
    <text>Not accurate because it includes heavy trucks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R3" dT="2024-02-12T17:50:58.20" personId="{FEB18068-CF42-49B8-B0A8-19DD46BD3136}" id="{2D91F8DE-918D-4D60-B2E2-8E6E6D0899D5}">
    <text>Used "open loop" coefficient, was same as all pre euro 1 coefficients</text>
  </threadedComment>
  <threadedComment ref="R9" dT="2024-02-12T17:55:19.97" personId="{FEB18068-CF42-49B8-B0A8-19DD46BD3136}" id="{BF4FD2F0-A280-46A1-B42A-199192833264}">
    <text>Used Euro 6 a/b/c, was equal to Euro d-temp</text>
  </threadedComment>
  <threadedComment ref="O24" dT="2024-02-13T15:45:00.50" personId="{FEB18068-CF42-49B8-B0A8-19DD46BD3136}" id="{6351AD1D-634C-4D9D-A00E-E4AEEDE9AD78}">
    <text>Used the Euro 4 and later coefficient</text>
  </threadedComment>
  <threadedComment ref="U45" dT="2024-02-13T15:50:33.79" personId="{FEB18068-CF42-49B8-B0A8-19DD46BD3136}" id="{07A6ED13-BA43-4EB2-9555-C2DB12610797}">
    <text>Used petrol for LPG oil consumption</text>
  </threadedComment>
  <threadedComment ref="O65" dT="2024-02-12T14:59:02.29" personId="{FEB18068-CF42-49B8-B0A8-19DD46BD3136}" id="{7F60A227-0809-427F-AE0D-E566C1E3F46D}">
    <text>Used euro 4 coefficient</text>
  </threadedComment>
  <threadedComment ref="R65" dT="2024-02-12T18:09:13.85" personId="{FEB18068-CF42-49B8-B0A8-19DD46BD3136}" id="{495DC093-F90F-4753-AF3A-09DE84EE360E}">
    <text>Used Euro 4</text>
  </threadedComment>
  <threadedComment ref="U65" dT="2024-02-12T20:13:41.83" personId="{FEB18068-CF42-49B8-B0A8-19DD46BD3136}" id="{C266734B-A9C8-4661-9CE5-05AD5839B937}">
    <text>Hybrids treated as petrol</text>
  </threadedComment>
  <threadedComment ref="O69" dT="2024-02-12T14:59:18.71" personId="{FEB18068-CF42-49B8-B0A8-19DD46BD3136}" id="{B314E371-1A1E-4D2F-8640-0E5EC70B30B2}">
    <text>Used euro 4 coefficient</text>
  </threadedComment>
  <threadedComment ref="R69" dT="2024-02-12T18:09:27.54" personId="{FEB18068-CF42-49B8-B0A8-19DD46BD3136}" id="{8939D78E-3AB3-4004-A12C-9850323264C4}">
    <text>Used euro 4</text>
  </threadedComment>
  <threadedComment ref="C78" dT="2024-02-12T15:02:02.45" personId="{FEB18068-CF42-49B8-B0A8-19DD46BD3136}" id="{FD4A63AF-6C3E-47EE-83A3-18DBCEEA63B4}">
    <text>Treating M2 and M3 as cars though they might be LCVs</text>
  </threadedComment>
  <threadedComment ref="C78" dT="2024-02-12T15:03:10.87" personId="{FEB18068-CF42-49B8-B0A8-19DD46BD3136}" id="{C7204907-986F-49E0-86D8-A07B4AAE7503}" parentId="{FD4A63AF-6C3E-47EE-83A3-18DBCEEA63B4}">
    <text>Only comes out to appx 13 vehicles so negligible lol</text>
  </threadedComment>
  <threadedComment ref="R78" dT="2024-02-12T18:12:32.16" personId="{FEB18068-CF42-49B8-B0A8-19DD46BD3136}" id="{4ACA08AD-C1A2-4C31-8116-F260C866BFFE}">
    <text>Used Petrol Large-SUV-Executive</text>
  </threadedComment>
  <threadedComment ref="O125" dT="2024-02-12T15:19:36.56" personId="{FEB18068-CF42-49B8-B0A8-19DD46BD3136}" id="{934EFA60-EF0D-4B35-A77C-103CBEA18A1E}">
    <text>Used diesel *1.28 in line with PC</text>
  </threadedComment>
  <threadedComment ref="O125" dT="2024-02-12T15:22:58.30" personId="{FEB18068-CF42-49B8-B0A8-19DD46BD3136}" id="{D0CFD0DF-8831-4F7D-BB7E-3E96A6923D24}" parentId="{934EFA60-EF0D-4B35-A77C-103CBEA18A1E}">
    <text>Also for minibus</text>
  </threadedComment>
  <threadedComment ref="W125" dT="2024-02-14T09:50:38.40" personId="{FEB18068-CF42-49B8-B0A8-19DD46BD3136}" id="{0D4FD13B-9BAA-4C9B-A5DE-42EAB9B8F66E}">
    <text>LCV and minibuses which use LPG use the same coefficient as passenger cars because petrol and diesel coefficients are the same for the two categories</text>
  </threadedComment>
  <threadedComment ref="O167" dT="2024-02-12T15:27:11.40" personId="{FEB18068-CF42-49B8-B0A8-19DD46BD3136}" id="{1F4CBF51-B76C-4B95-A82A-B7F399734F73}">
    <text>Used conventional coefficient for all technologies</text>
  </threadedComment>
  <threadedComment ref="R167" dT="2024-02-12T19:07:53.21" personId="{FEB18068-CF42-49B8-B0A8-19DD46BD3136}" id="{55DA7D95-F1EF-4F05-B49C-0884E0A5BA9D}">
    <text>Used conventional for all technologies</text>
  </threadedComment>
  <threadedComment ref="O174" dT="2024-02-12T15:30:57.87" personId="{FEB18068-CF42-49B8-B0A8-19DD46BD3136}" id="{C471EF9E-F456-46DB-83D6-42C86A5BD7F7}">
    <text>14001-20000kg vehicles were treated as 16-32t</text>
  </threadedComment>
  <threadedComment ref="W174" dT="2024-02-14T09:30:28.25" personId="{FEB18068-CF42-49B8-B0A8-19DD46BD3136}" id="{4033D7F1-7822-449A-A836-92866AB1AADC}">
    <text>Treated as &gt;16t</text>
  </threadedComment>
  <threadedComment ref="O261" dT="2024-02-12T15:39:27.76" personId="{FEB18068-CF42-49B8-B0A8-19DD46BD3136}" id="{D90C9618-CFAE-4DBB-9890-6A17D9A7571C}">
    <text>Diesel*1.28 like PC</text>
  </threadedComment>
  <threadedComment ref="O261" dT="2024-02-12T15:41:24.85" personId="{FEB18068-CF42-49B8-B0A8-19DD46BD3136}" id="{795F41CE-53BF-415E-AE4B-D7E9FC1DE237}" parentId="{D90C9618-CFAE-4DBB-9890-6A17D9A7571C}">
    <text>Look into if bus CNG makes more sense here</text>
  </threadedComment>
  <threadedComment ref="W261" dT="2024-02-14T09:56:07.34" personId="{FEB18068-CF42-49B8-B0A8-19DD46BD3136}" id="{ED403EA8-188F-46EA-A5B9-C64677743E63}">
    <text xml:space="preserve">PC*3.04 in line with the ratio between HDV diesel and PC Conventional diesel ratio
</text>
  </threadedComment>
  <threadedComment ref="Z261" dT="2024-02-14T12:29:00.70" personId="{FEB18068-CF42-49B8-B0A8-19DD46BD3136}" id="{4CAECB86-EE42-4B2F-A0D4-62EDCE724B95}">
    <text>Used petrol</text>
  </threadedComment>
  <threadedComment ref="O319" dT="2024-02-12T15:45:04.16" personId="{FEB18068-CF42-49B8-B0A8-19DD46BD3136}" id="{15F02C18-97B2-4704-A2CF-91D7CCD1738D}">
    <text>Mopeds assumed to be two stroke</text>
  </threadedComment>
  <threadedComment ref="O319" dT="2024-02-12T15:45:58.10" personId="{FEB18068-CF42-49B8-B0A8-19DD46BD3136}" id="{4F294327-F03D-4840-AD56-5FA7DD62BB3B}" parentId="{15F02C18-97B2-4704-A2CF-91D7CCD1738D}">
    <text>This is because of the engine size</text>
  </threadedComment>
  <threadedComment ref="U319" dT="2024-02-13T08:46:41.64" personId="{FEB18068-CF42-49B8-B0A8-19DD46BD3136}" id="{25010C7F-8E77-49ED-B01E-B420D6845E70}">
    <text>Two strokes were treated as mopeds, four strokes as motorcycles</text>
  </threadedComment>
  <threadedComment ref="O323" dT="2024-02-12T15:48:20.43" personId="{FEB18068-CF42-49B8-B0A8-19DD46BD3136}" id="{EC9DE815-1531-4141-B4EC-4915EA44E9FD}">
    <text>Rows 323-326 were assumed to be mopeds (typo?) because the later rows include mopeds of the same size</text>
  </threadedComment>
  <threadedComment ref="O323" dT="2024-02-12T15:48:30.59" personId="{FEB18068-CF42-49B8-B0A8-19DD46BD3136}" id="{77F4551A-D4F2-49AB-AAC5-FE72F6B5FB1B}" parentId="{EC9DE815-1531-4141-B4EC-4915EA44E9FD}">
    <text>*motorcycles</text>
  </threadedComment>
  <threadedComment ref="R323" dT="2024-02-12T19:25:08.45" personId="{FEB18068-CF42-49B8-B0A8-19DD46BD3136}" id="{96D6A2C4-E7D7-4FC2-9F05-96C3BD5F287E}">
    <text>Made these four stroke - double check that is what was used for fuel consumption</text>
  </threadedComment>
  <threadedComment ref="O336" dT="2024-02-12T15:51:45.80" personId="{FEB18068-CF42-49B8-B0A8-19DD46BD3136}" id="{9C4B473E-5BE2-4B7B-AAF7-D6E7FFE50D4B}">
    <text>151cc and larger was treated as 4 stroke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R3" dT="2024-02-12T17:50:58.20" personId="{FEB18068-CF42-49B8-B0A8-19DD46BD3136}" id="{1CE5BC97-7322-4F68-8DE8-ACED2B28D877}">
    <text>Used "open loop" coefficient, was same as all pre euro 1 coefficients</text>
  </threadedComment>
  <threadedComment ref="R9" dT="2024-02-12T17:55:19.97" personId="{FEB18068-CF42-49B8-B0A8-19DD46BD3136}" id="{94C40529-B140-45C7-9A0F-C2E175BD3081}">
    <text>Used Euro 6 a/b/c, was equal to Euro d-temp</text>
  </threadedComment>
  <threadedComment ref="O24" dT="2024-02-13T15:45:00.50" personId="{FEB18068-CF42-49B8-B0A8-19DD46BD3136}" id="{0ED43366-3102-47A1-BEFF-9A537F35877E}">
    <text>Used the Euro 4 and later coefficient</text>
  </threadedComment>
  <threadedComment ref="U45" dT="2024-02-13T15:50:33.79" personId="{FEB18068-CF42-49B8-B0A8-19DD46BD3136}" id="{7800D85B-70DE-4349-AE85-EF1721B1E70D}">
    <text>Used petrol for LPG oil consumption</text>
  </threadedComment>
  <threadedComment ref="O65" dT="2024-02-12T14:59:02.29" personId="{FEB18068-CF42-49B8-B0A8-19DD46BD3136}" id="{25EA9130-FEEC-442B-A1DE-FEB0B861EB98}">
    <text>Used euro 4 coefficient</text>
  </threadedComment>
  <threadedComment ref="R65" dT="2024-02-12T18:09:13.85" personId="{FEB18068-CF42-49B8-B0A8-19DD46BD3136}" id="{0F3DF83B-14AC-465A-8391-8DF8AA3D4EFC}">
    <text>Used Euro 4</text>
  </threadedComment>
  <threadedComment ref="U65" dT="2024-02-12T20:13:41.83" personId="{FEB18068-CF42-49B8-B0A8-19DD46BD3136}" id="{B40A5A0E-F345-4C48-A1F9-5BF4E01C88F1}">
    <text>Hybrids treated as petrol</text>
  </threadedComment>
  <threadedComment ref="O69" dT="2024-02-12T14:59:18.71" personId="{FEB18068-CF42-49B8-B0A8-19DD46BD3136}" id="{5496DBB0-E95A-4CEA-9449-1FBF3995094B}">
    <text>Used euro 4 coefficient</text>
  </threadedComment>
  <threadedComment ref="R69" dT="2024-02-12T18:09:27.54" personId="{FEB18068-CF42-49B8-B0A8-19DD46BD3136}" id="{E38B00DD-C239-4809-A14E-716675DEE18C}">
    <text>Used euro 4</text>
  </threadedComment>
  <threadedComment ref="C78" dT="2024-02-12T15:02:02.45" personId="{FEB18068-CF42-49B8-B0A8-19DD46BD3136}" id="{3AF31FAE-E739-4430-8FD8-22214EC68DD3}">
    <text>Treating M2 and M3 as cars though they might be LCVs</text>
  </threadedComment>
  <threadedComment ref="C78" dT="2024-02-12T15:03:10.87" personId="{FEB18068-CF42-49B8-B0A8-19DD46BD3136}" id="{FE949943-3114-4723-A3CA-A99F78FC8A09}" parentId="{3AF31FAE-E739-4430-8FD8-22214EC68DD3}">
    <text>Only comes out to appx 13 vehicles so negligible lol</text>
  </threadedComment>
  <threadedComment ref="R78" dT="2024-02-12T18:12:32.16" personId="{FEB18068-CF42-49B8-B0A8-19DD46BD3136}" id="{9459F4ED-74A1-4CBB-8AC9-8A3358F8722F}">
    <text>Used Petrol Large-SUV-Executive</text>
  </threadedComment>
  <threadedComment ref="O125" dT="2024-02-12T15:19:36.56" personId="{FEB18068-CF42-49B8-B0A8-19DD46BD3136}" id="{A7FEDE68-ED31-4C8E-AD86-C25E8909B8A7}">
    <text>Used diesel *1.28 in line with PC</text>
  </threadedComment>
  <threadedComment ref="O125" dT="2024-02-12T15:22:58.30" personId="{FEB18068-CF42-49B8-B0A8-19DD46BD3136}" id="{B98E4F84-192D-4A0D-9CF4-D5E6B8B63AF3}" parentId="{A7FEDE68-ED31-4C8E-AD86-C25E8909B8A7}">
    <text>Also for minibus</text>
  </threadedComment>
  <threadedComment ref="W125" dT="2024-02-14T09:50:38.40" personId="{FEB18068-CF42-49B8-B0A8-19DD46BD3136}" id="{F7294694-FF25-4765-BF34-8E1BDE1F3447}">
    <text>LCV and minibuses which use LPG use the same coefficient as passenger cars because petrol and diesel coefficients are the same for the two categories</text>
  </threadedComment>
  <threadedComment ref="O167" dT="2024-02-12T15:27:11.40" personId="{FEB18068-CF42-49B8-B0A8-19DD46BD3136}" id="{989CE5EF-3396-4201-94E9-87292B873619}">
    <text>Used conventional coefficient for all technologies</text>
  </threadedComment>
  <threadedComment ref="R167" dT="2024-02-12T19:07:53.21" personId="{FEB18068-CF42-49B8-B0A8-19DD46BD3136}" id="{098C0CC6-203B-42E1-B35D-A523388F1771}">
    <text>Used conventional for all technologies</text>
  </threadedComment>
  <threadedComment ref="O174" dT="2024-02-12T15:30:57.87" personId="{FEB18068-CF42-49B8-B0A8-19DD46BD3136}" id="{78C3F456-D884-4191-A81A-58449F7C764E}">
    <text>14001-20000kg vehicles were treated as 16-32t</text>
  </threadedComment>
  <threadedComment ref="W174" dT="2024-02-14T09:30:28.25" personId="{FEB18068-CF42-49B8-B0A8-19DD46BD3136}" id="{D692A228-7838-40C7-9C18-CA752C200BF1}">
    <text>Treated as &gt;16t</text>
  </threadedComment>
  <threadedComment ref="O261" dT="2024-02-12T15:39:27.76" personId="{FEB18068-CF42-49B8-B0A8-19DD46BD3136}" id="{FD91FEC6-F201-4D6B-8BDE-01EF91FFD847}">
    <text>Diesel*1.28 like PC</text>
  </threadedComment>
  <threadedComment ref="O261" dT="2024-02-12T15:41:24.85" personId="{FEB18068-CF42-49B8-B0A8-19DD46BD3136}" id="{440FDE17-8B01-4145-8C5A-983E13EF3E46}" parentId="{FD91FEC6-F201-4D6B-8BDE-01EF91FFD847}">
    <text>Look into if bus CNG makes more sense here</text>
  </threadedComment>
  <threadedComment ref="W261" dT="2024-02-14T09:56:07.34" personId="{FEB18068-CF42-49B8-B0A8-19DD46BD3136}" id="{3A9DE8D0-3C38-4DBC-883B-A4C25E9C13DF}">
    <text xml:space="preserve">PC*3.04 in line with the ratio between HDV diesel and PC Conventional diesel ratio
</text>
  </threadedComment>
  <threadedComment ref="Z261" dT="2024-02-14T12:29:00.70" personId="{FEB18068-CF42-49B8-B0A8-19DD46BD3136}" id="{CAEFD6C2-AE58-40B7-B101-4F0C235D8E1F}">
    <text>Used petrol</text>
  </threadedComment>
  <threadedComment ref="O319" dT="2024-02-12T15:45:04.16" personId="{FEB18068-CF42-49B8-B0A8-19DD46BD3136}" id="{551C787B-2758-483A-B2E7-701FE7C8DA6C}">
    <text>Mopeds assumed to be two stroke</text>
  </threadedComment>
  <threadedComment ref="O319" dT="2024-02-12T15:45:58.10" personId="{FEB18068-CF42-49B8-B0A8-19DD46BD3136}" id="{E0932253-ECE9-45AC-B8D1-6D3D9FEC380D}" parentId="{551C787B-2758-483A-B2E7-701FE7C8DA6C}">
    <text>This is because of the engine size</text>
  </threadedComment>
  <threadedComment ref="U319" dT="2024-02-13T08:46:41.64" personId="{FEB18068-CF42-49B8-B0A8-19DD46BD3136}" id="{731D8DB8-678E-4DDD-9765-C41137F2E9C8}">
    <text>Two strokes were treated as mopeds, four strokes as motorcycles</text>
  </threadedComment>
  <threadedComment ref="O323" dT="2024-02-12T15:48:20.43" personId="{FEB18068-CF42-49B8-B0A8-19DD46BD3136}" id="{0FFA2E99-6518-457A-83EF-42E432A67E67}">
    <text>Rows 323-326 were assumed to be mopeds (typo?) because the later rows include mopeds of the same size</text>
  </threadedComment>
  <threadedComment ref="O323" dT="2024-02-12T15:48:30.59" personId="{FEB18068-CF42-49B8-B0A8-19DD46BD3136}" id="{F2AE4EB1-B8AC-4A44-892C-C9B500673D79}" parentId="{0FFA2E99-6518-457A-83EF-42E432A67E67}">
    <text>*motorcycles</text>
  </threadedComment>
  <threadedComment ref="R323" dT="2024-02-12T19:25:08.45" personId="{FEB18068-CF42-49B8-B0A8-19DD46BD3136}" id="{EEF696A5-CDB4-4116-958F-158336AEC3F0}">
    <text>Made these four stroke - double check that is what was used for fuel consumption</text>
  </threadedComment>
  <threadedComment ref="O336" dT="2024-02-12T15:51:45.80" personId="{FEB18068-CF42-49B8-B0A8-19DD46BD3136}" id="{DCDB1049-8925-40CF-AB5D-675DB1695734}">
    <text>151cc and larger was treated as 4 stroke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53" dT="2024-02-12T18:03:25.97" personId="{FEB18068-CF42-49B8-B0A8-19DD46BD3136}" id="{845F2A5E-3728-4767-B7B6-FD3946C7EA22}">
    <text>Double check this is correct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26"/>
  <sheetViews>
    <sheetView workbookViewId="0">
      <selection activeCell="F5" sqref="F5"/>
    </sheetView>
  </sheetViews>
  <sheetFormatPr defaultColWidth="12.6328125" defaultRowHeight="15.75" customHeight="1"/>
  <cols>
    <col min="1" max="1" width="42" customWidth="1"/>
    <col min="2" max="2" width="10.7265625" customWidth="1"/>
    <col min="3" max="3" width="15.08984375" customWidth="1"/>
    <col min="4" max="4" width="16.7265625" customWidth="1"/>
    <col min="5" max="5" width="14.453125" customWidth="1"/>
  </cols>
  <sheetData>
    <row r="1" spans="1:8" ht="15.75" customHeight="1"/>
    <row r="2" spans="1:8" ht="14">
      <c r="A2" s="135" t="s">
        <v>0</v>
      </c>
      <c r="B2" s="136"/>
      <c r="C2" s="136"/>
      <c r="D2" s="136"/>
    </row>
    <row r="3" spans="1:8" s="63" customFormat="1" ht="42">
      <c r="A3" s="66" t="s">
        <v>1</v>
      </c>
      <c r="B3" s="67" t="s">
        <v>2</v>
      </c>
      <c r="C3" s="67" t="s">
        <v>3</v>
      </c>
      <c r="D3" s="67" t="s">
        <v>4</v>
      </c>
      <c r="E3" s="70" t="s">
        <v>105</v>
      </c>
      <c r="F3" s="71" t="s">
        <v>106</v>
      </c>
      <c r="G3" s="71" t="s">
        <v>107</v>
      </c>
      <c r="H3" s="71" t="s">
        <v>108</v>
      </c>
    </row>
    <row r="4" spans="1:8" ht="14">
      <c r="A4" s="2" t="s">
        <v>336</v>
      </c>
      <c r="B4" s="3">
        <f>19345+2055</f>
        <v>21400</v>
      </c>
      <c r="C4" s="3">
        <v>52205</v>
      </c>
      <c r="D4" s="3">
        <f>C4*1000000</f>
        <v>52205000000</v>
      </c>
      <c r="E4">
        <v>13.3</v>
      </c>
      <c r="F4">
        <f>E4*1000</f>
        <v>13300</v>
      </c>
      <c r="G4">
        <f>D4/B4</f>
        <v>2439485.9813084113</v>
      </c>
      <c r="H4">
        <f>F4*B4</f>
        <v>284620000</v>
      </c>
    </row>
    <row r="5" spans="1:8" ht="14">
      <c r="A5" s="2" t="s">
        <v>5</v>
      </c>
      <c r="B5" s="3">
        <v>1064</v>
      </c>
      <c r="C5" s="3">
        <v>8684</v>
      </c>
      <c r="D5" s="3">
        <f t="shared" ref="D5:D12" si="0">C5*1000000</f>
        <v>8684000000</v>
      </c>
      <c r="E5" s="4">
        <v>27.7</v>
      </c>
      <c r="F5">
        <f t="shared" ref="F5:F11" si="1">E5*1000</f>
        <v>27700</v>
      </c>
      <c r="G5">
        <f>D5/B5</f>
        <v>8161654.1353383455</v>
      </c>
      <c r="H5">
        <f t="shared" ref="H5:H11" si="2">F5*B5</f>
        <v>29472800</v>
      </c>
    </row>
    <row r="6" spans="1:8" ht="14">
      <c r="A6" s="2" t="s">
        <v>6</v>
      </c>
      <c r="B6" s="5">
        <v>633</v>
      </c>
      <c r="C6" s="3">
        <v>8684</v>
      </c>
      <c r="D6" s="3">
        <f t="shared" si="0"/>
        <v>8684000000</v>
      </c>
      <c r="E6" s="4">
        <v>27.7</v>
      </c>
      <c r="F6">
        <f t="shared" si="1"/>
        <v>27700</v>
      </c>
      <c r="G6">
        <f t="shared" ref="G6:G11" si="3">D6/B6</f>
        <v>13718799.368088467</v>
      </c>
      <c r="H6">
        <f t="shared" si="2"/>
        <v>17534100</v>
      </c>
    </row>
    <row r="7" spans="1:8" ht="14">
      <c r="A7" s="2" t="s">
        <v>7</v>
      </c>
      <c r="B7" s="5">
        <v>37</v>
      </c>
      <c r="C7" s="77">
        <v>757</v>
      </c>
      <c r="D7" s="3">
        <f t="shared" si="0"/>
        <v>757000000</v>
      </c>
      <c r="E7">
        <v>49.4</v>
      </c>
      <c r="F7">
        <f t="shared" si="1"/>
        <v>49400</v>
      </c>
      <c r="G7">
        <f t="shared" si="3"/>
        <v>20459459.459459461</v>
      </c>
      <c r="H7">
        <f t="shared" si="2"/>
        <v>1827800</v>
      </c>
    </row>
    <row r="8" spans="1:8" ht="14">
      <c r="A8" s="2" t="s">
        <v>8</v>
      </c>
      <c r="B8" s="5">
        <v>50</v>
      </c>
      <c r="C8" s="3">
        <v>1318</v>
      </c>
      <c r="D8" s="3">
        <f t="shared" si="0"/>
        <v>1318000000</v>
      </c>
      <c r="E8" s="65">
        <v>56.4</v>
      </c>
      <c r="F8">
        <f t="shared" si="1"/>
        <v>56400</v>
      </c>
      <c r="G8">
        <f>D8/B8</f>
        <v>26360000</v>
      </c>
      <c r="H8">
        <f t="shared" si="2"/>
        <v>2820000</v>
      </c>
    </row>
    <row r="9" spans="1:8" ht="14">
      <c r="A9" s="2" t="s">
        <v>9</v>
      </c>
      <c r="B9" s="5">
        <v>551</v>
      </c>
      <c r="C9" s="3">
        <v>1596</v>
      </c>
      <c r="D9" s="3">
        <f t="shared" si="0"/>
        <v>1596000000</v>
      </c>
      <c r="E9" s="65">
        <v>67.7</v>
      </c>
      <c r="F9">
        <f t="shared" si="1"/>
        <v>67700</v>
      </c>
      <c r="G9">
        <f t="shared" si="3"/>
        <v>2896551.7241379311</v>
      </c>
      <c r="H9">
        <f t="shared" si="2"/>
        <v>37302700</v>
      </c>
    </row>
    <row r="10" spans="1:8" ht="14">
      <c r="A10" s="2" t="s">
        <v>10</v>
      </c>
      <c r="B10" s="3">
        <v>1691</v>
      </c>
      <c r="C10" s="3">
        <v>122</v>
      </c>
      <c r="D10" s="3">
        <f t="shared" si="0"/>
        <v>122000000</v>
      </c>
      <c r="E10" s="65">
        <v>7.5</v>
      </c>
      <c r="F10">
        <f t="shared" si="1"/>
        <v>7500</v>
      </c>
      <c r="G10">
        <f t="shared" si="3"/>
        <v>72146.658781785925</v>
      </c>
      <c r="H10">
        <f t="shared" si="2"/>
        <v>12682500</v>
      </c>
    </row>
    <row r="11" spans="1:8" ht="14">
      <c r="A11" s="2" t="s">
        <v>11</v>
      </c>
      <c r="B11" s="5">
        <v>34</v>
      </c>
      <c r="C11" s="3">
        <v>121</v>
      </c>
      <c r="D11" s="3">
        <f t="shared" si="0"/>
        <v>121000000</v>
      </c>
      <c r="E11">
        <v>18.100000000000001</v>
      </c>
      <c r="F11">
        <f t="shared" si="1"/>
        <v>18100</v>
      </c>
      <c r="G11">
        <f t="shared" si="3"/>
        <v>3558823.5294117648</v>
      </c>
      <c r="H11">
        <f t="shared" si="2"/>
        <v>615400</v>
      </c>
    </row>
    <row r="12" spans="1:8" ht="14">
      <c r="A12" s="6" t="s">
        <v>12</v>
      </c>
      <c r="B12" s="7">
        <f>SUM(B4:B11)</f>
        <v>25460</v>
      </c>
      <c r="C12" s="7">
        <f>SUM(C4:C11)</f>
        <v>73487</v>
      </c>
      <c r="D12" s="8">
        <f t="shared" si="0"/>
        <v>73487000000</v>
      </c>
    </row>
    <row r="13" spans="1:8" ht="15.75" customHeight="1">
      <c r="A13" s="127"/>
      <c r="B13" s="128">
        <v>2055</v>
      </c>
    </row>
    <row r="15" spans="1:8" ht="14">
      <c r="A15" s="65" t="s">
        <v>335</v>
      </c>
      <c r="B15" s="68">
        <f>B4+B9</f>
        <v>21951</v>
      </c>
      <c r="C15" s="69">
        <f>C4+C9</f>
        <v>53801</v>
      </c>
      <c r="D15" s="69">
        <f>D4+D9</f>
        <v>53801000000</v>
      </c>
      <c r="E15">
        <f>(E4*B4+E9*B9)/(B4+B9)</f>
        <v>14.66551409958544</v>
      </c>
      <c r="F15">
        <f>E15*1000</f>
        <v>14665.51409958544</v>
      </c>
      <c r="H15">
        <f>F15*B15</f>
        <v>321922700</v>
      </c>
    </row>
    <row r="16" spans="1:8" ht="14">
      <c r="A16" s="65" t="s">
        <v>168</v>
      </c>
      <c r="B16" s="68">
        <f>B5+B11</f>
        <v>1098</v>
      </c>
      <c r="C16" s="69">
        <f>C5+C11</f>
        <v>8805</v>
      </c>
      <c r="D16" s="69">
        <f>D5+D11</f>
        <v>8805000000</v>
      </c>
      <c r="E16">
        <f>(E5*B5+E11*B11)/(B5+B11)</f>
        <v>27.40273224043716</v>
      </c>
      <c r="F16">
        <f>E16*1000</f>
        <v>27402.732240437159</v>
      </c>
    </row>
    <row r="17" spans="3:4" ht="14">
      <c r="C17" s="9"/>
      <c r="D17" s="9"/>
    </row>
    <row r="18" spans="3:4" ht="14">
      <c r="C18" s="9"/>
      <c r="D18" s="9"/>
    </row>
    <row r="19" spans="3:4" ht="14">
      <c r="C19" s="9"/>
      <c r="D19" s="9"/>
    </row>
    <row r="20" spans="3:4" ht="14">
      <c r="C20" s="9"/>
      <c r="D20" s="9"/>
    </row>
    <row r="21" spans="3:4" ht="14">
      <c r="C21" s="9"/>
      <c r="D21" s="9"/>
    </row>
    <row r="22" spans="3:4" ht="14">
      <c r="C22" s="9"/>
      <c r="D22" s="9"/>
    </row>
    <row r="23" spans="3:4" ht="14">
      <c r="C23" s="9"/>
      <c r="D23" s="9"/>
    </row>
    <row r="24" spans="3:4" ht="14">
      <c r="C24" s="10"/>
      <c r="D24" s="10"/>
    </row>
    <row r="25" spans="3:4" ht="14">
      <c r="C25" s="9"/>
      <c r="D25" s="9"/>
    </row>
    <row r="26" spans="3:4" ht="14">
      <c r="C26" s="11"/>
      <c r="D26" s="11"/>
    </row>
  </sheetData>
  <mergeCells count="1">
    <mergeCell ref="A2:D2"/>
  </mergeCells>
  <pageMargins left="0.7" right="0.7" top="0.75" bottom="0.75" header="0.3" footer="0.3"/>
  <pageSetup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3AF82-856B-43E5-AFDB-B1F526BB9FE0}">
  <sheetPr>
    <outlinePr summaryBelow="0" summaryRight="0"/>
  </sheetPr>
  <dimension ref="A1:AA999"/>
  <sheetViews>
    <sheetView topLeftCell="B1" workbookViewId="0">
      <pane ySplit="1" topLeftCell="A340" activePane="bottomLeft" state="frozen"/>
      <selection activeCell="P1" sqref="P1"/>
      <selection pane="bottomLeft" activeCell="G88" sqref="G88"/>
    </sheetView>
  </sheetViews>
  <sheetFormatPr defaultColWidth="12.6328125" defaultRowHeight="15.75" customHeight="1" outlineLevelCol="2"/>
  <cols>
    <col min="3" max="3" width="12.6328125" hidden="1" customWidth="1"/>
    <col min="6" max="6" width="12.6328125" customWidth="1"/>
    <col min="8" max="9" width="0" hidden="1" customWidth="1"/>
    <col min="10" max="16" width="12.6328125" hidden="1" customWidth="1" outlineLevel="1"/>
    <col min="17" max="22" width="12.6328125" customWidth="1" outlineLevel="2"/>
    <col min="23" max="24" width="12.6328125" customWidth="1" outlineLevel="1"/>
    <col min="27" max="27" width="12.6328125" style="124"/>
  </cols>
  <sheetData>
    <row r="1" spans="1:27" s="116" customFormat="1" ht="38" customHeight="1">
      <c r="A1" s="113" t="s">
        <v>44</v>
      </c>
      <c r="B1" s="114" t="s">
        <v>45</v>
      </c>
      <c r="C1" s="115" t="s">
        <v>46</v>
      </c>
      <c r="D1" s="115" t="s">
        <v>47</v>
      </c>
      <c r="E1" s="113" t="s">
        <v>48</v>
      </c>
      <c r="F1" s="114" t="s">
        <v>49</v>
      </c>
      <c r="G1" s="64" t="s">
        <v>50</v>
      </c>
      <c r="H1" s="64" t="s">
        <v>103</v>
      </c>
      <c r="I1" s="64" t="s">
        <v>317</v>
      </c>
      <c r="J1" s="64" t="s">
        <v>230</v>
      </c>
      <c r="K1" s="64" t="s">
        <v>231</v>
      </c>
      <c r="L1" s="64" t="s">
        <v>232</v>
      </c>
      <c r="M1" s="64" t="s">
        <v>233</v>
      </c>
      <c r="N1" s="64" t="s">
        <v>234</v>
      </c>
      <c r="O1" s="64" t="s">
        <v>253</v>
      </c>
      <c r="P1" s="64" t="s">
        <v>254</v>
      </c>
      <c r="Q1" s="64" t="s">
        <v>235</v>
      </c>
      <c r="R1" s="64" t="s">
        <v>237</v>
      </c>
      <c r="S1" s="64" t="s">
        <v>236</v>
      </c>
      <c r="T1" s="64" t="s">
        <v>252</v>
      </c>
      <c r="U1" s="64" t="s">
        <v>261</v>
      </c>
      <c r="V1" s="64" t="s">
        <v>312</v>
      </c>
      <c r="W1" s="64" t="s">
        <v>311</v>
      </c>
      <c r="X1" s="64" t="s">
        <v>313</v>
      </c>
      <c r="Y1" s="64" t="s">
        <v>314</v>
      </c>
      <c r="Z1" s="64" t="s">
        <v>315</v>
      </c>
      <c r="AA1" s="64" t="s">
        <v>316</v>
      </c>
    </row>
    <row r="2" spans="1:27" ht="15.75" customHeight="1">
      <c r="A2" s="89" t="s">
        <v>51</v>
      </c>
      <c r="B2" s="53"/>
      <c r="C2" s="53"/>
      <c r="D2" s="53"/>
      <c r="E2" s="53"/>
      <c r="F2" s="86"/>
      <c r="G2" s="87">
        <f>'Eilat Car Data'!B15</f>
        <v>21951</v>
      </c>
      <c r="H2" s="46">
        <f>SUM(G3:G75)</f>
        <v>21887.625812044374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7" ht="15.75" customHeight="1">
      <c r="A3" s="48" t="s">
        <v>51</v>
      </c>
      <c r="B3" s="49" t="s">
        <v>20</v>
      </c>
      <c r="C3" s="49" t="s">
        <v>52</v>
      </c>
      <c r="D3" s="49" t="s">
        <v>53</v>
      </c>
      <c r="E3" s="50" t="s">
        <v>54</v>
      </c>
      <c r="F3" s="80">
        <v>8.1022869423903895E-4</v>
      </c>
      <c r="G3" s="103">
        <f t="shared" ref="G3:G94" si="0">F3*$G$2</f>
        <v>17.785330067241144</v>
      </c>
      <c r="H3" s="46"/>
      <c r="I3" s="46">
        <f>G3*'Eilat Car Data'!F$15</f>
        <v>260831.00886690588</v>
      </c>
      <c r="J3" s="46">
        <f>I3*'Tier 1 Coefficients'!I$3</f>
        <v>18258170.620683413</v>
      </c>
      <c r="K3" s="46">
        <f>J3/1000</f>
        <v>18258.170620683413</v>
      </c>
      <c r="L3" s="46">
        <f>K3*'Tier 1 Coefficients'!D$3</f>
        <v>57860.142696945739</v>
      </c>
      <c r="M3" s="46">
        <f>K3*'Tier 1 Coefficients'!C$16</f>
        <v>161402.22828684136</v>
      </c>
      <c r="N3" s="46">
        <f>K3*'Tier 1 Coefficients'!C$40</f>
        <v>3761.1831478607828</v>
      </c>
      <c r="O3" s="46">
        <f>I3*'Tier 2 FC'!D3</f>
        <v>16954015.576348882</v>
      </c>
      <c r="P3" s="46">
        <f>O3/1000</f>
        <v>16954.015576348884</v>
      </c>
      <c r="Q3" s="46">
        <f>P3*'Tier 1 Coefficients'!D$3</f>
        <v>53727.275361449611</v>
      </c>
      <c r="R3" s="46">
        <f>$I3*'T2 PC'!C12</f>
        <v>2608.3100886690586</v>
      </c>
      <c r="S3" s="46">
        <f>$I3*'T2 PC'!D12</f>
        <v>172930.9588787586</v>
      </c>
      <c r="T3" s="46">
        <f>44.011*(P3/(12.011+1.008*'Tier 3 CO2 Tables'!B$3+16*'Tier 3 CO2 Tables'!C$3))</f>
        <v>53735.390161134237</v>
      </c>
      <c r="U3" s="46">
        <f>I3*'Tier 3 CO2 Tables'!H$3/10000</f>
        <v>37.820496285701353</v>
      </c>
      <c r="V3" s="46">
        <f>44.011*(U3/(12.011+1.008*'Tier 3 CO2 Tables'!B$6+16*'Tier 3 CO2 Tables'!C$6))</f>
        <v>117.98698166596273</v>
      </c>
      <c r="W3" s="46">
        <f>I3*'T3 Methane'!D2</f>
        <v>34168862.161564671</v>
      </c>
      <c r="X3" s="46" cm="1">
        <f t="array" ref="X3">_xlfn.IFS(E3='Euro Age Table'!C$5,'Euro Age Table'!G$5,E3='Euro Age Table'!C$6,'Euro Age Table'!G$6,E3='Euro Age Table'!C$7,'Euro Age Table'!G$7,E3='Euro Age Table'!C$8,'Euro Age Table'!G$8,E3='Euro Age Table'!C$9,'Euro Age Table'!G$9,E3='Euro Age Table'!C$10,'Euro Age Table'!G$10,E3='Euro Age Table'!C$11,'Euro Age Table'!G$11)</f>
        <v>27</v>
      </c>
      <c r="Y3" s="46">
        <f>X3*'Eilat Car Data'!F$15</f>
        <v>395968.88068880688</v>
      </c>
      <c r="Z3" s="46">
        <f>('T3 N2O PC-Petrol'!D2*Y3+'T3 N2O PC-Petrol'!E2)*'T3 N2O PC-Petrol'!C2</f>
        <v>10</v>
      </c>
      <c r="AA3" s="124">
        <f>Z3*I3</f>
        <v>2608310.0886690589</v>
      </c>
    </row>
    <row r="4" spans="1:27" ht="15.75" customHeight="1">
      <c r="A4" s="48" t="s">
        <v>51</v>
      </c>
      <c r="B4" s="49" t="s">
        <v>20</v>
      </c>
      <c r="C4" s="49" t="s">
        <v>52</v>
      </c>
      <c r="D4" s="49" t="s">
        <v>53</v>
      </c>
      <c r="E4" s="50" t="s">
        <v>55</v>
      </c>
      <c r="F4" s="97">
        <v>2.50418477746164E-4</v>
      </c>
      <c r="G4" s="99">
        <f t="shared" si="0"/>
        <v>5.4969360050060461</v>
      </c>
      <c r="H4" s="46"/>
      <c r="I4" s="46">
        <f>G4*'Eilat Car Data'!F$15</f>
        <v>80615.392485935023</v>
      </c>
      <c r="J4" s="46">
        <f>I4*'Tier 1 Coefficients'!I$3</f>
        <v>5643077.474015452</v>
      </c>
      <c r="K4" s="46">
        <f t="shared" ref="K4:K67" si="1">J4/1000</f>
        <v>5643.077474015452</v>
      </c>
      <c r="L4" s="46">
        <f>K4*'Tier 1 Coefficients'!D$3</f>
        <v>17882.912515154967</v>
      </c>
      <c r="M4" s="46">
        <f>K4*'Tier 1 Coefficients'!C$16</f>
        <v>49884.804870296597</v>
      </c>
      <c r="N4" s="46">
        <f>K4*'Tier 1 Coefficients'!C$40</f>
        <v>1162.4739596471832</v>
      </c>
      <c r="O4" s="46">
        <f>I4*'Tier 2 FC'!D$4</f>
        <v>4514461.9792123614</v>
      </c>
      <c r="P4" s="46">
        <f t="shared" ref="P4:P67" si="2">O4/1000</f>
        <v>4514.4619792123613</v>
      </c>
      <c r="Q4" s="46">
        <f>P4*'Tier 1 Coefficients'!D$3</f>
        <v>14306.330012123974</v>
      </c>
      <c r="R4" s="46">
        <f>$I4*'T2 PC'!C13</f>
        <v>806.15392485935024</v>
      </c>
      <c r="S4" s="46">
        <f>$I4*'T2 PC'!D13</f>
        <v>48046.77392161727</v>
      </c>
      <c r="T4" s="46">
        <f>44.011*(P4/(12.011+1.008*'Tier 3 CO2 Tables'!B$3+16*'Tier 3 CO2 Tables'!C$3))</f>
        <v>14308.49079547823</v>
      </c>
      <c r="U4" s="46">
        <f>I4*'Tier 3 CO2 Tables'!H$3/10000</f>
        <v>11.689231910460578</v>
      </c>
      <c r="V4" s="46">
        <f>44.011*(U4/(12.011+1.008*'Tier 3 CO2 Tables'!B$6+16*'Tier 3 CO2 Tables'!C$6))</f>
        <v>36.46639591110069</v>
      </c>
      <c r="W4" s="46">
        <f>I4*'T3 Methane'!D3</f>
        <v>2096000.2046343107</v>
      </c>
      <c r="X4" s="46" cm="1">
        <f t="array" ref="X4">_xlfn.IFS(E4='Euro Age Table'!C$5,'Euro Age Table'!G$5,E4='Euro Age Table'!C$6,'Euro Age Table'!G$6,E4='Euro Age Table'!C$7,'Euro Age Table'!G$7,E4='Euro Age Table'!C$8,'Euro Age Table'!G$8,E4='Euro Age Table'!C$9,'Euro Age Table'!G$9,E4='Euro Age Table'!C$10,'Euro Age Table'!G$10,E4='Euro Age Table'!C$11,'Euro Age Table'!G$11)</f>
        <v>23</v>
      </c>
      <c r="Y4" s="46">
        <f>X4*'Eilat Car Data'!F$15</f>
        <v>337306.8242904651</v>
      </c>
      <c r="Z4" s="46">
        <f>('T3 N2O PC-Petrol'!D3*Y4+'T3 N2O PC-Petrol'!E3)*'T3 N2O PC-Petrol'!C3</f>
        <v>28.238281643037674</v>
      </c>
      <c r="AA4" s="124">
        <f t="shared" ref="AA4:AA67" si="3">Z4*I4</f>
        <v>2276440.1577818561</v>
      </c>
    </row>
    <row r="5" spans="1:27" ht="15.75" customHeight="1">
      <c r="A5" s="48" t="s">
        <v>51</v>
      </c>
      <c r="B5" s="49" t="s">
        <v>20</v>
      </c>
      <c r="C5" s="49" t="s">
        <v>52</v>
      </c>
      <c r="D5" s="49" t="s">
        <v>53</v>
      </c>
      <c r="E5" s="50" t="s">
        <v>56</v>
      </c>
      <c r="F5" s="97">
        <v>1.112357716113761E-3</v>
      </c>
      <c r="G5" s="99">
        <f t="shared" si="0"/>
        <v>24.417364226413167</v>
      </c>
      <c r="H5" s="46"/>
      <c r="I5" s="46">
        <f>G5*'Eilat Car Data'!F$15</f>
        <v>358093.19933717541</v>
      </c>
      <c r="J5" s="46">
        <f>I5*'Tier 1 Coefficients'!I$3</f>
        <v>25066523.953602277</v>
      </c>
      <c r="K5" s="46">
        <f t="shared" si="1"/>
        <v>25066.523953602278</v>
      </c>
      <c r="L5" s="46">
        <f>K5*'Tier 1 Coefficients'!D$3</f>
        <v>79435.814408965627</v>
      </c>
      <c r="M5" s="46">
        <f>K5*'Tier 1 Coefficients'!C$16</f>
        <v>221588.07174984412</v>
      </c>
      <c r="N5" s="46">
        <f>K5*'Tier 1 Coefficients'!C$40</f>
        <v>5163.7039344420691</v>
      </c>
      <c r="O5" s="46">
        <f>I5*'Tier 2 FC'!D$4</f>
        <v>20053219.162881821</v>
      </c>
      <c r="P5" s="46">
        <f t="shared" si="2"/>
        <v>20053.219162881822</v>
      </c>
      <c r="Q5" s="46">
        <f>P5*'Tier 1 Coefficients'!D$3</f>
        <v>63548.651527172493</v>
      </c>
      <c r="R5" s="46">
        <f>$I5*'T2 PC'!C14</f>
        <v>2148.5591960230527</v>
      </c>
      <c r="S5" s="46">
        <f>$I5*'T2 PC'!D14</f>
        <v>189789.39564870298</v>
      </c>
      <c r="T5" s="46">
        <f>44.011*(P5/(12.011+1.008*'Tier 3 CO2 Tables'!B$3+16*'Tier 3 CO2 Tables'!C$3))</f>
        <v>63558.249716805258</v>
      </c>
      <c r="U5" s="46">
        <f>I5*'Tier 3 CO2 Tables'!H$3/10000</f>
        <v>51.923513903890431</v>
      </c>
      <c r="V5" s="46">
        <f>44.011*(U5/(12.011+1.008*'Tier 3 CO2 Tables'!B$6+16*'Tier 3 CO2 Tables'!C$6))</f>
        <v>161.98356141949481</v>
      </c>
      <c r="W5" s="46">
        <f>I5*'T3 Methane'!D4</f>
        <v>6087584.3887319816</v>
      </c>
      <c r="X5" s="46" cm="1">
        <f t="array" ref="X5">_xlfn.IFS(E5='Euro Age Table'!C$5,'Euro Age Table'!G$5,E5='Euro Age Table'!C$6,'Euro Age Table'!G$6,E5='Euro Age Table'!C$7,'Euro Age Table'!G$7,E5='Euro Age Table'!C$8,'Euro Age Table'!G$8,E5='Euro Age Table'!C$9,'Euro Age Table'!G$9,E5='Euro Age Table'!C$10,'Euro Age Table'!G$10,E5='Euro Age Table'!C$11,'Euro Age Table'!G$11)</f>
        <v>18</v>
      </c>
      <c r="Y5" s="46">
        <f>X5*'Eilat Car Data'!F$15</f>
        <v>263979.2537925379</v>
      </c>
      <c r="Z5" s="46">
        <f>('T3 N2O PC-Petrol'!D4*Y5+'T3 N2O PC-Petrol'!E4)*'T3 N2O PC-Petrol'!C4</f>
        <v>13.376886309446494</v>
      </c>
      <c r="AA5" s="124">
        <f t="shared" si="3"/>
        <v>4790172.015719356</v>
      </c>
    </row>
    <row r="6" spans="1:27" ht="15.75" customHeight="1">
      <c r="A6" s="48" t="s">
        <v>51</v>
      </c>
      <c r="B6" s="49" t="s">
        <v>20</v>
      </c>
      <c r="C6" s="49" t="s">
        <v>52</v>
      </c>
      <c r="D6" s="49" t="s">
        <v>53</v>
      </c>
      <c r="E6" s="50" t="s">
        <v>57</v>
      </c>
      <c r="F6" s="97">
        <v>8.9566729552111157E-3</v>
      </c>
      <c r="G6" s="99">
        <f t="shared" si="0"/>
        <v>196.60792803983921</v>
      </c>
      <c r="H6" s="46"/>
      <c r="I6" s="46">
        <f>G6*'Eilat Car Data'!F$15</f>
        <v>2883356.3407585416</v>
      </c>
      <c r="J6" s="46">
        <f>I6*'Tier 1 Coefficients'!I$3</f>
        <v>201834943.85309792</v>
      </c>
      <c r="K6" s="46">
        <f t="shared" si="1"/>
        <v>201834.94385309791</v>
      </c>
      <c r="L6" s="46">
        <f>K6*'Tier 1 Coefficients'!D$3</f>
        <v>639614.93707046728</v>
      </c>
      <c r="M6" s="46">
        <f>K6*'Tier 1 Coefficients'!C$16</f>
        <v>1784220.9036613854</v>
      </c>
      <c r="N6" s="46">
        <f>K6*'Tier 1 Coefficients'!C$40</f>
        <v>41577.998433738168</v>
      </c>
      <c r="O6" s="46">
        <f>I6*'Tier 2 FC'!D$4</f>
        <v>161467955.08247834</v>
      </c>
      <c r="P6" s="46">
        <f t="shared" si="2"/>
        <v>161467.95508247835</v>
      </c>
      <c r="Q6" s="46">
        <f>P6*'Tier 1 Coefficients'!D$3</f>
        <v>511691.94965637388</v>
      </c>
      <c r="R6" s="46">
        <f>$I6*'T2 PC'!C15</f>
        <v>5766.7126815170832</v>
      </c>
      <c r="S6" s="46">
        <f>$I6*'T2 PC'!D15</f>
        <v>1337877.3421119633</v>
      </c>
      <c r="T6" s="46">
        <f>44.011*(P6/(12.011+1.008*'Tier 3 CO2 Tables'!B$3+16*'Tier 3 CO2 Tables'!C$3))</f>
        <v>511769.23400857241</v>
      </c>
      <c r="U6" s="46">
        <f>I6*'Tier 3 CO2 Tables'!H$3/10000</f>
        <v>418.08666940998853</v>
      </c>
      <c r="V6" s="46">
        <f>44.011*(U6/(12.011+1.008*'Tier 3 CO2 Tables'!B$6+16*'Tier 3 CO2 Tables'!C$6))</f>
        <v>1304.2870676741827</v>
      </c>
      <c r="W6" s="46">
        <f>I6*'T3 Methane'!D5</f>
        <v>8650069.0222756248</v>
      </c>
      <c r="X6" s="46" cm="1">
        <f t="array" ref="X6">_xlfn.IFS(E6='Euro Age Table'!C$5,'Euro Age Table'!G$5,E6='Euro Age Table'!C$6,'Euro Age Table'!G$6,E6='Euro Age Table'!C$7,'Euro Age Table'!G$7,E6='Euro Age Table'!C$8,'Euro Age Table'!G$8,E6='Euro Age Table'!C$9,'Euro Age Table'!G$9,E6='Euro Age Table'!C$10,'Euro Age Table'!G$10,E6='Euro Age Table'!C$11,'Euro Age Table'!G$11)</f>
        <v>16</v>
      </c>
      <c r="Y6" s="46">
        <f>X6*'Eilat Car Data'!F$15</f>
        <v>234648.22559336704</v>
      </c>
      <c r="Z6" s="46">
        <f>('T3 N2O PC-Petrol'!D5*Y6+'T3 N2O PC-Petrol'!E5)*'T3 N2O PC-Petrol'!C5</f>
        <v>1.642028982552048</v>
      </c>
      <c r="AA6" s="124">
        <f t="shared" si="3"/>
        <v>4734554.6785507444</v>
      </c>
    </row>
    <row r="7" spans="1:27" ht="15.75" customHeight="1">
      <c r="A7" s="48" t="s">
        <v>51</v>
      </c>
      <c r="B7" s="49" t="s">
        <v>20</v>
      </c>
      <c r="C7" s="49" t="s">
        <v>52</v>
      </c>
      <c r="D7" s="49" t="s">
        <v>53</v>
      </c>
      <c r="E7" s="50" t="s">
        <v>58</v>
      </c>
      <c r="F7" s="97">
        <v>3.3748392760756231E-2</v>
      </c>
      <c r="G7" s="99">
        <f t="shared" si="0"/>
        <v>740.81096949135997</v>
      </c>
      <c r="H7" s="46"/>
      <c r="I7" s="46">
        <f>G7*'Eilat Car Data'!F$15</f>
        <v>10864373.718203099</v>
      </c>
      <c r="J7" s="46">
        <f>I7*'Tier 1 Coefficients'!I$3</f>
        <v>760506160.27421701</v>
      </c>
      <c r="K7" s="46">
        <f t="shared" si="1"/>
        <v>760506.16027421702</v>
      </c>
      <c r="L7" s="46">
        <f>K7*'Tier 1 Coefficients'!D$3</f>
        <v>2410044.0219089938</v>
      </c>
      <c r="M7" s="46">
        <f>K7*'Tier 1 Coefficients'!C$16</f>
        <v>6722874.4568240782</v>
      </c>
      <c r="N7" s="46">
        <f>K7*'Tier 1 Coefficients'!C$40</f>
        <v>156664.26901648869</v>
      </c>
      <c r="O7" s="46">
        <f>I7*'Tier 2 FC'!D$4</f>
        <v>608404928.21937358</v>
      </c>
      <c r="P7" s="46">
        <f t="shared" si="2"/>
        <v>608404.92821937357</v>
      </c>
      <c r="Q7" s="46">
        <f>P7*'Tier 1 Coefficients'!D$3</f>
        <v>1928035.2175271949</v>
      </c>
      <c r="R7" s="46">
        <f>$I7*'T2 PC'!C16</f>
        <v>21728.7474364062</v>
      </c>
      <c r="S7" s="46">
        <f>$I7*'T2 PC'!D16</f>
        <v>4324020.7398448335</v>
      </c>
      <c r="T7" s="46">
        <f>44.011*(P7/(12.011+1.008*'Tier 3 CO2 Tables'!B$3+16*'Tier 3 CO2 Tables'!C$3))</f>
        <v>1928326.4219381739</v>
      </c>
      <c r="U7" s="46">
        <f>I7*'Tier 3 CO2 Tables'!H$3/10000</f>
        <v>1575.3341891394493</v>
      </c>
      <c r="V7" s="46">
        <f>44.011*(U7/(12.011+1.008*'Tier 3 CO2 Tables'!B$6+16*'Tier 3 CO2 Tables'!C$6))</f>
        <v>4914.5025672767597</v>
      </c>
      <c r="W7" s="46">
        <f>I7*'T3 Methane'!D$6</f>
        <v>31180752.571242895</v>
      </c>
      <c r="X7" s="46" cm="1">
        <f t="array" ref="X7">_xlfn.IFS(E7='Euro Age Table'!C$5,'Euro Age Table'!G$5,E7='Euro Age Table'!C$6,'Euro Age Table'!G$6,E7='Euro Age Table'!C$7,'Euro Age Table'!G$7,E7='Euro Age Table'!C$8,'Euro Age Table'!G$8,E7='Euro Age Table'!C$9,'Euro Age Table'!G$9,E7='Euro Age Table'!C$10,'Euro Age Table'!G$10,E7='Euro Age Table'!C$11,'Euro Age Table'!G$11)</f>
        <v>13</v>
      </c>
      <c r="Y7" s="46">
        <f>X7*'Eilat Car Data'!F$15</f>
        <v>190651.68329461073</v>
      </c>
      <c r="Z7" s="46">
        <f>('T3 N2O PC-Petrol'!D6*Y7+'T3 N2O PC-Petrol'!E6)*'T3 N2O PC-Petrol'!C6</f>
        <v>2.0083394490497017</v>
      </c>
      <c r="AA7" s="124">
        <f t="shared" si="3"/>
        <v>21819350.327486072</v>
      </c>
    </row>
    <row r="8" spans="1:27" ht="15.75" customHeight="1">
      <c r="A8" s="48" t="s">
        <v>51</v>
      </c>
      <c r="B8" s="49" t="s">
        <v>20</v>
      </c>
      <c r="C8" s="49" t="s">
        <v>52</v>
      </c>
      <c r="D8" s="49" t="s">
        <v>53</v>
      </c>
      <c r="E8" s="50" t="s">
        <v>59</v>
      </c>
      <c r="F8" s="97">
        <v>0.10995579038985683</v>
      </c>
      <c r="G8" s="99">
        <f t="shared" si="0"/>
        <v>2413.6395548477471</v>
      </c>
      <c r="H8" s="46"/>
      <c r="I8" s="46">
        <f>G8*'Eilat Car Data'!F$15</f>
        <v>35397264.92293676</v>
      </c>
      <c r="J8" s="46">
        <f>I8*'Tier 1 Coefficients'!I$3</f>
        <v>2477808544.6055732</v>
      </c>
      <c r="K8" s="46">
        <f t="shared" si="1"/>
        <v>2477808.5446055732</v>
      </c>
      <c r="L8" s="46">
        <f>K8*'Tier 1 Coefficients'!D$3</f>
        <v>7852175.2778550619</v>
      </c>
      <c r="M8" s="46">
        <f>K8*'Tier 1 Coefficients'!C$16</f>
        <v>21903827.534313265</v>
      </c>
      <c r="N8" s="46">
        <f>K8*'Tier 1 Coefficients'!C$40</f>
        <v>510428.56018874806</v>
      </c>
      <c r="O8" s="46">
        <f>I8*'Tier 2 FC'!D$4</f>
        <v>1982246835.6844585</v>
      </c>
      <c r="P8" s="46">
        <f t="shared" si="2"/>
        <v>1982246.8356844585</v>
      </c>
      <c r="Q8" s="46">
        <f>P8*'Tier 1 Coefficients'!D$3</f>
        <v>6281740.2222840488</v>
      </c>
      <c r="R8" s="46">
        <f>$I8*'T2 PC'!C17</f>
        <v>46016.444399817789</v>
      </c>
      <c r="S8" s="46">
        <f>$I8*'T2 PC'!D17</f>
        <v>14088111.439328831</v>
      </c>
      <c r="T8" s="46">
        <f>44.011*(P8/(12.011+1.008*'Tier 3 CO2 Tables'!B$3+16*'Tier 3 CO2 Tables'!C$3))</f>
        <v>6282688.9966864688</v>
      </c>
      <c r="U8" s="46">
        <f>I8*'Tier 3 CO2 Tables'!H$3/10000</f>
        <v>5132.6034138258301</v>
      </c>
      <c r="V8" s="46">
        <f>44.011*(U8/(12.011+1.008*'Tier 3 CO2 Tables'!B$6+16*'Tier 3 CO2 Tables'!C$6))</f>
        <v>16011.962939647497</v>
      </c>
      <c r="W8" s="46">
        <f>I8*'T3 Methane'!D$6</f>
        <v>101590150.3288285</v>
      </c>
      <c r="X8" s="46" cm="1">
        <f t="array" ref="X8">_xlfn.IFS(E8='Euro Age Table'!C$5,'Euro Age Table'!G$5,E8='Euro Age Table'!C$6,'Euro Age Table'!G$6,E8='Euro Age Table'!C$7,'Euro Age Table'!G$7,E8='Euro Age Table'!C$8,'Euro Age Table'!G$8,E8='Euro Age Table'!C$9,'Euro Age Table'!G$9,E8='Euro Age Table'!C$10,'Euro Age Table'!G$10,E8='Euro Age Table'!C$11,'Euro Age Table'!G$11)</f>
        <v>9</v>
      </c>
      <c r="Y8" s="46">
        <f>X8*'Eilat Car Data'!F$15</f>
        <v>131989.62689626895</v>
      </c>
      <c r="Z8" s="46">
        <f>('T3 N2O PC-Petrol'!D7*Y8+'T3 N2O PC-Petrol'!E7)*'T3 N2O PC-Petrol'!C7</f>
        <v>2.3144349068634686</v>
      </c>
      <c r="AA8" s="124">
        <f t="shared" si="3"/>
        <v>81924665.545138672</v>
      </c>
    </row>
    <row r="9" spans="1:27" ht="15.75" customHeight="1">
      <c r="A9" s="48" t="s">
        <v>51</v>
      </c>
      <c r="B9" s="49" t="s">
        <v>20</v>
      </c>
      <c r="C9" s="49" t="s">
        <v>52</v>
      </c>
      <c r="D9" s="49" t="s">
        <v>53</v>
      </c>
      <c r="E9" s="51" t="s">
        <v>60</v>
      </c>
      <c r="F9" s="97">
        <v>0.14830903615612867</v>
      </c>
      <c r="G9" s="99">
        <f t="shared" si="0"/>
        <v>3255.5316526631805</v>
      </c>
      <c r="H9" s="46"/>
      <c r="I9" s="46">
        <f>G9*'Eilat Car Data'!F$15</f>
        <v>47744045.353778563</v>
      </c>
      <c r="J9" s="46">
        <f>I9*'Tier 1 Coefficients'!I$3</f>
        <v>3342083174.7644997</v>
      </c>
      <c r="K9" s="46">
        <f t="shared" si="1"/>
        <v>3342083.1747644995</v>
      </c>
      <c r="L9" s="46">
        <f>K9*'Tier 1 Coefficients'!D$3</f>
        <v>10591061.580828698</v>
      </c>
      <c r="M9" s="46">
        <f>K9*'Tier 1 Coefficients'!C$16</f>
        <v>29544015.264918175</v>
      </c>
      <c r="N9" s="46">
        <f>K9*'Tier 1 Coefficients'!C$40</f>
        <v>688469.13400148682</v>
      </c>
      <c r="O9" s="46">
        <f>I9*'Tier 2 FC'!D$4</f>
        <v>2673666539.8115997</v>
      </c>
      <c r="P9" s="46">
        <f t="shared" si="2"/>
        <v>2673666.5398115995</v>
      </c>
      <c r="Q9" s="46">
        <f>P9*'Tier 1 Coefficients'!D$3</f>
        <v>8472849.2646629587</v>
      </c>
      <c r="R9" s="46">
        <f>$I9*'T2 PC'!C18</f>
        <v>62067.258959912127</v>
      </c>
      <c r="S9" s="46">
        <f>$I9*'T2 PC'!D18</f>
        <v>19002130.05080387</v>
      </c>
      <c r="T9" s="46">
        <f>44.011*(P9/(12.011+1.008*'Tier 3 CO2 Tables'!B$3+16*'Tier 3 CO2 Tables'!C$3))</f>
        <v>8474128.9773243256</v>
      </c>
      <c r="U9" s="46">
        <f>I9*'Tier 3 CO2 Tables'!H$4/10000</f>
        <v>6111.2378052836557</v>
      </c>
      <c r="V9" s="46">
        <f>44.011*(U9/(12.011+1.008*'Tier 3 CO2 Tables'!B$6+16*'Tier 3 CO2 Tables'!C$6))</f>
        <v>19064.966716498224</v>
      </c>
      <c r="W9" s="46">
        <f>I9*'T3 Methane'!D$6</f>
        <v>137025410.16534448</v>
      </c>
      <c r="X9" s="46" cm="1">
        <f t="array" ref="X9">_xlfn.IFS(E9='Euro Age Table'!C$5,'Euro Age Table'!G$5,E9='Euro Age Table'!C$6,'Euro Age Table'!G$6,E9='Euro Age Table'!C$7,'Euro Age Table'!G$7,E9='Euro Age Table'!C$8,'Euro Age Table'!G$8,E9='Euro Age Table'!C$9,'Euro Age Table'!G$9,E9='Euro Age Table'!C$10,'Euro Age Table'!G$10,E9='Euro Age Table'!C$11,'Euro Age Table'!G$11)</f>
        <v>3</v>
      </c>
      <c r="Y9" s="46">
        <f>X9*'Eilat Car Data'!F$15</f>
        <v>43996.542298756322</v>
      </c>
      <c r="Z9" s="46">
        <f>('T3 N2O PC-Petrol'!D8*Y9+'T3 N2O PC-Petrol'!E8)*'T3 N2O PC-Petrol'!C8</f>
        <v>2.149078302287823</v>
      </c>
      <c r="AA9" s="124">
        <f t="shared" si="3"/>
        <v>102605691.93325126</v>
      </c>
    </row>
    <row r="10" spans="1:27" ht="15.75" customHeight="1">
      <c r="A10" s="48" t="s">
        <v>51</v>
      </c>
      <c r="B10" s="49" t="s">
        <v>20</v>
      </c>
      <c r="C10" s="49" t="s">
        <v>52</v>
      </c>
      <c r="D10" s="52" t="s">
        <v>61</v>
      </c>
      <c r="E10" s="50" t="s">
        <v>54</v>
      </c>
      <c r="F10" s="97">
        <v>1.1594201214442464E-3</v>
      </c>
      <c r="G10" s="99">
        <f t="shared" si="0"/>
        <v>25.45043108582265</v>
      </c>
      <c r="H10" s="46"/>
      <c r="I10" s="46">
        <f>G10*'Eilat Car Data'!F$15</f>
        <v>373243.65592965967</v>
      </c>
      <c r="J10" s="46">
        <f>I10*'Tier 1 Coefficients'!I$3</f>
        <v>26127055.915076178</v>
      </c>
      <c r="K10" s="46">
        <f t="shared" si="1"/>
        <v>26127.055915076176</v>
      </c>
      <c r="L10" s="46">
        <f>K10*'Tier 1 Coefficients'!D$3</f>
        <v>82796.640194876411</v>
      </c>
      <c r="M10" s="46">
        <f>K10*'Tier 1 Coefficients'!C$16</f>
        <v>230963.17428927339</v>
      </c>
      <c r="N10" s="46">
        <f>K10*'Tier 1 Coefficients'!C$40</f>
        <v>5382.1735185056923</v>
      </c>
      <c r="O10" s="46">
        <f>I10*'Tier 2 FC'!D5</f>
        <v>28739761.506583795</v>
      </c>
      <c r="P10" s="46">
        <f t="shared" si="2"/>
        <v>28739.761506583796</v>
      </c>
      <c r="Q10" s="46">
        <f>P10*'Tier 1 Coefficients'!D$3</f>
        <v>91076.304214364049</v>
      </c>
      <c r="R10" s="46">
        <f>$I10*'T2 PC'!C26</f>
        <v>3732.4365592965969</v>
      </c>
      <c r="S10" s="46">
        <f>$I10*'T2 PC'!D26</f>
        <v>247460.54388136437</v>
      </c>
      <c r="T10" s="46">
        <f>44.011*(P10/(12.011+1.008*'Tier 3 CO2 Tables'!B$3+16*'Tier 3 CO2 Tables'!C$3))</f>
        <v>91090.060094589586</v>
      </c>
      <c r="U10" s="46">
        <f>I10*'Tier 3 CO2 Tables'!H$3/10000</f>
        <v>54.120330109800655</v>
      </c>
      <c r="V10" s="46">
        <f>44.011*(U10/(12.011+1.008*'Tier 3 CO2 Tables'!B$6+16*'Tier 3 CO2 Tables'!C$6))</f>
        <v>168.83687480417964</v>
      </c>
      <c r="W10" s="46">
        <f>I10*'T3 Methane'!D2</f>
        <v>48894918.926785417</v>
      </c>
      <c r="X10" s="46" cm="1">
        <f t="array" ref="X10">_xlfn.IFS(E10='Euro Age Table'!C$5,'Euro Age Table'!G$5,E10='Euro Age Table'!C$6,'Euro Age Table'!G$6,E10='Euro Age Table'!C$7,'Euro Age Table'!G$7,E10='Euro Age Table'!C$8,'Euro Age Table'!G$8,E10='Euro Age Table'!C$9,'Euro Age Table'!G$9,E10='Euro Age Table'!C$10,'Euro Age Table'!G$10,E10='Euro Age Table'!C$11,'Euro Age Table'!G$11)</f>
        <v>27</v>
      </c>
      <c r="Y10" s="46">
        <f>X10*'Eilat Car Data'!F$15</f>
        <v>395968.88068880688</v>
      </c>
      <c r="Z10" s="46">
        <f>('T3 N2O PC-Petrol'!D2*Y10+'T3 N2O PC-Petrol'!E2)*'T3 N2O PC-Petrol'!C2</f>
        <v>10</v>
      </c>
      <c r="AA10" s="124">
        <f t="shared" si="3"/>
        <v>3732436.5592965968</v>
      </c>
    </row>
    <row r="11" spans="1:27" ht="15.75" customHeight="1">
      <c r="A11" s="48" t="s">
        <v>51</v>
      </c>
      <c r="B11" s="49" t="s">
        <v>20</v>
      </c>
      <c r="C11" s="49" t="s">
        <v>52</v>
      </c>
      <c r="D11" s="49" t="s">
        <v>61</v>
      </c>
      <c r="E11" s="50" t="s">
        <v>55</v>
      </c>
      <c r="F11" s="97">
        <v>1.3404070258942003E-3</v>
      </c>
      <c r="G11" s="99">
        <f t="shared" si="0"/>
        <v>29.42327462540359</v>
      </c>
      <c r="H11" s="46"/>
      <c r="I11" s="46">
        <f>G11*'Eilat Car Data'!F$15</f>
        <v>431507.44887483085</v>
      </c>
      <c r="J11" s="46">
        <f>I11*'Tier 1 Coefficients'!I$3</f>
        <v>30205521.421238158</v>
      </c>
      <c r="K11" s="46">
        <f t="shared" si="1"/>
        <v>30205.521421238158</v>
      </c>
      <c r="L11" s="46">
        <f>K11*'Tier 1 Coefficients'!D$3</f>
        <v>95721.297383903729</v>
      </c>
      <c r="M11" s="46">
        <f>K11*'Tier 1 Coefficients'!C$16</f>
        <v>267016.80936374533</v>
      </c>
      <c r="N11" s="46">
        <f>K11*'Tier 1 Coefficients'!C$40</f>
        <v>6222.3374127750603</v>
      </c>
      <c r="O11" s="46">
        <f>I11*'Tier 2 FC'!D$6</f>
        <v>28479491.625738837</v>
      </c>
      <c r="P11" s="46">
        <f t="shared" si="2"/>
        <v>28479.491625738836</v>
      </c>
      <c r="Q11" s="46">
        <f>P11*'Tier 1 Coefficients'!D$3</f>
        <v>90251.508961966378</v>
      </c>
      <c r="R11" s="46">
        <f>$I11*'T2 PC'!C27</f>
        <v>4315.0744887483088</v>
      </c>
      <c r="S11" s="46">
        <f>$I11*'T2 PC'!D27</f>
        <v>257178.43952939918</v>
      </c>
      <c r="T11" s="46">
        <f>44.011*(P11/(12.011+1.008*'Tier 3 CO2 Tables'!B$3+16*'Tier 3 CO2 Tables'!C$3))</f>
        <v>90265.14026769581</v>
      </c>
      <c r="U11" s="46">
        <f>I11*'Tier 3 CO2 Tables'!H$3/10000</f>
        <v>62.568580086850467</v>
      </c>
      <c r="V11" s="46">
        <f>44.011*(U11/(12.011+1.008*'Tier 3 CO2 Tables'!B$6+16*'Tier 3 CO2 Tables'!C$6))</f>
        <v>195.19251825268975</v>
      </c>
      <c r="W11" s="46">
        <f>I11*'T3 Methane'!D3</f>
        <v>11219193.670745602</v>
      </c>
      <c r="X11" s="46" cm="1">
        <f t="array" ref="X11">_xlfn.IFS(E11='Euro Age Table'!C$5,'Euro Age Table'!G$5,E11='Euro Age Table'!C$6,'Euro Age Table'!G$6,E11='Euro Age Table'!C$7,'Euro Age Table'!G$7,E11='Euro Age Table'!C$8,'Euro Age Table'!G$8,E11='Euro Age Table'!C$9,'Euro Age Table'!G$9,E11='Euro Age Table'!C$10,'Euro Age Table'!G$10,E11='Euro Age Table'!C$11,'Euro Age Table'!G$11)</f>
        <v>23</v>
      </c>
      <c r="Y11" s="46">
        <f>X11*'Eilat Car Data'!F$15</f>
        <v>337306.8242904651</v>
      </c>
      <c r="Z11" s="46">
        <f>('T3 N2O PC-Petrol'!D3*Y11+'T3 N2O PC-Petrol'!E3)*'T3 N2O PC-Petrol'!C3</f>
        <v>28.238281643037674</v>
      </c>
      <c r="AA11" s="124">
        <f t="shared" si="3"/>
        <v>12185028.872396154</v>
      </c>
    </row>
    <row r="12" spans="1:27" ht="15.75" customHeight="1">
      <c r="A12" s="48" t="s">
        <v>51</v>
      </c>
      <c r="B12" s="49" t="s">
        <v>20</v>
      </c>
      <c r="C12" s="49" t="s">
        <v>52</v>
      </c>
      <c r="D12" s="49" t="s">
        <v>61</v>
      </c>
      <c r="E12" s="50" t="s">
        <v>56</v>
      </c>
      <c r="F12" s="97">
        <v>6.939961734197345E-3</v>
      </c>
      <c r="G12" s="99">
        <f t="shared" si="0"/>
        <v>152.33910002736593</v>
      </c>
      <c r="H12" s="46"/>
      <c r="I12" s="46">
        <f>G12*'Eilat Car Data'!F$15</f>
        <v>2234131.2193694916</v>
      </c>
      <c r="J12" s="46">
        <f>I12*'Tier 1 Coefficients'!I$3</f>
        <v>156389185.35586441</v>
      </c>
      <c r="K12" s="46">
        <f t="shared" si="1"/>
        <v>156389.18535586441</v>
      </c>
      <c r="L12" s="46">
        <f>K12*'Tier 1 Coefficients'!D$3</f>
        <v>495597.32839273429</v>
      </c>
      <c r="M12" s="46">
        <f>K12*'Tier 1 Coefficients'!C$16</f>
        <v>1382480.3985458412</v>
      </c>
      <c r="N12" s="46">
        <f>K12*'Tier 1 Coefficients'!C$40</f>
        <v>32216.172183308066</v>
      </c>
      <c r="O12" s="46">
        <f>I12*'Tier 2 FC'!D$6</f>
        <v>147452660.47838643</v>
      </c>
      <c r="P12" s="46">
        <f t="shared" si="2"/>
        <v>147452.66047838645</v>
      </c>
      <c r="Q12" s="46">
        <f>P12*'Tier 1 Coefficients'!D$3</f>
        <v>467277.48105600663</v>
      </c>
      <c r="R12" s="46">
        <f>$I12*'T2 PC'!C28</f>
        <v>13404.787316216949</v>
      </c>
      <c r="S12" s="46">
        <f>$I12*'T2 PC'!D28</f>
        <v>1184089.5462658305</v>
      </c>
      <c r="T12" s="46">
        <f>44.011*(P12/(12.011+1.008*'Tier 3 CO2 Tables'!B$3+16*'Tier 3 CO2 Tables'!C$3))</f>
        <v>467348.0571857359</v>
      </c>
      <c r="U12" s="46">
        <f>I12*'Tier 3 CO2 Tables'!H$3/10000</f>
        <v>323.94902680857626</v>
      </c>
      <c r="V12" s="46">
        <f>44.011*(U12/(12.011+1.008*'Tier 3 CO2 Tables'!B$6+16*'Tier 3 CO2 Tables'!C$6))</f>
        <v>1010.6098978193553</v>
      </c>
      <c r="W12" s="46">
        <f>I12*'T3 Methane'!D4</f>
        <v>37980230.729281358</v>
      </c>
      <c r="X12" s="46" cm="1">
        <f t="array" ref="X12">_xlfn.IFS(E12='Euro Age Table'!C$5,'Euro Age Table'!G$5,E12='Euro Age Table'!C$6,'Euro Age Table'!G$6,E12='Euro Age Table'!C$7,'Euro Age Table'!G$7,E12='Euro Age Table'!C$8,'Euro Age Table'!G$8,E12='Euro Age Table'!C$9,'Euro Age Table'!G$9,E12='Euro Age Table'!C$10,'Euro Age Table'!G$10,E12='Euro Age Table'!C$11,'Euro Age Table'!G$11)</f>
        <v>18</v>
      </c>
      <c r="Y12" s="46">
        <f>X12*'Eilat Car Data'!F$15</f>
        <v>263979.2537925379</v>
      </c>
      <c r="Z12" s="46">
        <f>('T3 N2O PC-Petrol'!D4*Y12+'T3 N2O PC-Petrol'!E4)*'T3 N2O PC-Petrol'!C4</f>
        <v>13.376886309446494</v>
      </c>
      <c r="AA12" s="124">
        <f t="shared" si="3"/>
        <v>29885719.321890753</v>
      </c>
    </row>
    <row r="13" spans="1:27" ht="15.75" customHeight="1">
      <c r="A13" s="48" t="s">
        <v>51</v>
      </c>
      <c r="B13" s="49" t="s">
        <v>20</v>
      </c>
      <c r="C13" s="49" t="s">
        <v>52</v>
      </c>
      <c r="D13" s="49" t="s">
        <v>61</v>
      </c>
      <c r="E13" s="50" t="s">
        <v>57</v>
      </c>
      <c r="F13" s="97">
        <v>3.9162893443161109E-2</v>
      </c>
      <c r="G13" s="99">
        <f t="shared" si="0"/>
        <v>859.66467397082954</v>
      </c>
      <c r="H13" s="46"/>
      <c r="I13" s="46">
        <f>G13*'Eilat Car Data'!F$15</f>
        <v>12607424.397034721</v>
      </c>
      <c r="J13" s="46">
        <f>I13*'Tier 1 Coefficients'!I$3</f>
        <v>882519707.79243052</v>
      </c>
      <c r="K13" s="46">
        <f t="shared" si="1"/>
        <v>882519.70779243053</v>
      </c>
      <c r="L13" s="46">
        <f>K13*'Tier 1 Coefficients'!D$3</f>
        <v>2796704.9539942122</v>
      </c>
      <c r="M13" s="46">
        <f>K13*'Tier 1 Coefficients'!C$16</f>
        <v>7801474.2168850861</v>
      </c>
      <c r="N13" s="46">
        <f>K13*'Tier 1 Coefficients'!C$40</f>
        <v>181799.05980524069</v>
      </c>
      <c r="O13" s="46">
        <f>I13*'Tier 2 FC'!D$6</f>
        <v>832090010.20429158</v>
      </c>
      <c r="P13" s="46">
        <f t="shared" si="2"/>
        <v>832090.01020429155</v>
      </c>
      <c r="Q13" s="46">
        <f>P13*'Tier 1 Coefficients'!D$3</f>
        <v>2636893.2423374001</v>
      </c>
      <c r="R13" s="46">
        <f>$I13*'T2 PC'!C29</f>
        <v>25214.848794069443</v>
      </c>
      <c r="S13" s="46">
        <f>$I13*'T2 PC'!D29</f>
        <v>5849844.9202241106</v>
      </c>
      <c r="T13" s="46">
        <f>44.011*(P13/(12.011+1.008*'Tier 3 CO2 Tables'!B$3+16*'Tier 3 CO2 Tables'!C$3))</f>
        <v>2637291.510448101</v>
      </c>
      <c r="U13" s="46">
        <f>I13*'Tier 3 CO2 Tables'!H$3/10000</f>
        <v>1828.0765375700348</v>
      </c>
      <c r="V13" s="46">
        <f>44.011*(U13/(12.011+1.008*'Tier 3 CO2 Tables'!B$6+16*'Tier 3 CO2 Tables'!C$6))</f>
        <v>5702.9720417443887</v>
      </c>
      <c r="W13" s="46">
        <f>I13*'T3 Methane'!D5</f>
        <v>37822273.191104166</v>
      </c>
      <c r="X13" s="46" cm="1">
        <f t="array" ref="X13">_xlfn.IFS(E13='Euro Age Table'!C$5,'Euro Age Table'!G$5,E13='Euro Age Table'!C$6,'Euro Age Table'!G$6,E13='Euro Age Table'!C$7,'Euro Age Table'!G$7,E13='Euro Age Table'!C$8,'Euro Age Table'!G$8,E13='Euro Age Table'!C$9,'Euro Age Table'!G$9,E13='Euro Age Table'!C$10,'Euro Age Table'!G$10,E13='Euro Age Table'!C$11,'Euro Age Table'!G$11)</f>
        <v>16</v>
      </c>
      <c r="Y13" s="46">
        <f>X13*'Eilat Car Data'!F$15</f>
        <v>234648.22559336704</v>
      </c>
      <c r="Z13" s="46">
        <f>('T3 N2O PC-Petrol'!D5*Y13+'T3 N2O PC-Petrol'!E5)*'T3 N2O PC-Petrol'!C5</f>
        <v>1.642028982552048</v>
      </c>
      <c r="AA13" s="124">
        <f t="shared" si="3"/>
        <v>20701756.255264793</v>
      </c>
    </row>
    <row r="14" spans="1:27" ht="15.75" customHeight="1">
      <c r="A14" s="48" t="s">
        <v>51</v>
      </c>
      <c r="B14" s="49" t="s">
        <v>20</v>
      </c>
      <c r="C14" s="49" t="s">
        <v>52</v>
      </c>
      <c r="D14" s="49" t="s">
        <v>61</v>
      </c>
      <c r="E14" s="50" t="s">
        <v>58</v>
      </c>
      <c r="F14" s="97">
        <v>0.13941104595324322</v>
      </c>
      <c r="G14" s="99">
        <f t="shared" si="0"/>
        <v>3060.211869719642</v>
      </c>
      <c r="H14" s="46"/>
      <c r="I14" s="46">
        <f>G14*'Eilat Car Data'!F$15</f>
        <v>44879580.323092133</v>
      </c>
      <c r="J14" s="46">
        <f>I14*'Tier 1 Coefficients'!I$3</f>
        <v>3141570622.6164494</v>
      </c>
      <c r="K14" s="46">
        <f t="shared" si="1"/>
        <v>3141570.6226164494</v>
      </c>
      <c r="L14" s="46">
        <f>K14*'Tier 1 Coefficients'!D$3</f>
        <v>9955637.3030715287</v>
      </c>
      <c r="M14" s="46">
        <f>K14*'Tier 1 Coefficients'!C$16</f>
        <v>27771484.303929411</v>
      </c>
      <c r="N14" s="46">
        <f>K14*'Tier 1 Coefficients'!C$40</f>
        <v>647163.54825898854</v>
      </c>
      <c r="O14" s="46">
        <f>I14*'Tier 2 FC'!D$6</f>
        <v>2962052301.3240809</v>
      </c>
      <c r="P14" s="46">
        <f t="shared" si="2"/>
        <v>2962052.3013240811</v>
      </c>
      <c r="Q14" s="46">
        <f>P14*'Tier 1 Coefficients'!D$3</f>
        <v>9386743.742896013</v>
      </c>
      <c r="R14" s="46">
        <f>$I14*'T2 PC'!C30</f>
        <v>89759.16064618426</v>
      </c>
      <c r="S14" s="46">
        <f>$I14*'T2 PC'!D30</f>
        <v>17862072.968590669</v>
      </c>
      <c r="T14" s="46">
        <f>44.011*(P14/(12.011+1.008*'Tier 3 CO2 Tables'!B$3+16*'Tier 3 CO2 Tables'!C$3))</f>
        <v>9388161.4873219524</v>
      </c>
      <c r="U14" s="46">
        <f>I14*'Tier 3 CO2 Tables'!H$3/10000</f>
        <v>6507.5391468483585</v>
      </c>
      <c r="V14" s="46">
        <f>44.011*(U14/(12.011+1.008*'Tier 3 CO2 Tables'!B$6+16*'Tier 3 CO2 Tables'!C$6))</f>
        <v>20301.291030388009</v>
      </c>
      <c r="W14" s="46">
        <f>I14*'T3 Methane'!D$6</f>
        <v>128804395.52727443</v>
      </c>
      <c r="X14" s="46" cm="1">
        <f t="array" ref="X14">_xlfn.IFS(E14='Euro Age Table'!C$5,'Euro Age Table'!G$5,E14='Euro Age Table'!C$6,'Euro Age Table'!G$6,E14='Euro Age Table'!C$7,'Euro Age Table'!G$7,E14='Euro Age Table'!C$8,'Euro Age Table'!G$8,E14='Euro Age Table'!C$9,'Euro Age Table'!G$9,E14='Euro Age Table'!C$10,'Euro Age Table'!G$10,E14='Euro Age Table'!C$11,'Euro Age Table'!G$11)</f>
        <v>13</v>
      </c>
      <c r="Y14" s="46">
        <f>X14*'Eilat Car Data'!F$15</f>
        <v>190651.68329461073</v>
      </c>
      <c r="Z14" s="46">
        <f>('T3 N2O PC-Petrol'!D6*Y14+'T3 N2O PC-Petrol'!E6)*'T3 N2O PC-Petrol'!C6</f>
        <v>2.0083394490497017</v>
      </c>
      <c r="AA14" s="124">
        <f t="shared" si="3"/>
        <v>90133431.61966069</v>
      </c>
    </row>
    <row r="15" spans="1:27" ht="15.75" customHeight="1">
      <c r="A15" s="48" t="s">
        <v>51</v>
      </c>
      <c r="B15" s="49" t="s">
        <v>20</v>
      </c>
      <c r="C15" s="49" t="s">
        <v>52</v>
      </c>
      <c r="D15" s="49" t="s">
        <v>61</v>
      </c>
      <c r="E15" s="50" t="s">
        <v>59</v>
      </c>
      <c r="F15" s="97">
        <v>0.1433416283243634</v>
      </c>
      <c r="G15" s="99">
        <f t="shared" si="0"/>
        <v>3146.492083348101</v>
      </c>
      <c r="H15" s="46"/>
      <c r="I15" s="46">
        <f>G15*'Eilat Car Data'!F$15</f>
        <v>46144924.012575537</v>
      </c>
      <c r="J15" s="46">
        <f>I15*'Tier 1 Coefficients'!I$3</f>
        <v>3230144680.8802876</v>
      </c>
      <c r="K15" s="46">
        <f t="shared" si="1"/>
        <v>3230144.6808802877</v>
      </c>
      <c r="L15" s="46">
        <f>K15*'Tier 1 Coefficients'!D$3</f>
        <v>10236328.493709631</v>
      </c>
      <c r="M15" s="46">
        <f>K15*'Tier 1 Coefficients'!C$16</f>
        <v>28554478.978981741</v>
      </c>
      <c r="N15" s="46">
        <f>K15*'Tier 1 Coefficients'!C$40</f>
        <v>665409.80426133925</v>
      </c>
      <c r="O15" s="46">
        <f>I15*'Tier 2 FC'!D$6</f>
        <v>3045564984.8299856</v>
      </c>
      <c r="P15" s="46">
        <f t="shared" si="2"/>
        <v>3045564.9848299855</v>
      </c>
      <c r="Q15" s="46">
        <f>P15*'Tier 1 Coefficients'!D$3</f>
        <v>9651395.4369262252</v>
      </c>
      <c r="R15" s="46">
        <f>$I15*'T2 PC'!C31</f>
        <v>59988.401216348197</v>
      </c>
      <c r="S15" s="46">
        <f>$I15*'T2 PC'!D31</f>
        <v>18365679.757005066</v>
      </c>
      <c r="T15" s="46">
        <f>44.011*(P15/(12.011+1.008*'Tier 3 CO2 Tables'!B$3+16*'Tier 3 CO2 Tables'!C$3))</f>
        <v>9652853.1535165589</v>
      </c>
      <c r="U15" s="46">
        <f>I15*'Tier 3 CO2 Tables'!H$3/10000</f>
        <v>6691.0139818234529</v>
      </c>
      <c r="V15" s="46">
        <f>44.011*(U15/(12.011+1.008*'Tier 3 CO2 Tables'!B$6+16*'Tier 3 CO2 Tables'!C$6))</f>
        <v>20873.669611220019</v>
      </c>
      <c r="W15" s="46">
        <f>I15*'T3 Methane'!D$6</f>
        <v>132435931.9160918</v>
      </c>
      <c r="X15" s="46" cm="1">
        <f t="array" ref="X15">_xlfn.IFS(E15='Euro Age Table'!C$5,'Euro Age Table'!G$5,E15='Euro Age Table'!C$6,'Euro Age Table'!G$6,E15='Euro Age Table'!C$7,'Euro Age Table'!G$7,E15='Euro Age Table'!C$8,'Euro Age Table'!G$8,E15='Euro Age Table'!C$9,'Euro Age Table'!G$9,E15='Euro Age Table'!C$10,'Euro Age Table'!G$10,E15='Euro Age Table'!C$11,'Euro Age Table'!G$11)</f>
        <v>9</v>
      </c>
      <c r="Y15" s="46">
        <f>X15*'Eilat Car Data'!F$15</f>
        <v>131989.62689626895</v>
      </c>
      <c r="Z15" s="46">
        <f>('T3 N2O PC-Petrol'!D7*Y15+'T3 N2O PC-Petrol'!E7)*'T3 N2O PC-Petrol'!C7</f>
        <v>2.3144349068634686</v>
      </c>
      <c r="AA15" s="124">
        <f t="shared" si="3"/>
        <v>106799422.9092671</v>
      </c>
    </row>
    <row r="16" spans="1:27" ht="15.75" customHeight="1">
      <c r="A16" s="48" t="s">
        <v>51</v>
      </c>
      <c r="B16" s="49" t="s">
        <v>20</v>
      </c>
      <c r="C16" s="49" t="s">
        <v>52</v>
      </c>
      <c r="D16" s="49" t="s">
        <v>61</v>
      </c>
      <c r="E16" s="51" t="s">
        <v>60</v>
      </c>
      <c r="F16" s="97">
        <v>0.14825064391247786</v>
      </c>
      <c r="G16" s="99">
        <f t="shared" si="0"/>
        <v>3254.2498845228015</v>
      </c>
      <c r="H16" s="46"/>
      <c r="I16" s="46">
        <f>G16*'Eilat Car Data'!F$15</f>
        <v>47725247.565043435</v>
      </c>
      <c r="J16" s="46">
        <f>I16*'Tier 1 Coefficients'!I$3</f>
        <v>3340767329.5530405</v>
      </c>
      <c r="K16" s="46">
        <f t="shared" si="1"/>
        <v>3340767.3295530407</v>
      </c>
      <c r="L16" s="46">
        <f>K16*'Tier 1 Coefficients'!D$3</f>
        <v>10586891.667353585</v>
      </c>
      <c r="M16" s="46">
        <f>K16*'Tier 1 Coefficients'!C$16</f>
        <v>29532383.193248879</v>
      </c>
      <c r="N16" s="46">
        <f>K16*'Tier 1 Coefficients'!C$40</f>
        <v>688198.06988792634</v>
      </c>
      <c r="O16" s="46">
        <f>I16*'Tier 2 FC'!D$6</f>
        <v>3149866339.2928667</v>
      </c>
      <c r="P16" s="46">
        <f t="shared" si="2"/>
        <v>3149866.3392928666</v>
      </c>
      <c r="Q16" s="46">
        <f>P16*'Tier 1 Coefficients'!D$3</f>
        <v>9981926.429219095</v>
      </c>
      <c r="R16" s="46">
        <f>$I16*'T2 PC'!C32</f>
        <v>62042.82183455646</v>
      </c>
      <c r="S16" s="46">
        <f>$I16*'T2 PC'!D32</f>
        <v>18994648.530887287</v>
      </c>
      <c r="T16" s="46">
        <f>44.011*(P16/(12.011+1.008*'Tier 3 CO2 Tables'!B$3+16*'Tier 3 CO2 Tables'!C$3))</f>
        <v>9983434.0681770518</v>
      </c>
      <c r="U16" s="46">
        <f>I16*'Tier 3 CO2 Tables'!H$4/10000</f>
        <v>6108.8316883255602</v>
      </c>
      <c r="V16" s="46">
        <f>44.011*(U16/(12.011+1.008*'Tier 3 CO2 Tables'!B$6+16*'Tier 3 CO2 Tables'!C$6))</f>
        <v>19057.460456525416</v>
      </c>
      <c r="W16" s="46">
        <f>I16*'T3 Methane'!D$6</f>
        <v>136971460.51167467</v>
      </c>
      <c r="X16" s="46" cm="1">
        <f t="array" ref="X16">_xlfn.IFS(E16='Euro Age Table'!C$5,'Euro Age Table'!G$5,E16='Euro Age Table'!C$6,'Euro Age Table'!G$6,E16='Euro Age Table'!C$7,'Euro Age Table'!G$7,E16='Euro Age Table'!C$8,'Euro Age Table'!G$8,E16='Euro Age Table'!C$9,'Euro Age Table'!G$9,E16='Euro Age Table'!C$10,'Euro Age Table'!G$10,E16='Euro Age Table'!C$11,'Euro Age Table'!G$11)</f>
        <v>3</v>
      </c>
      <c r="Y16" s="46">
        <f>X16*'Eilat Car Data'!F$15</f>
        <v>43996.542298756322</v>
      </c>
      <c r="Z16" s="46">
        <f>('T3 N2O PC-Petrol'!D8*Y16+'T3 N2O PC-Petrol'!E8)*'T3 N2O PC-Petrol'!C8</f>
        <v>2.149078302287823</v>
      </c>
      <c r="AA16" s="124">
        <f t="shared" si="3"/>
        <v>102565294.01334961</v>
      </c>
    </row>
    <row r="17" spans="1:27" ht="15.75" customHeight="1">
      <c r="A17" s="48" t="s">
        <v>51</v>
      </c>
      <c r="B17" s="49" t="s">
        <v>20</v>
      </c>
      <c r="C17" s="49" t="s">
        <v>52</v>
      </c>
      <c r="D17" s="52" t="s">
        <v>62</v>
      </c>
      <c r="E17" s="50" t="s">
        <v>54</v>
      </c>
      <c r="F17" s="97">
        <v>1.3473792340913092E-3</v>
      </c>
      <c r="G17" s="99">
        <f t="shared" si="0"/>
        <v>29.576321567538326</v>
      </c>
      <c r="H17" s="46"/>
      <c r="I17" s="46">
        <f>G17*'Eilat Car Data'!F$15</f>
        <v>433751.96096260624</v>
      </c>
      <c r="J17" s="46">
        <f>I17*'Tier 1 Coefficients'!I$3</f>
        <v>30362637.267382436</v>
      </c>
      <c r="K17" s="46">
        <f t="shared" si="1"/>
        <v>30362.637267382437</v>
      </c>
      <c r="L17" s="46">
        <f>K17*'Tier 1 Coefficients'!D$3</f>
        <v>96219.197500334951</v>
      </c>
      <c r="M17" s="46">
        <f>K17*'Tier 1 Coefficients'!C$16</f>
        <v>268405.71344366076</v>
      </c>
      <c r="N17" s="46">
        <f>K17*'Tier 1 Coefficients'!C$40</f>
        <v>6254.7032770807818</v>
      </c>
      <c r="O17" s="46">
        <f>I17*'Tier 2 FC'!D7</f>
        <v>41206436.291447595</v>
      </c>
      <c r="P17" s="46">
        <f t="shared" si="2"/>
        <v>41206.436291447593</v>
      </c>
      <c r="Q17" s="46">
        <f>P17*'Tier 1 Coefficients'!D$3</f>
        <v>130583.19660759742</v>
      </c>
      <c r="R17" s="46">
        <f>$I17*'T2 PC'!C39</f>
        <v>4337.5196096260624</v>
      </c>
      <c r="S17" s="46">
        <f>$I17*'T2 PC'!D39</f>
        <v>287577.55011820793</v>
      </c>
      <c r="T17" s="46">
        <f>44.011*(P17/(12.011+1.008*'Tier 3 CO2 Tables'!B$3+16*'Tier 3 CO2 Tables'!C$3))</f>
        <v>130602.91948532611</v>
      </c>
      <c r="U17" s="46">
        <f>I17*'Tier 3 CO2 Tables'!H$3/10000</f>
        <v>62.8940343395779</v>
      </c>
      <c r="V17" s="46">
        <f>44.011*(U17/(12.011+1.008*'Tier 3 CO2 Tables'!B$6+16*'Tier 3 CO2 Tables'!C$6))</f>
        <v>196.20782393930969</v>
      </c>
      <c r="W17" s="46">
        <f>I17*'T3 Methane'!D2</f>
        <v>56821506.886101417</v>
      </c>
      <c r="X17" s="46" cm="1">
        <f t="array" ref="X17">_xlfn.IFS(E17='Euro Age Table'!C$5,'Euro Age Table'!G$5,E17='Euro Age Table'!C$6,'Euro Age Table'!G$6,E17='Euro Age Table'!C$7,'Euro Age Table'!G$7,E17='Euro Age Table'!C$8,'Euro Age Table'!G$8,E17='Euro Age Table'!C$9,'Euro Age Table'!G$9,E17='Euro Age Table'!C$10,'Euro Age Table'!G$10,E17='Euro Age Table'!C$11,'Euro Age Table'!G$11)</f>
        <v>27</v>
      </c>
      <c r="Y17" s="46">
        <f>X17*'Eilat Car Data'!F$15</f>
        <v>395968.88068880688</v>
      </c>
      <c r="Z17" s="46">
        <f>('T3 N2O PC-Petrol'!D2*Y17+'T3 N2O PC-Petrol'!E2)*'T3 N2O PC-Petrol'!C2</f>
        <v>10</v>
      </c>
      <c r="AA17" s="124">
        <f t="shared" si="3"/>
        <v>4337519.6096260622</v>
      </c>
    </row>
    <row r="18" spans="1:27" ht="15.75" customHeight="1">
      <c r="A18" s="48" t="s">
        <v>51</v>
      </c>
      <c r="B18" s="49" t="s">
        <v>20</v>
      </c>
      <c r="C18" s="49" t="s">
        <v>52</v>
      </c>
      <c r="D18" s="49" t="s">
        <v>62</v>
      </c>
      <c r="E18" s="50" t="s">
        <v>55</v>
      </c>
      <c r="F18" s="97">
        <v>8.5148092607193338E-4</v>
      </c>
      <c r="G18" s="99">
        <f t="shared" si="0"/>
        <v>18.69085780820501</v>
      </c>
      <c r="H18" s="46"/>
      <c r="I18" s="46">
        <f>G18*'Eilat Car Data'!F$15</f>
        <v>274111.03871957719</v>
      </c>
      <c r="J18" s="46">
        <f>I18*'Tier 1 Coefficients'!I$3</f>
        <v>19187772.710370403</v>
      </c>
      <c r="K18" s="46">
        <f t="shared" si="1"/>
        <v>19187.772710370402</v>
      </c>
      <c r="L18" s="46">
        <f>K18*'Tier 1 Coefficients'!D$3</f>
        <v>60806.051719163806</v>
      </c>
      <c r="M18" s="46">
        <f>K18*'Tier 1 Coefficients'!C$16</f>
        <v>169619.91075967436</v>
      </c>
      <c r="N18" s="46">
        <f>K18*'Tier 1 Coefficients'!C$40</f>
        <v>3952.6811783363028</v>
      </c>
      <c r="O18" s="46">
        <f>I18*'Tier 2 FC'!D$8</f>
        <v>23573549.329883639</v>
      </c>
      <c r="P18" s="46">
        <f t="shared" si="2"/>
        <v>23573.549329883637</v>
      </c>
      <c r="Q18" s="46">
        <f>P18*'Tier 1 Coefficients'!D$3</f>
        <v>74704.577826401248</v>
      </c>
      <c r="R18" s="46">
        <f>$I18*'T2 PC'!C40</f>
        <v>3015.2214259153488</v>
      </c>
      <c r="S18" s="46">
        <f>$I18*'T2 PC'!D40</f>
        <v>163370.17907686799</v>
      </c>
      <c r="T18" s="46">
        <f>44.011*(P18/(12.011+1.008*'Tier 3 CO2 Tables'!B$3+16*'Tier 3 CO2 Tables'!C$3))</f>
        <v>74715.860972261667</v>
      </c>
      <c r="U18" s="46">
        <f>I18*'Tier 3 CO2 Tables'!H$3/10000</f>
        <v>39.746100614338694</v>
      </c>
      <c r="V18" s="46">
        <f>44.011*(U18/(12.011+1.008*'Tier 3 CO2 Tables'!B$6+16*'Tier 3 CO2 Tables'!C$6))</f>
        <v>123.99420697846418</v>
      </c>
      <c r="W18" s="46">
        <f>I18*'T3 Methane'!D3</f>
        <v>7126887.0067090066</v>
      </c>
      <c r="X18" s="46" cm="1">
        <f t="array" ref="X18">_xlfn.IFS(E18='Euro Age Table'!C$5,'Euro Age Table'!G$5,E18='Euro Age Table'!C$6,'Euro Age Table'!G$6,E18='Euro Age Table'!C$7,'Euro Age Table'!G$7,E18='Euro Age Table'!C$8,'Euro Age Table'!G$8,E18='Euro Age Table'!C$9,'Euro Age Table'!G$9,E18='Euro Age Table'!C$10,'Euro Age Table'!G$10,E18='Euro Age Table'!C$11,'Euro Age Table'!G$11)</f>
        <v>23</v>
      </c>
      <c r="Y18" s="46">
        <f>X18*'Eilat Car Data'!F$15</f>
        <v>337306.8242904651</v>
      </c>
      <c r="Z18" s="46">
        <f>('T3 N2O PC-Petrol'!D3*Y18+'T3 N2O PC-Petrol'!E3)*'T3 N2O PC-Petrol'!C3</f>
        <v>28.238281643037674</v>
      </c>
      <c r="AA18" s="124">
        <f t="shared" si="3"/>
        <v>7740424.7128290255</v>
      </c>
    </row>
    <row r="19" spans="1:27" ht="15.75" customHeight="1">
      <c r="A19" s="48" t="s">
        <v>51</v>
      </c>
      <c r="B19" s="49" t="s">
        <v>20</v>
      </c>
      <c r="C19" s="49" t="s">
        <v>52</v>
      </c>
      <c r="D19" s="49" t="s">
        <v>62</v>
      </c>
      <c r="E19" s="50" t="s">
        <v>56</v>
      </c>
      <c r="F19" s="97">
        <v>1.2070635441244911E-3</v>
      </c>
      <c r="G19" s="99">
        <f t="shared" si="0"/>
        <v>26.496251857076704</v>
      </c>
      <c r="H19" s="46"/>
      <c r="I19" s="46">
        <f>G19*'Eilat Car Data'!F$15</f>
        <v>388581.15519612527</v>
      </c>
      <c r="J19" s="46">
        <f>I19*'Tier 1 Coefficients'!I$3</f>
        <v>27200680.863728769</v>
      </c>
      <c r="K19" s="46">
        <f t="shared" si="1"/>
        <v>27200.680863728769</v>
      </c>
      <c r="L19" s="46">
        <f>K19*'Tier 1 Coefficients'!D$3</f>
        <v>86198.957657156468</v>
      </c>
      <c r="M19" s="46">
        <f>K19*'Tier 1 Coefficients'!C$16</f>
        <v>240454.01883536231</v>
      </c>
      <c r="N19" s="46">
        <f>K19*'Tier 1 Coefficients'!C$40</f>
        <v>5603.3402579281264</v>
      </c>
      <c r="O19" s="46">
        <f>I19*'Tier 2 FC'!D$8</f>
        <v>33417979.346866772</v>
      </c>
      <c r="P19" s="46">
        <f t="shared" si="2"/>
        <v>33417.97934686677</v>
      </c>
      <c r="Q19" s="46">
        <f>P19*'Tier 1 Coefficients'!D$3</f>
        <v>105901.57655022079</v>
      </c>
      <c r="R19" s="46">
        <f>$I19*'T2 PC'!C41</f>
        <v>2331.4869311767516</v>
      </c>
      <c r="S19" s="46">
        <f>$I19*'T2 PC'!D41</f>
        <v>205948.01225394639</v>
      </c>
      <c r="T19" s="46">
        <f>44.011*(P19/(12.011+1.008*'Tier 3 CO2 Tables'!B$3+16*'Tier 3 CO2 Tables'!C$3))</f>
        <v>105917.57159322662</v>
      </c>
      <c r="U19" s="46">
        <f>I19*'Tier 3 CO2 Tables'!H$3/10000</f>
        <v>56.344267503438168</v>
      </c>
      <c r="V19" s="46">
        <f>44.011*(U19/(12.011+1.008*'Tier 3 CO2 Tables'!B$6+16*'Tier 3 CO2 Tables'!C$6))</f>
        <v>175.77479699608278</v>
      </c>
      <c r="W19" s="46">
        <f>I19*'T3 Methane'!D4</f>
        <v>6605879.6383341299</v>
      </c>
      <c r="X19" s="46" cm="1">
        <f t="array" ref="X19">_xlfn.IFS(E19='Euro Age Table'!C$5,'Euro Age Table'!G$5,E19='Euro Age Table'!C$6,'Euro Age Table'!G$6,E19='Euro Age Table'!C$7,'Euro Age Table'!G$7,E19='Euro Age Table'!C$8,'Euro Age Table'!G$8,E19='Euro Age Table'!C$9,'Euro Age Table'!G$9,E19='Euro Age Table'!C$10,'Euro Age Table'!G$10,E19='Euro Age Table'!C$11,'Euro Age Table'!G$11)</f>
        <v>18</v>
      </c>
      <c r="Y19" s="46">
        <f>X19*'Eilat Car Data'!F$15</f>
        <v>263979.2537925379</v>
      </c>
      <c r="Z19" s="46">
        <f>('T3 N2O PC-Petrol'!D4*Y19+'T3 N2O PC-Petrol'!E4)*'T3 N2O PC-Petrol'!C4</f>
        <v>13.376886309446494</v>
      </c>
      <c r="AA19" s="124">
        <f t="shared" si="3"/>
        <v>5198005.9350519516</v>
      </c>
    </row>
    <row r="20" spans="1:27" ht="15.75" customHeight="1">
      <c r="A20" s="48" t="s">
        <v>51</v>
      </c>
      <c r="B20" s="49" t="s">
        <v>20</v>
      </c>
      <c r="C20" s="49" t="s">
        <v>52</v>
      </c>
      <c r="D20" s="49" t="s">
        <v>62</v>
      </c>
      <c r="E20" s="50" t="s">
        <v>57</v>
      </c>
      <c r="F20" s="97">
        <v>4.0148298868352512E-3</v>
      </c>
      <c r="G20" s="99">
        <f t="shared" si="0"/>
        <v>88.129530845920598</v>
      </c>
      <c r="H20" s="46"/>
      <c r="I20" s="46">
        <f>G20*'Eilat Car Data'!F$15</f>
        <v>1292464.8772106986</v>
      </c>
      <c r="J20" s="46">
        <f>I20*'Tier 1 Coefficients'!I$3</f>
        <v>90472541.404748902</v>
      </c>
      <c r="K20" s="46">
        <f t="shared" si="1"/>
        <v>90472.541404748903</v>
      </c>
      <c r="L20" s="46">
        <f>K20*'Tier 1 Coefficients'!D$3</f>
        <v>286707.48371164926</v>
      </c>
      <c r="M20" s="46">
        <f>K20*'Tier 1 Coefficients'!C$16</f>
        <v>799777.26601798029</v>
      </c>
      <c r="N20" s="46">
        <f>K20*'Tier 1 Coefficients'!C$40</f>
        <v>18637.343529378271</v>
      </c>
      <c r="O20" s="46">
        <f>I20*'Tier 2 FC'!D$8</f>
        <v>111151979.44012007</v>
      </c>
      <c r="P20" s="46">
        <f t="shared" si="2"/>
        <v>111151.97944012008</v>
      </c>
      <c r="Q20" s="46">
        <f>P20*'Tier 1 Coefficients'!D$3</f>
        <v>352240.62284574052</v>
      </c>
      <c r="R20" s="46">
        <f>$I20*'T2 PC'!C42</f>
        <v>2584.9297544213973</v>
      </c>
      <c r="S20" s="46">
        <f>$I20*'T2 PC'!D42</f>
        <v>599703.7030257642</v>
      </c>
      <c r="T20" s="46">
        <f>44.011*(P20/(12.011+1.008*'Tier 3 CO2 Tables'!B$3+16*'Tier 3 CO2 Tables'!C$3))</f>
        <v>352293.82416808477</v>
      </c>
      <c r="U20" s="46">
        <f>I20*'Tier 3 CO2 Tables'!H$3/10000</f>
        <v>187.40740719555129</v>
      </c>
      <c r="V20" s="46">
        <f>44.011*(U20/(12.011+1.008*'Tier 3 CO2 Tables'!B$6+16*'Tier 3 CO2 Tables'!C$6))</f>
        <v>584.64685787866767</v>
      </c>
      <c r="W20" s="46">
        <f>I20*'T3 Methane'!D5</f>
        <v>3877394.6316320957</v>
      </c>
      <c r="X20" s="46" cm="1">
        <f t="array" ref="X20">_xlfn.IFS(E20='Euro Age Table'!C$5,'Euro Age Table'!G$5,E20='Euro Age Table'!C$6,'Euro Age Table'!G$6,E20='Euro Age Table'!C$7,'Euro Age Table'!G$7,E20='Euro Age Table'!C$8,'Euro Age Table'!G$8,E20='Euro Age Table'!C$9,'Euro Age Table'!G$9,E20='Euro Age Table'!C$10,'Euro Age Table'!G$10,E20='Euro Age Table'!C$11,'Euro Age Table'!G$11)</f>
        <v>16</v>
      </c>
      <c r="Y20" s="46">
        <f>X20*'Eilat Car Data'!F$15</f>
        <v>234648.22559336704</v>
      </c>
      <c r="Z20" s="46">
        <f>('T3 N2O PC-Petrol'!D5*Y20+'T3 N2O PC-Petrol'!E5)*'T3 N2O PC-Petrol'!C5</f>
        <v>1.642028982552048</v>
      </c>
      <c r="AA20" s="124">
        <f t="shared" si="3"/>
        <v>2122264.7873105411</v>
      </c>
    </row>
    <row r="21" spans="1:27" ht="12.5">
      <c r="A21" s="48" t="s">
        <v>51</v>
      </c>
      <c r="B21" s="49" t="s">
        <v>20</v>
      </c>
      <c r="C21" s="49" t="s">
        <v>52</v>
      </c>
      <c r="D21" s="49" t="s">
        <v>62</v>
      </c>
      <c r="E21" s="50" t="s">
        <v>58</v>
      </c>
      <c r="F21" s="97">
        <v>1.8734613934306692E-2</v>
      </c>
      <c r="G21" s="99">
        <f t="shared" si="0"/>
        <v>411.2435104719662</v>
      </c>
      <c r="H21" s="46"/>
      <c r="I21" s="46">
        <f>G21*'Eilat Car Data'!F$15</f>
        <v>6031097.5011896333</v>
      </c>
      <c r="J21" s="46">
        <f>I21*'Tier 1 Coefficients'!I$3</f>
        <v>422176825.0832743</v>
      </c>
      <c r="K21" s="46">
        <f t="shared" si="1"/>
        <v>422176.82508327428</v>
      </c>
      <c r="L21" s="46">
        <f>K21*'Tier 1 Coefficients'!D$3</f>
        <v>1337878.3586888963</v>
      </c>
      <c r="M21" s="46">
        <f>K21*'Tier 1 Coefficients'!C$16</f>
        <v>3732043.1337361448</v>
      </c>
      <c r="N21" s="46">
        <f>K21*'Tier 1 Coefficients'!C$40</f>
        <v>86968.425967154501</v>
      </c>
      <c r="O21" s="46">
        <f>I21*'Tier 2 FC'!D$8</f>
        <v>518674385.10230845</v>
      </c>
      <c r="P21" s="46">
        <f t="shared" si="2"/>
        <v>518674.38510230847</v>
      </c>
      <c r="Q21" s="46">
        <f>P21*'Tier 1 Coefficients'!D$3</f>
        <v>1643679.1263892155</v>
      </c>
      <c r="R21" s="46">
        <f>$I21*'T2 PC'!C43</f>
        <v>12062.195002379267</v>
      </c>
      <c r="S21" s="46">
        <f>$I21*'T2 PC'!D43</f>
        <v>2400376.8054734743</v>
      </c>
      <c r="T21" s="46">
        <f>44.011*(P21/(12.011+1.008*'Tier 3 CO2 Tables'!B$3+16*'Tier 3 CO2 Tables'!C$3))</f>
        <v>1643927.3825452689</v>
      </c>
      <c r="U21" s="46">
        <f>I21*'Tier 3 CO2 Tables'!H$3/10000</f>
        <v>874.50913767249676</v>
      </c>
      <c r="V21" s="46">
        <f>44.011*(U21/(12.011+1.008*'Tier 3 CO2 Tables'!B$6+16*'Tier 3 CO2 Tables'!C$6))</f>
        <v>2728.1686843514758</v>
      </c>
      <c r="W21" s="46">
        <f>I21*'T3 Methane'!D$6</f>
        <v>17309249.828414246</v>
      </c>
      <c r="X21" s="46" cm="1">
        <f t="array" ref="X21">_xlfn.IFS(E21='Euro Age Table'!C$5,'Euro Age Table'!G$5,E21='Euro Age Table'!C$6,'Euro Age Table'!G$6,E21='Euro Age Table'!C$7,'Euro Age Table'!G$7,E21='Euro Age Table'!C$8,'Euro Age Table'!G$8,E21='Euro Age Table'!C$9,'Euro Age Table'!G$9,E21='Euro Age Table'!C$10,'Euro Age Table'!G$10,E21='Euro Age Table'!C$11,'Euro Age Table'!G$11)</f>
        <v>13</v>
      </c>
      <c r="Y21" s="46">
        <f>X21*'Eilat Car Data'!F$15</f>
        <v>190651.68329461073</v>
      </c>
      <c r="Z21" s="46">
        <f>('T3 N2O PC-Petrol'!D6*Y21+'T3 N2O PC-Petrol'!E6)*'T3 N2O PC-Petrol'!C6</f>
        <v>2.0083394490497017</v>
      </c>
      <c r="AA21" s="124">
        <f t="shared" si="3"/>
        <v>12112491.032704221</v>
      </c>
    </row>
    <row r="22" spans="1:27" ht="12.5">
      <c r="A22" s="48" t="s">
        <v>51</v>
      </c>
      <c r="B22" s="49" t="s">
        <v>20</v>
      </c>
      <c r="C22" s="49" t="s">
        <v>52</v>
      </c>
      <c r="D22" s="49" t="s">
        <v>62</v>
      </c>
      <c r="E22" s="50" t="s">
        <v>59</v>
      </c>
      <c r="F22" s="97">
        <v>1.8403434044944017E-2</v>
      </c>
      <c r="G22" s="99">
        <f t="shared" si="0"/>
        <v>403.97378072056614</v>
      </c>
      <c r="H22" s="46"/>
      <c r="I22" s="46">
        <f>G22*'Eilat Car Data'!F$15</f>
        <v>5924483.1770202992</v>
      </c>
      <c r="J22" s="46">
        <f>I22*'Tier 1 Coefficients'!I$3</f>
        <v>414713822.39142096</v>
      </c>
      <c r="K22" s="46">
        <f t="shared" si="1"/>
        <v>414713.82239142095</v>
      </c>
      <c r="L22" s="46">
        <f>K22*'Tier 1 Coefficients'!D$3</f>
        <v>1314228.103158413</v>
      </c>
      <c r="M22" s="46">
        <f>K22*'Tier 1 Coefficients'!C$16</f>
        <v>3666070.1899401611</v>
      </c>
      <c r="N22" s="46">
        <f>K22*'Tier 1 Coefficients'!C$40</f>
        <v>85431.047412632717</v>
      </c>
      <c r="O22" s="46">
        <f>I22*'Tier 2 FC'!D$8</f>
        <v>509505553.22374576</v>
      </c>
      <c r="P22" s="46">
        <f t="shared" si="2"/>
        <v>509505.55322374578</v>
      </c>
      <c r="Q22" s="46">
        <f>P22*'Tier 1 Coefficients'!D$3</f>
        <v>1614623.0981660504</v>
      </c>
      <c r="R22" s="46">
        <f>$I22*'T2 PC'!C44</f>
        <v>7701.8281301263887</v>
      </c>
      <c r="S22" s="46">
        <f>$I22*'T2 PC'!D44</f>
        <v>2357944.3044540794</v>
      </c>
      <c r="T22" s="46">
        <f>44.011*(P22/(12.011+1.008*'Tier 3 CO2 Tables'!B$3+16*'Tier 3 CO2 Tables'!C$3))</f>
        <v>1614866.9657904487</v>
      </c>
      <c r="U22" s="46">
        <f>I22*'Tier 3 CO2 Tables'!H$3/10000</f>
        <v>859.0500606679434</v>
      </c>
      <c r="V22" s="46">
        <f>44.011*(U22/(12.011+1.008*'Tier 3 CO2 Tables'!B$6+16*'Tier 3 CO2 Tables'!C$6))</f>
        <v>2679.9416642370279</v>
      </c>
      <c r="W22" s="46">
        <f>I22*'T3 Methane'!D$6</f>
        <v>17003266.71804826</v>
      </c>
      <c r="X22" s="46" cm="1">
        <f t="array" ref="X22">_xlfn.IFS(E22='Euro Age Table'!C$5,'Euro Age Table'!G$5,E22='Euro Age Table'!C$6,'Euro Age Table'!G$6,E22='Euro Age Table'!C$7,'Euro Age Table'!G$7,E22='Euro Age Table'!C$8,'Euro Age Table'!G$8,E22='Euro Age Table'!C$9,'Euro Age Table'!G$9,E22='Euro Age Table'!C$10,'Euro Age Table'!G$10,E22='Euro Age Table'!C$11,'Euro Age Table'!G$11)</f>
        <v>9</v>
      </c>
      <c r="Y22" s="46">
        <f>X22*'Eilat Car Data'!F$15</f>
        <v>131989.62689626895</v>
      </c>
      <c r="Z22" s="46">
        <f>('T3 N2O PC-Petrol'!D7*Y22+'T3 N2O PC-Petrol'!E7)*'T3 N2O PC-Petrol'!C7</f>
        <v>2.3144349068634686</v>
      </c>
      <c r="AA22" s="124">
        <f t="shared" si="3"/>
        <v>13711830.670021163</v>
      </c>
    </row>
    <row r="23" spans="1:27" ht="12.5">
      <c r="A23" s="48" t="s">
        <v>51</v>
      </c>
      <c r="B23" s="49" t="s">
        <v>20</v>
      </c>
      <c r="C23" s="49" t="s">
        <v>52</v>
      </c>
      <c r="D23" s="49" t="s">
        <v>62</v>
      </c>
      <c r="E23" s="51" t="s">
        <v>60</v>
      </c>
      <c r="F23" s="97">
        <v>5.8095924802410524E-3</v>
      </c>
      <c r="G23" s="99">
        <f t="shared" si="0"/>
        <v>127.52636453377134</v>
      </c>
      <c r="H23" s="46"/>
      <c r="I23" s="46">
        <f>G23*'Eilat Car Data'!F$15</f>
        <v>1870239.6971388962</v>
      </c>
      <c r="J23" s="46">
        <f>I23*'Tier 1 Coefficients'!I$3</f>
        <v>130916778.79972273</v>
      </c>
      <c r="K23" s="46">
        <f t="shared" si="1"/>
        <v>130916.77879972273</v>
      </c>
      <c r="L23" s="46">
        <f>K23*'Tier 1 Coefficients'!D$3</f>
        <v>414875.27201632131</v>
      </c>
      <c r="M23" s="46">
        <f>K23*'Tier 1 Coefficients'!C$16</f>
        <v>1157304.3245895489</v>
      </c>
      <c r="N23" s="46">
        <f>K23*'Tier 1 Coefficients'!C$40</f>
        <v>26968.856432742879</v>
      </c>
      <c r="O23" s="46">
        <f>I23*'Tier 2 FC'!D$8</f>
        <v>160840613.95394507</v>
      </c>
      <c r="P23" s="46">
        <f t="shared" si="2"/>
        <v>160840.61395394508</v>
      </c>
      <c r="Q23" s="46">
        <f>P23*'Tier 1 Coefficients'!D$3</f>
        <v>509703.90562005196</v>
      </c>
      <c r="R23" s="46">
        <f>$I23*'T2 PC'!C45</f>
        <v>2431.3116062805648</v>
      </c>
      <c r="S23" s="46">
        <f>$I23*'T2 PC'!D45</f>
        <v>744355.39946128079</v>
      </c>
      <c r="T23" s="46">
        <f>44.011*(P23/(12.011+1.008*'Tier 3 CO2 Tables'!B$3+16*'Tier 3 CO2 Tables'!C$3))</f>
        <v>509780.88970429508</v>
      </c>
      <c r="U23" s="46">
        <f>I23*'Tier 3 CO2 Tables'!H$4/10000</f>
        <v>239.39068123377874</v>
      </c>
      <c r="V23" s="46">
        <f>44.011*(U23/(12.011+1.008*'Tier 3 CO2 Tables'!B$6+16*'Tier 3 CO2 Tables'!C$6))</f>
        <v>746.81685042855054</v>
      </c>
      <c r="W23" s="46">
        <f>I23*'T3 Methane'!D$6</f>
        <v>5367587.9307886325</v>
      </c>
      <c r="X23" s="46" cm="1">
        <f t="array" ref="X23">_xlfn.IFS(E23='Euro Age Table'!C$5,'Euro Age Table'!G$5,E23='Euro Age Table'!C$6,'Euro Age Table'!G$6,E23='Euro Age Table'!C$7,'Euro Age Table'!G$7,E23='Euro Age Table'!C$8,'Euro Age Table'!G$8,E23='Euro Age Table'!C$9,'Euro Age Table'!G$9,E23='Euro Age Table'!C$10,'Euro Age Table'!G$10,E23='Euro Age Table'!C$11,'Euro Age Table'!G$11)</f>
        <v>3</v>
      </c>
      <c r="Y23" s="46">
        <f>X23*'Eilat Car Data'!F$15</f>
        <v>43996.542298756322</v>
      </c>
      <c r="Z23" s="46">
        <f>('T3 N2O PC-Petrol'!D8*Y23+'T3 N2O PC-Petrol'!E8)*'T3 N2O PC-Petrol'!C8</f>
        <v>2.149078302287823</v>
      </c>
      <c r="AA23" s="124">
        <f t="shared" si="3"/>
        <v>4019291.5531985513</v>
      </c>
    </row>
    <row r="24" spans="1:27" ht="12.5">
      <c r="A24" s="48" t="s">
        <v>51</v>
      </c>
      <c r="B24" s="52" t="s">
        <v>22</v>
      </c>
      <c r="C24" s="49" t="s">
        <v>52</v>
      </c>
      <c r="D24" s="52" t="s">
        <v>53</v>
      </c>
      <c r="E24" s="50" t="s">
        <v>54</v>
      </c>
      <c r="F24" s="97">
        <v>9.0057689212657579E-6</v>
      </c>
      <c r="G24" s="99">
        <f t="shared" si="0"/>
        <v>0.19768563359070465</v>
      </c>
      <c r="H24" s="76" t="s">
        <v>167</v>
      </c>
      <c r="I24" s="46">
        <f>G24*'Eilat Car Data'!F$15</f>
        <v>2899.1614467099603</v>
      </c>
      <c r="J24" s="46">
        <f>I24*'Tier 1 Coefficients'!I$4</f>
        <v>173949.68680259763</v>
      </c>
      <c r="K24" s="46">
        <f t="shared" si="1"/>
        <v>173.94968680259763</v>
      </c>
      <c r="L24" s="46">
        <f>K24*'Tier 1 Coefficients'!D$4</f>
        <v>551.24655747743191</v>
      </c>
      <c r="M24" s="46">
        <f>K24*'Tier 1 Coefficients'!C$17</f>
        <v>1520.3202626547034</v>
      </c>
      <c r="N24" s="46">
        <f>K24*'Tier 1 Coefficients'!C$41</f>
        <v>15.133622751825992</v>
      </c>
      <c r="O24" s="46">
        <f>I24*'Tier 2 FC'!D$9</f>
        <v>110168.13497497849</v>
      </c>
      <c r="P24" s="46">
        <f t="shared" si="2"/>
        <v>110.16813497497849</v>
      </c>
      <c r="Q24" s="46">
        <f>P24*'Tier 1 Coefficients'!D$4</f>
        <v>349.1228197357068</v>
      </c>
      <c r="R24" s="46"/>
      <c r="S24" s="46"/>
      <c r="T24" s="46">
        <f>44.011*(P24/(12.011+1.008*'Tier 3 CO2 Tables'!B$4+16*'Tier 3 CO2 Tables'!C$4))</f>
        <v>349.17555015481759</v>
      </c>
      <c r="U24" s="46">
        <f>P24*'Tier 3 CO2 Tables'!H$5/10000</f>
        <v>1.6415052111271793E-2</v>
      </c>
      <c r="V24" s="46">
        <f>44.011*(U24/(12.011+1.008*'Tier 3 CO2 Tables'!B$6+16*'Tier 3 CO2 Tables'!C$6))</f>
        <v>5.1209334691641045E-2</v>
      </c>
      <c r="W24" s="46">
        <f>I24*'T3 Methane'!D7</f>
        <v>81176.520507878886</v>
      </c>
      <c r="X24" s="46" cm="1">
        <f t="array" ref="X24">_xlfn.IFS(E24='Euro Age Table'!C$5,'Euro Age Table'!G$5,E24='Euro Age Table'!C$6,'Euro Age Table'!G$6,E24='Euro Age Table'!C$7,'Euro Age Table'!G$7,E24='Euro Age Table'!C$8,'Euro Age Table'!G$8,E24='Euro Age Table'!C$9,'Euro Age Table'!G$9,E24='Euro Age Table'!C$10,'Euro Age Table'!G$10,E24='Euro Age Table'!C$11,'Euro Age Table'!G$11)</f>
        <v>27</v>
      </c>
      <c r="Y24" s="46">
        <f>X24*'Eilat Car Data'!F$15</f>
        <v>395968.88068880688</v>
      </c>
      <c r="Z24" s="46">
        <f>'T3 N2O PC-Diesel LPG'!B3</f>
        <v>0</v>
      </c>
      <c r="AA24" s="124">
        <f t="shared" si="3"/>
        <v>0</v>
      </c>
    </row>
    <row r="25" spans="1:27" ht="12.5">
      <c r="A25" s="48" t="s">
        <v>51</v>
      </c>
      <c r="B25" s="49" t="s">
        <v>22</v>
      </c>
      <c r="C25" s="49" t="s">
        <v>52</v>
      </c>
      <c r="D25" s="49" t="s">
        <v>53</v>
      </c>
      <c r="E25" s="50" t="s">
        <v>55</v>
      </c>
      <c r="F25" s="97">
        <v>2.0335607241567842E-6</v>
      </c>
      <c r="G25" s="99">
        <f t="shared" si="0"/>
        <v>4.4638691455965572E-2</v>
      </c>
      <c r="H25" s="76" t="s">
        <v>167</v>
      </c>
      <c r="I25" s="46">
        <f>G25*'Eilat Car Data'!F$15</f>
        <v>654.64935893450718</v>
      </c>
      <c r="J25" s="46">
        <f>I25*'Tier 1 Coefficients'!I$4</f>
        <v>39278.961536070434</v>
      </c>
      <c r="K25" s="46">
        <f t="shared" si="1"/>
        <v>39.278961536070433</v>
      </c>
      <c r="L25" s="46">
        <f>K25*'Tier 1 Coefficients'!D$4</f>
        <v>124.4750291078072</v>
      </c>
      <c r="M25" s="46">
        <f>K25*'Tier 1 Coefficients'!C$17</f>
        <v>343.29812382525557</v>
      </c>
      <c r="N25" s="46">
        <f>K25*'Tier 1 Coefficients'!C$41</f>
        <v>3.4172696536381273</v>
      </c>
      <c r="O25" s="46">
        <f>I25*'Tier 2 FC'!D$9</f>
        <v>24876.675639511272</v>
      </c>
      <c r="P25" s="46">
        <f t="shared" si="2"/>
        <v>24.876675639511273</v>
      </c>
      <c r="Q25" s="46">
        <f>P25*'Tier 1 Coefficients'!D$4</f>
        <v>78.834185101611226</v>
      </c>
      <c r="R25" s="46"/>
      <c r="S25" s="46"/>
      <c r="T25" s="46">
        <f>44.011*(P25/(12.011+1.008*'Tier 3 CO2 Tables'!B$4+16*'Tier 3 CO2 Tables'!C$4))</f>
        <v>78.846091970442686</v>
      </c>
      <c r="U25" s="46">
        <f>P25*'Tier 3 CO2 Tables'!H$5/10000</f>
        <v>3.7066246702871794E-3</v>
      </c>
      <c r="V25" s="46">
        <f>44.011*(U25/(12.011+1.008*'Tier 3 CO2 Tables'!B$6+16*'Tier 3 CO2 Tables'!C$6))</f>
        <v>1.1563398156177013E-2</v>
      </c>
      <c r="W25" s="46">
        <f>I25*'T3 Methane'!D8</f>
        <v>7201.1429482795793</v>
      </c>
      <c r="X25" s="46" cm="1">
        <f t="array" ref="X25">_xlfn.IFS(E25='Euro Age Table'!C$5,'Euro Age Table'!G$5,E25='Euro Age Table'!C$6,'Euro Age Table'!G$6,E25='Euro Age Table'!C$7,'Euro Age Table'!G$7,E25='Euro Age Table'!C$8,'Euro Age Table'!G$8,E25='Euro Age Table'!C$9,'Euro Age Table'!G$9,E25='Euro Age Table'!C$10,'Euro Age Table'!G$10,E25='Euro Age Table'!C$11,'Euro Age Table'!G$11)</f>
        <v>23</v>
      </c>
      <c r="Y25" s="46">
        <f>X25*'Eilat Car Data'!F$15</f>
        <v>337306.8242904651</v>
      </c>
      <c r="Z25" s="46">
        <f>'T3 N2O PC-Diesel LPG'!B4</f>
        <v>2</v>
      </c>
      <c r="AA25" s="124">
        <f t="shared" si="3"/>
        <v>1309.2987178690144</v>
      </c>
    </row>
    <row r="26" spans="1:27" ht="12.5">
      <c r="A26" s="48" t="s">
        <v>51</v>
      </c>
      <c r="B26" s="49" t="s">
        <v>22</v>
      </c>
      <c r="C26" s="49" t="s">
        <v>52</v>
      </c>
      <c r="D26" s="49" t="s">
        <v>53</v>
      </c>
      <c r="E26" s="50" t="s">
        <v>56</v>
      </c>
      <c r="F26" s="97">
        <v>5.8101734975908114E-7</v>
      </c>
      <c r="G26" s="99">
        <f t="shared" si="0"/>
        <v>1.2753911844561591E-2</v>
      </c>
      <c r="H26" s="76" t="s">
        <v>167</v>
      </c>
      <c r="I26" s="46">
        <f>G26*'Eilat Car Data'!F$15</f>
        <v>187.04267398128775</v>
      </c>
      <c r="J26" s="46">
        <f>I26*'Tier 1 Coefficients'!I$4</f>
        <v>11222.560438877264</v>
      </c>
      <c r="K26" s="46">
        <f t="shared" si="1"/>
        <v>11.222560438877265</v>
      </c>
      <c r="L26" s="46">
        <f>K26*'Tier 1 Coefficients'!D$4</f>
        <v>35.564294030802053</v>
      </c>
      <c r="M26" s="46">
        <f>K26*'Tier 1 Coefficients'!C$17</f>
        <v>98.085178235787296</v>
      </c>
      <c r="N26" s="46">
        <f>K26*'Tier 1 Coefficients'!C$41</f>
        <v>0.97636275818232199</v>
      </c>
      <c r="O26" s="46">
        <f>I26*'Tier 2 FC'!D$9</f>
        <v>7107.6216112889342</v>
      </c>
      <c r="P26" s="46">
        <f t="shared" si="2"/>
        <v>7.1076216112889341</v>
      </c>
      <c r="Q26" s="46">
        <f>P26*'Tier 1 Coefficients'!D$4</f>
        <v>22.524052886174633</v>
      </c>
      <c r="R26" s="46"/>
      <c r="S26" s="46"/>
      <c r="T26" s="46">
        <f>44.011*(P26/(12.011+1.008*'Tier 3 CO2 Tables'!B$4+16*'Tier 3 CO2 Tables'!C$4))</f>
        <v>22.527454848697907</v>
      </c>
      <c r="U26" s="46">
        <f>P26*'Tier 3 CO2 Tables'!H$5/10000</f>
        <v>1.0590356200820513E-3</v>
      </c>
      <c r="V26" s="46">
        <f>44.011*(U26/(12.011+1.008*'Tier 3 CO2 Tables'!B$6+16*'Tier 3 CO2 Tables'!C$6))</f>
        <v>3.3038280446220035E-3</v>
      </c>
      <c r="W26" s="46">
        <f>I26*'T3 Methane'!D9</f>
        <v>1309.2987178690141</v>
      </c>
      <c r="X26" s="46" cm="1">
        <f t="array" ref="X26">_xlfn.IFS(E26='Euro Age Table'!C$5,'Euro Age Table'!G$5,E26='Euro Age Table'!C$6,'Euro Age Table'!G$6,E26='Euro Age Table'!C$7,'Euro Age Table'!G$7,E26='Euro Age Table'!C$8,'Euro Age Table'!G$8,E26='Euro Age Table'!C$9,'Euro Age Table'!G$9,E26='Euro Age Table'!C$10,'Euro Age Table'!G$10,E26='Euro Age Table'!C$11,'Euro Age Table'!G$11)</f>
        <v>18</v>
      </c>
      <c r="Y26" s="46">
        <f>X26*'Eilat Car Data'!F$15</f>
        <v>263979.2537925379</v>
      </c>
      <c r="Z26" s="46">
        <f>'T3 N2O PC-Diesel LPG'!B5</f>
        <v>4</v>
      </c>
      <c r="AA26" s="124">
        <f t="shared" si="3"/>
        <v>748.17069592515099</v>
      </c>
    </row>
    <row r="27" spans="1:27" ht="12.5">
      <c r="A27" s="48" t="s">
        <v>51</v>
      </c>
      <c r="B27" s="49" t="s">
        <v>22</v>
      </c>
      <c r="C27" s="49" t="s">
        <v>52</v>
      </c>
      <c r="D27" s="49" t="s">
        <v>53</v>
      </c>
      <c r="E27" s="50" t="s">
        <v>57</v>
      </c>
      <c r="F27" s="97">
        <v>1.3363399044458866E-5</v>
      </c>
      <c r="G27" s="99">
        <f t="shared" si="0"/>
        <v>0.29333997242491655</v>
      </c>
      <c r="H27" s="76" t="s">
        <v>167</v>
      </c>
      <c r="I27" s="46">
        <f>G27*'Eilat Car Data'!F$15</f>
        <v>4301.9815015696176</v>
      </c>
      <c r="J27" s="46">
        <f>I27*'Tier 1 Coefficients'!I$4</f>
        <v>258118.89009417707</v>
      </c>
      <c r="K27" s="46">
        <f t="shared" si="1"/>
        <v>258.11889009417706</v>
      </c>
      <c r="L27" s="46">
        <f>K27*'Tier 1 Coefficients'!D$4</f>
        <v>817.97876270844711</v>
      </c>
      <c r="M27" s="46">
        <f>K27*'Tier 1 Coefficients'!C$17</f>
        <v>2255.9590994231075</v>
      </c>
      <c r="N27" s="46">
        <f>K27*'Tier 1 Coefficients'!C$41</f>
        <v>22.456343438193404</v>
      </c>
      <c r="O27" s="46">
        <f>I27*'Tier 2 FC'!D$9</f>
        <v>163475.29705964547</v>
      </c>
      <c r="P27" s="46">
        <f t="shared" si="2"/>
        <v>163.47529705964547</v>
      </c>
      <c r="Q27" s="46">
        <f>P27*'Tier 1 Coefficients'!D$4</f>
        <v>518.05321638201656</v>
      </c>
      <c r="R27" s="46"/>
      <c r="S27" s="46"/>
      <c r="T27" s="46">
        <f>44.011*(P27/(12.011+1.008*'Tier 3 CO2 Tables'!B$4+16*'Tier 3 CO2 Tables'!C$4))</f>
        <v>518.13146152005174</v>
      </c>
      <c r="U27" s="46">
        <f>P27*'Tier 3 CO2 Tables'!H$5/10000</f>
        <v>2.4357819261887174E-2</v>
      </c>
      <c r="V27" s="46">
        <f>44.011*(U27/(12.011+1.008*'Tier 3 CO2 Tables'!B$6+16*'Tier 3 CO2 Tables'!C$6))</f>
        <v>7.5988045026306072E-2</v>
      </c>
      <c r="W27" s="46">
        <f>I27*'T3 Methane'!D10</f>
        <v>12905.944504708852</v>
      </c>
      <c r="X27" s="46" cm="1">
        <f t="array" ref="X27">_xlfn.IFS(E27='Euro Age Table'!C$5,'Euro Age Table'!G$5,E27='Euro Age Table'!C$6,'Euro Age Table'!G$6,E27='Euro Age Table'!C$7,'Euro Age Table'!G$7,E27='Euro Age Table'!C$8,'Euro Age Table'!G$8,E27='Euro Age Table'!C$9,'Euro Age Table'!G$9,E27='Euro Age Table'!C$10,'Euro Age Table'!G$10,E27='Euro Age Table'!C$11,'Euro Age Table'!G$11)</f>
        <v>16</v>
      </c>
      <c r="Y27" s="46">
        <f>X27*'Eilat Car Data'!F$15</f>
        <v>234648.22559336704</v>
      </c>
      <c r="Z27" s="46">
        <f>'T3 N2O PC-Diesel LPG'!B6</f>
        <v>9</v>
      </c>
      <c r="AA27" s="124">
        <f t="shared" si="3"/>
        <v>38717.833514126556</v>
      </c>
    </row>
    <row r="28" spans="1:27" ht="12.5">
      <c r="A28" s="48" t="s">
        <v>51</v>
      </c>
      <c r="B28" s="49" t="s">
        <v>22</v>
      </c>
      <c r="C28" s="49" t="s">
        <v>52</v>
      </c>
      <c r="D28" s="49" t="s">
        <v>53</v>
      </c>
      <c r="E28" s="50" t="s">
        <v>58</v>
      </c>
      <c r="F28" s="97">
        <v>2.8469850138194977E-5</v>
      </c>
      <c r="G28" s="99">
        <f t="shared" si="0"/>
        <v>0.62494168038351794</v>
      </c>
      <c r="H28" s="46"/>
      <c r="I28" s="46">
        <f>G28*'Eilat Car Data'!F$15</f>
        <v>9165.0910250831002</v>
      </c>
      <c r="J28" s="46">
        <f>I28*'Tier 1 Coefficients'!I$4</f>
        <v>549905.46150498604</v>
      </c>
      <c r="K28" s="46">
        <f t="shared" si="1"/>
        <v>549.90546150498608</v>
      </c>
      <c r="L28" s="46">
        <f>K28*'Tier 1 Coefficients'!D$4</f>
        <v>1742.650407509301</v>
      </c>
      <c r="M28" s="46">
        <f>K28*'Tier 1 Coefficients'!C$17</f>
        <v>4806.1737335535781</v>
      </c>
      <c r="N28" s="46">
        <f>K28*'Tier 1 Coefficients'!C$41</f>
        <v>47.841775150933785</v>
      </c>
      <c r="O28" s="46">
        <f>I28*'Tier 2 FC'!D$9</f>
        <v>348273.45895315782</v>
      </c>
      <c r="P28" s="46">
        <f t="shared" si="2"/>
        <v>348.27345895315784</v>
      </c>
      <c r="Q28" s="46">
        <f>P28*'Tier 1 Coefficients'!D$4</f>
        <v>1103.6785914225572</v>
      </c>
      <c r="R28" s="46">
        <f>$I28*'T2 PC'!C48</f>
        <v>9.1650910250831004</v>
      </c>
      <c r="S28" s="46">
        <f>$I28*'T2 PC'!D48</f>
        <v>3647.7062279830739</v>
      </c>
      <c r="T28" s="46">
        <f>44.011*(P28/(12.011+1.008*'Tier 3 CO2 Tables'!B$4+16*'Tier 3 CO2 Tables'!C$4))</f>
        <v>1103.8452875861976</v>
      </c>
      <c r="U28" s="46">
        <f>P28*'Tier 3 CO2 Tables'!H$5/10000</f>
        <v>5.1892745384020521E-2</v>
      </c>
      <c r="V28" s="46">
        <f>44.011*(U28/(12.011+1.008*'Tier 3 CO2 Tables'!B$6+16*'Tier 3 CO2 Tables'!C$6))</f>
        <v>0.1618875741864782</v>
      </c>
      <c r="W28" s="46">
        <f>I28*'T3 Methane'!D11</f>
        <v>10081.600127591411</v>
      </c>
      <c r="X28" s="46" cm="1">
        <f t="array" ref="X28">_xlfn.IFS(E28='Euro Age Table'!C$5,'Euro Age Table'!G$5,E28='Euro Age Table'!C$6,'Euro Age Table'!G$6,E28='Euro Age Table'!C$7,'Euro Age Table'!G$7,E28='Euro Age Table'!C$8,'Euro Age Table'!G$8,E28='Euro Age Table'!C$9,'Euro Age Table'!G$9,E28='Euro Age Table'!C$10,'Euro Age Table'!G$10,E28='Euro Age Table'!C$11,'Euro Age Table'!G$11)</f>
        <v>13</v>
      </c>
      <c r="Y28" s="46">
        <f>X28*'Eilat Car Data'!F$15</f>
        <v>190651.68329461073</v>
      </c>
      <c r="Z28" s="46">
        <f>'T3 N2O PC-Diesel LPG'!B6</f>
        <v>9</v>
      </c>
      <c r="AA28" s="124">
        <f t="shared" si="3"/>
        <v>82485.819225747895</v>
      </c>
    </row>
    <row r="29" spans="1:27" ht="12.5">
      <c r="A29" s="48" t="s">
        <v>51</v>
      </c>
      <c r="B29" s="49" t="s">
        <v>22</v>
      </c>
      <c r="C29" s="49" t="s">
        <v>52</v>
      </c>
      <c r="D29" s="49" t="s">
        <v>53</v>
      </c>
      <c r="E29" s="50" t="s">
        <v>59</v>
      </c>
      <c r="F29" s="97">
        <v>5.7898378903492435E-4</v>
      </c>
      <c r="G29" s="99">
        <f t="shared" si="0"/>
        <v>12.709273153105624</v>
      </c>
      <c r="H29" s="46"/>
      <c r="I29" s="46">
        <f>G29*'Eilat Car Data'!F$15</f>
        <v>186388.02462235323</v>
      </c>
      <c r="J29" s="46">
        <f>I29*'Tier 1 Coefficients'!I$4</f>
        <v>11183281.477341194</v>
      </c>
      <c r="K29" s="46">
        <f t="shared" si="1"/>
        <v>11183.281477341194</v>
      </c>
      <c r="L29" s="46">
        <f>K29*'Tier 1 Coefficients'!D$4</f>
        <v>35439.819001694246</v>
      </c>
      <c r="M29" s="46">
        <f>K29*'Tier 1 Coefficients'!C$17</f>
        <v>97741.880111962033</v>
      </c>
      <c r="N29" s="46">
        <f>K29*'Tier 1 Coefficients'!C$41</f>
        <v>972.94548852868377</v>
      </c>
      <c r="O29" s="46">
        <f>I29*'Tier 2 FC'!D$9</f>
        <v>7082744.9356494229</v>
      </c>
      <c r="P29" s="46">
        <f t="shared" si="2"/>
        <v>7082.7449356494226</v>
      </c>
      <c r="Q29" s="46">
        <f>P29*'Tier 1 Coefficients'!D$4</f>
        <v>22445.218701073019</v>
      </c>
      <c r="R29" s="46">
        <f>$I29*'T2 PC'!C49</f>
        <v>745.55209848941297</v>
      </c>
      <c r="S29" s="46">
        <f>$I29*'T2 PC'!D49</f>
        <v>74182.433799696591</v>
      </c>
      <c r="T29" s="46">
        <f>44.011*(P29/(12.011+1.008*'Tier 3 CO2 Tables'!B$4+16*'Tier 3 CO2 Tables'!C$4))</f>
        <v>22448.608756727463</v>
      </c>
      <c r="U29" s="46">
        <f>P29*'Tier 3 CO2 Tables'!H$5/10000</f>
        <v>1.0553289954117639</v>
      </c>
      <c r="V29" s="46">
        <f>44.011*(U29/(12.011+1.008*'Tier 3 CO2 Tables'!B$6+16*'Tier 3 CO2 Tables'!C$6))</f>
        <v>3.2922646464658261</v>
      </c>
      <c r="W29" s="46">
        <f>I29*'T3 Methane'!D$12</f>
        <v>13979.101846676493</v>
      </c>
      <c r="X29" s="46" cm="1">
        <f t="array" ref="X29">_xlfn.IFS(E29='Euro Age Table'!C$5,'Euro Age Table'!G$5,E29='Euro Age Table'!C$6,'Euro Age Table'!G$6,E29='Euro Age Table'!C$7,'Euro Age Table'!G$7,E29='Euro Age Table'!C$8,'Euro Age Table'!G$8,E29='Euro Age Table'!C$9,'Euro Age Table'!G$9,E29='Euro Age Table'!C$10,'Euro Age Table'!G$10,E29='Euro Age Table'!C$11,'Euro Age Table'!G$11)</f>
        <v>9</v>
      </c>
      <c r="Y29" s="46">
        <f>X29*'Eilat Car Data'!F$15</f>
        <v>131989.62689626895</v>
      </c>
      <c r="Z29" s="46">
        <f>'T3 N2O PC-Diesel LPG'!B6</f>
        <v>9</v>
      </c>
      <c r="AA29" s="124">
        <f t="shared" si="3"/>
        <v>1677492.2216011791</v>
      </c>
    </row>
    <row r="30" spans="1:27" ht="12.5">
      <c r="A30" s="48" t="s">
        <v>51</v>
      </c>
      <c r="B30" s="49" t="s">
        <v>22</v>
      </c>
      <c r="C30" s="49" t="s">
        <v>52</v>
      </c>
      <c r="D30" s="49" t="s">
        <v>53</v>
      </c>
      <c r="E30" s="51" t="s">
        <v>60</v>
      </c>
      <c r="F30" s="97">
        <v>2.0074149434176253E-4</v>
      </c>
      <c r="G30" s="99">
        <f t="shared" si="0"/>
        <v>4.406476542296029</v>
      </c>
      <c r="H30" s="46"/>
      <c r="I30" s="46">
        <f>G30*'Eilat Car Data'!F$15</f>
        <v>64623.243860534909</v>
      </c>
      <c r="J30" s="46">
        <f>I30*'Tier 1 Coefficients'!I$4</f>
        <v>3877394.6316320947</v>
      </c>
      <c r="K30" s="46">
        <f t="shared" si="1"/>
        <v>3877.3946316320948</v>
      </c>
      <c r="L30" s="46">
        <f>K30*'Tier 1 Coefficients'!D$4</f>
        <v>12287.463587642109</v>
      </c>
      <c r="M30" s="46">
        <f>K30*'Tier 1 Coefficients'!C$17</f>
        <v>33888.429080464513</v>
      </c>
      <c r="N30" s="46">
        <f>K30*'Tier 1 Coefficients'!C$41</f>
        <v>337.33333295199225</v>
      </c>
      <c r="O30" s="46">
        <f>I30*'Tier 2 FC'!D$9</f>
        <v>2455683.2667003265</v>
      </c>
      <c r="P30" s="46">
        <f t="shared" si="2"/>
        <v>2455.6832667003264</v>
      </c>
      <c r="Q30" s="46">
        <f>P30*'Tier 1 Coefficients'!D$4</f>
        <v>7782.0602721733349</v>
      </c>
      <c r="R30" s="46">
        <f>$I30*'T2 PC'!C50</f>
        <v>258.49297544213965</v>
      </c>
      <c r="S30" s="46">
        <f>$I30*'T2 PC'!D50</f>
        <v>25720.051056492895</v>
      </c>
      <c r="T30" s="46">
        <f>44.011*(P30/(12.011+1.008*'Tier 3 CO2 Tables'!B$4+16*'Tier 3 CO2 Tables'!C$4))</f>
        <v>7783.235650225125</v>
      </c>
      <c r="U30" s="46">
        <f>P30*'Tier 3 CO2 Tables'!H$6/10000</f>
        <v>0.31432745813764179</v>
      </c>
      <c r="V30" s="46">
        <f>44.011*(U30/(12.011+1.008*'Tier 3 CO2 Tables'!B$6+16*'Tier 3 CO2 Tables'!C$6))</f>
        <v>0.98059390231787558</v>
      </c>
      <c r="W30" s="46">
        <f>I30*'T3 Methane'!D$12</f>
        <v>4846.743289540118</v>
      </c>
      <c r="X30" s="46" cm="1">
        <f t="array" ref="X30">_xlfn.IFS(E30='Euro Age Table'!C$5,'Euro Age Table'!G$5,E30='Euro Age Table'!C$6,'Euro Age Table'!G$6,E30='Euro Age Table'!C$7,'Euro Age Table'!G$7,E30='Euro Age Table'!C$8,'Euro Age Table'!G$8,E30='Euro Age Table'!C$9,'Euro Age Table'!G$9,E30='Euro Age Table'!C$10,'Euro Age Table'!G$10,E30='Euro Age Table'!C$11,'Euro Age Table'!G$11)</f>
        <v>3</v>
      </c>
      <c r="Y30" s="46">
        <f>X30*'Eilat Car Data'!F$15</f>
        <v>43996.542298756322</v>
      </c>
      <c r="Z30" s="46">
        <f>'T3 N2O PC-Diesel LPG'!B7</f>
        <v>11</v>
      </c>
      <c r="AA30" s="124">
        <f t="shared" si="3"/>
        <v>710855.68246588402</v>
      </c>
    </row>
    <row r="31" spans="1:27" ht="12.5">
      <c r="A31" s="48" t="s">
        <v>51</v>
      </c>
      <c r="B31" s="49" t="s">
        <v>22</v>
      </c>
      <c r="C31" s="49" t="s">
        <v>52</v>
      </c>
      <c r="D31" s="52" t="s">
        <v>61</v>
      </c>
      <c r="E31" s="50" t="s">
        <v>54</v>
      </c>
      <c r="F31" s="97">
        <v>2.0335607241567842E-6</v>
      </c>
      <c r="G31" s="99">
        <f t="shared" si="0"/>
        <v>4.4638691455965572E-2</v>
      </c>
      <c r="H31" s="46"/>
      <c r="I31" s="46">
        <f>G31*'Eilat Car Data'!F$15</f>
        <v>654.64935893450718</v>
      </c>
      <c r="J31" s="46">
        <f>I31*'Tier 1 Coefficients'!I$4</f>
        <v>39278.961536070434</v>
      </c>
      <c r="K31" s="46">
        <f t="shared" si="1"/>
        <v>39.278961536070433</v>
      </c>
      <c r="L31" s="46">
        <f>K31*'Tier 1 Coefficients'!D$4</f>
        <v>124.4750291078072</v>
      </c>
      <c r="M31" s="46">
        <f>K31*'Tier 1 Coefficients'!C$17</f>
        <v>343.29812382525557</v>
      </c>
      <c r="N31" s="46">
        <f>K31*'Tier 1 Coefficients'!C$41</f>
        <v>3.4172696536381273</v>
      </c>
      <c r="O31" s="46">
        <f>I31*'Tier 2 FC'!D$10</f>
        <v>41242.909612873955</v>
      </c>
      <c r="P31" s="46">
        <f t="shared" si="2"/>
        <v>41.242909612873952</v>
      </c>
      <c r="Q31" s="46">
        <f>P31*'Tier 1 Coefficients'!D$4</f>
        <v>130.69878056319754</v>
      </c>
      <c r="R31" s="46">
        <f>$I31*'T2 PC'!C53</f>
        <v>0</v>
      </c>
      <c r="S31" s="46">
        <f>$I31*'T2 PC'!D53</f>
        <v>434.03252497357829</v>
      </c>
      <c r="T31" s="46">
        <f>44.011*(P31/(12.011+1.008*'Tier 3 CO2 Tables'!B$4+16*'Tier 3 CO2 Tables'!C$4))</f>
        <v>130.71852089836551</v>
      </c>
      <c r="U31" s="46">
        <f>P31*'Tier 3 CO2 Tables'!H$5/10000</f>
        <v>6.1451935323182192E-3</v>
      </c>
      <c r="V31" s="46">
        <f>44.011*(U31/(12.011+1.008*'Tier 3 CO2 Tables'!B$6+16*'Tier 3 CO2 Tables'!C$6))</f>
        <v>1.9170896943135576E-2</v>
      </c>
      <c r="W31" s="46">
        <f>I31*'T3 Methane'!D7</f>
        <v>18330.1820501662</v>
      </c>
      <c r="X31" s="46" cm="1">
        <f t="array" ref="X31">_xlfn.IFS(E31='Euro Age Table'!C$5,'Euro Age Table'!G$5,E31='Euro Age Table'!C$6,'Euro Age Table'!G$6,E31='Euro Age Table'!C$7,'Euro Age Table'!G$7,E31='Euro Age Table'!C$8,'Euro Age Table'!G$8,E31='Euro Age Table'!C$9,'Euro Age Table'!G$9,E31='Euro Age Table'!C$10,'Euro Age Table'!G$10,E31='Euro Age Table'!C$11,'Euro Age Table'!G$11)</f>
        <v>27</v>
      </c>
      <c r="Y31" s="46">
        <f>X31*'Eilat Car Data'!F$15</f>
        <v>395968.88068880688</v>
      </c>
      <c r="Z31" s="46">
        <f>'T3 N2O PC-Diesel LPG'!B3</f>
        <v>0</v>
      </c>
      <c r="AA31" s="124">
        <f t="shared" si="3"/>
        <v>0</v>
      </c>
    </row>
    <row r="32" spans="1:27" ht="12.5">
      <c r="A32" s="48" t="s">
        <v>51</v>
      </c>
      <c r="B32" s="49" t="s">
        <v>22</v>
      </c>
      <c r="C32" s="49" t="s">
        <v>52</v>
      </c>
      <c r="D32" s="49" t="s">
        <v>61</v>
      </c>
      <c r="E32" s="50" t="s">
        <v>55</v>
      </c>
      <c r="F32" s="97">
        <v>8.7152602463862176E-7</v>
      </c>
      <c r="G32" s="99">
        <f t="shared" si="0"/>
        <v>1.9130867766842388E-2</v>
      </c>
      <c r="H32" s="46"/>
      <c r="I32" s="46">
        <f>G32*'Eilat Car Data'!F$15</f>
        <v>280.56401097193168</v>
      </c>
      <c r="J32" s="46">
        <f>I32*'Tier 1 Coefficients'!I$4</f>
        <v>16833.840658315901</v>
      </c>
      <c r="K32" s="46">
        <f t="shared" si="1"/>
        <v>16.8338406583159</v>
      </c>
      <c r="L32" s="46">
        <f>K32*'Tier 1 Coefficients'!D$4</f>
        <v>53.34644104620309</v>
      </c>
      <c r="M32" s="46">
        <f>K32*'Tier 1 Coefficients'!C$17</f>
        <v>147.12776735368098</v>
      </c>
      <c r="N32" s="46">
        <f>K32*'Tier 1 Coefficients'!C$41</f>
        <v>1.4645441372734831</v>
      </c>
      <c r="O32" s="46">
        <f>I32*'Tier 2 FC'!D$11</f>
        <v>15431.020603456242</v>
      </c>
      <c r="P32" s="46">
        <f t="shared" si="2"/>
        <v>15.431020603456242</v>
      </c>
      <c r="Q32" s="46">
        <f>P32*'Tier 1 Coefficients'!D$4</f>
        <v>48.900904292352827</v>
      </c>
      <c r="R32" s="46">
        <f>$I32*'T2 PC'!C54</f>
        <v>0.84169203291579509</v>
      </c>
      <c r="S32" s="46">
        <f>$I32*'T2 PC'!D54</f>
        <v>167.21615053927127</v>
      </c>
      <c r="T32" s="46">
        <f>44.011*(P32/(12.011+1.008*'Tier 3 CO2 Tables'!B$4+16*'Tier 3 CO2 Tables'!C$4))</f>
        <v>48.908290132041522</v>
      </c>
      <c r="U32" s="46">
        <f>P32*'Tier 3 CO2 Tables'!H$5/10000</f>
        <v>2.2992220699149801E-3</v>
      </c>
      <c r="V32" s="46">
        <f>44.011*(U32/(12.011+1.008*'Tier 3 CO2 Tables'!B$6+16*'Tier 3 CO2 Tables'!C$6))</f>
        <v>7.172784570560929E-3</v>
      </c>
      <c r="W32" s="46">
        <f>I32*'T3 Methane'!D8</f>
        <v>3086.2041206912486</v>
      </c>
      <c r="X32" s="46" cm="1">
        <f t="array" ref="X32">_xlfn.IFS(E32='Euro Age Table'!C$5,'Euro Age Table'!G$5,E32='Euro Age Table'!C$6,'Euro Age Table'!G$6,E32='Euro Age Table'!C$7,'Euro Age Table'!G$7,E32='Euro Age Table'!C$8,'Euro Age Table'!G$8,E32='Euro Age Table'!C$9,'Euro Age Table'!G$9,E32='Euro Age Table'!C$10,'Euro Age Table'!G$10,E32='Euro Age Table'!C$11,'Euro Age Table'!G$11)</f>
        <v>23</v>
      </c>
      <c r="Y32" s="46">
        <f>X32*'Eilat Car Data'!F$15</f>
        <v>337306.8242904651</v>
      </c>
      <c r="Z32" s="46">
        <f>'T3 N2O PC-Diesel LPG'!B4</f>
        <v>2</v>
      </c>
      <c r="AA32" s="124">
        <f t="shared" si="3"/>
        <v>561.12802194386336</v>
      </c>
    </row>
    <row r="33" spans="1:27" ht="12.5">
      <c r="A33" s="48" t="s">
        <v>51</v>
      </c>
      <c r="B33" s="49" t="s">
        <v>22</v>
      </c>
      <c r="C33" s="49" t="s">
        <v>52</v>
      </c>
      <c r="D33" s="49" t="s">
        <v>61</v>
      </c>
      <c r="E33" s="50" t="s">
        <v>56</v>
      </c>
      <c r="F33" s="97">
        <v>1.7081910082916986E-4</v>
      </c>
      <c r="G33" s="99">
        <f t="shared" si="0"/>
        <v>3.7496500823011076</v>
      </c>
      <c r="H33" s="46"/>
      <c r="I33" s="46">
        <f>G33*'Eilat Car Data'!F$15</f>
        <v>54990.546150498601</v>
      </c>
      <c r="J33" s="46">
        <f>I33*'Tier 1 Coefficients'!I$4</f>
        <v>3299432.7690299163</v>
      </c>
      <c r="K33" s="46">
        <f t="shared" si="1"/>
        <v>3299.4327690299165</v>
      </c>
      <c r="L33" s="46">
        <f>K33*'Tier 1 Coefficients'!D$4</f>
        <v>10455.902445055806</v>
      </c>
      <c r="M33" s="46">
        <f>K33*'Tier 1 Coefficients'!C$17</f>
        <v>28837.042401321472</v>
      </c>
      <c r="N33" s="46">
        <f>K33*'Tier 1 Coefficients'!C$41</f>
        <v>287.05065090560271</v>
      </c>
      <c r="O33" s="46">
        <f>I33*'Tier 2 FC'!D$11</f>
        <v>3024480.038277423</v>
      </c>
      <c r="P33" s="46">
        <f t="shared" si="2"/>
        <v>3024.4800382774229</v>
      </c>
      <c r="Q33" s="46">
        <f>P33*'Tier 1 Coefficients'!D$4</f>
        <v>9584.5772413011528</v>
      </c>
      <c r="R33" s="46">
        <f>$I33*'T2 PC'!C55</f>
        <v>274.95273075249304</v>
      </c>
      <c r="S33" s="46">
        <f>$I33*'T2 PC'!D55</f>
        <v>29144.98945976426</v>
      </c>
      <c r="T33" s="46">
        <f>44.011*(P33/(12.011+1.008*'Tier 3 CO2 Tables'!B$4+16*'Tier 3 CO2 Tables'!C$4))</f>
        <v>9586.0248658801356</v>
      </c>
      <c r="U33" s="46">
        <f>P33*'Tier 3 CO2 Tables'!H$5/10000</f>
        <v>0.45064752570333605</v>
      </c>
      <c r="V33" s="46">
        <f>44.011*(U33/(12.011+1.008*'Tier 3 CO2 Tables'!B$6+16*'Tier 3 CO2 Tables'!C$6))</f>
        <v>1.405865775829942</v>
      </c>
      <c r="W33" s="46">
        <f>I33*'T3 Methane'!D9</f>
        <v>384933.8230534902</v>
      </c>
      <c r="X33" s="46" cm="1">
        <f t="array" ref="X33">_xlfn.IFS(E33='Euro Age Table'!C$5,'Euro Age Table'!G$5,E33='Euro Age Table'!C$6,'Euro Age Table'!G$6,E33='Euro Age Table'!C$7,'Euro Age Table'!G$7,E33='Euro Age Table'!C$8,'Euro Age Table'!G$8,E33='Euro Age Table'!C$9,'Euro Age Table'!G$9,E33='Euro Age Table'!C$10,'Euro Age Table'!G$10,E33='Euro Age Table'!C$11,'Euro Age Table'!G$11)</f>
        <v>18</v>
      </c>
      <c r="Y33" s="46">
        <f>X33*'Eilat Car Data'!F$15</f>
        <v>263979.2537925379</v>
      </c>
      <c r="Z33" s="46">
        <f>'T3 N2O PC-Diesel LPG'!B5</f>
        <v>4</v>
      </c>
      <c r="AA33" s="124">
        <f t="shared" si="3"/>
        <v>219962.18460199441</v>
      </c>
    </row>
    <row r="34" spans="1:27" ht="12.5">
      <c r="A34" s="48" t="s">
        <v>51</v>
      </c>
      <c r="B34" s="49" t="s">
        <v>22</v>
      </c>
      <c r="C34" s="49" t="s">
        <v>52</v>
      </c>
      <c r="D34" s="49" t="s">
        <v>61</v>
      </c>
      <c r="E34" s="50" t="s">
        <v>57</v>
      </c>
      <c r="F34" s="97">
        <v>2.5129000377080261E-3</v>
      </c>
      <c r="G34" s="99">
        <f t="shared" si="0"/>
        <v>55.160668727728883</v>
      </c>
      <c r="H34" s="46"/>
      <c r="I34" s="46">
        <f>G34*'Eilat Car Data'!F$15</f>
        <v>808959.56496906956</v>
      </c>
      <c r="J34" s="46">
        <f>I34*'Tier 1 Coefficients'!I$4</f>
        <v>48537573.898144171</v>
      </c>
      <c r="K34" s="46">
        <f t="shared" si="1"/>
        <v>48537.573898144168</v>
      </c>
      <c r="L34" s="46">
        <f>K34*'Tier 1 Coefficients'!D$4</f>
        <v>153815.57168321888</v>
      </c>
      <c r="M34" s="46">
        <f>K34*'Tier 1 Coefficients'!C$17</f>
        <v>424218.39586978004</v>
      </c>
      <c r="N34" s="46">
        <f>K34*'Tier 1 Coefficients'!C$41</f>
        <v>4222.7689291385423</v>
      </c>
      <c r="O34" s="46">
        <f>I34*'Tier 2 FC'!D$11</f>
        <v>44492776.073298827</v>
      </c>
      <c r="P34" s="46">
        <f t="shared" si="2"/>
        <v>44492.776073298824</v>
      </c>
      <c r="Q34" s="46">
        <f>P34*'Tier 1 Coefficients'!D$4</f>
        <v>140997.60737628397</v>
      </c>
      <c r="R34" s="46">
        <f>$I34*'T2 PC'!C56</f>
        <v>5662.7169547834874</v>
      </c>
      <c r="S34" s="46">
        <f>$I34*'T2 PC'!D56</f>
        <v>375357.23814564827</v>
      </c>
      <c r="T34" s="46">
        <f>44.011*(P34/(12.011+1.008*'Tier 3 CO2 Tables'!B$4+16*'Tier 3 CO2 Tables'!C$4))</f>
        <v>141018.90321405302</v>
      </c>
      <c r="U34" s="46">
        <f>P34*'Tier 3 CO2 Tables'!H$5/10000</f>
        <v>6.6294236349215252</v>
      </c>
      <c r="V34" s="46">
        <f>44.011*(U34/(12.011+1.008*'Tier 3 CO2 Tables'!B$6+16*'Tier 3 CO2 Tables'!C$6))</f>
        <v>20.681528845117345</v>
      </c>
      <c r="W34" s="46">
        <f>I34*'T3 Methane'!D10</f>
        <v>2426878.6949072089</v>
      </c>
      <c r="X34" s="46" cm="1">
        <f t="array" ref="X34">_xlfn.IFS(E34='Euro Age Table'!C$5,'Euro Age Table'!G$5,E34='Euro Age Table'!C$6,'Euro Age Table'!G$6,E34='Euro Age Table'!C$7,'Euro Age Table'!G$7,E34='Euro Age Table'!C$8,'Euro Age Table'!G$8,E34='Euro Age Table'!C$9,'Euro Age Table'!G$9,E34='Euro Age Table'!C$10,'Euro Age Table'!G$10,E34='Euro Age Table'!C$11,'Euro Age Table'!G$11)</f>
        <v>16</v>
      </c>
      <c r="Y34" s="46">
        <f>X34*'Eilat Car Data'!F$15</f>
        <v>234648.22559336704</v>
      </c>
      <c r="Z34" s="46">
        <f>'T3 N2O PC-Diesel LPG'!B6</f>
        <v>9</v>
      </c>
      <c r="AA34" s="124">
        <f t="shared" si="3"/>
        <v>7280636.0847216258</v>
      </c>
    </row>
    <row r="35" spans="1:27" ht="12.5">
      <c r="A35" s="48" t="s">
        <v>51</v>
      </c>
      <c r="B35" s="49" t="s">
        <v>22</v>
      </c>
      <c r="C35" s="49" t="s">
        <v>52</v>
      </c>
      <c r="D35" s="49" t="s">
        <v>61</v>
      </c>
      <c r="E35" s="50" t="s">
        <v>58</v>
      </c>
      <c r="F35" s="97">
        <v>6.200036139279155E-3</v>
      </c>
      <c r="G35" s="99">
        <f t="shared" si="0"/>
        <v>136.09699329331673</v>
      </c>
      <c r="H35" s="46"/>
      <c r="I35" s="46">
        <f>G35*'Eilat Car Data'!F$15</f>
        <v>1995932.3740543216</v>
      </c>
      <c r="J35" s="46">
        <f>I35*'Tier 1 Coefficients'!I$4</f>
        <v>119755942.4432593</v>
      </c>
      <c r="K35" s="46">
        <f t="shared" si="1"/>
        <v>119755.94244325929</v>
      </c>
      <c r="L35" s="46">
        <f>K35*'Tier 1 Coefficients'!D$4</f>
        <v>379506.5816026887</v>
      </c>
      <c r="M35" s="46">
        <f>K35*'Tier 1 Coefficients'!C$17</f>
        <v>1046666.9369540863</v>
      </c>
      <c r="N35" s="46">
        <f>K35*'Tier 1 Coefficients'!C$41</f>
        <v>10418.766992563558</v>
      </c>
      <c r="O35" s="46">
        <f>I35*'Tier 2 FC'!D$11</f>
        <v>109776280.57298769</v>
      </c>
      <c r="P35" s="46">
        <f t="shared" si="2"/>
        <v>109776.28057298769</v>
      </c>
      <c r="Q35" s="46">
        <f>P35*'Tier 1 Coefficients'!D$4</f>
        <v>347881.033135798</v>
      </c>
      <c r="R35" s="46">
        <f>$I35*'T2 PC'!C57</f>
        <v>19959.323740543216</v>
      </c>
      <c r="S35" s="46">
        <f>$I35*'T2 PC'!D57</f>
        <v>794381.08487362007</v>
      </c>
      <c r="T35" s="46">
        <f>44.011*(P35/(12.011+1.008*'Tier 3 CO2 Tables'!B$4+16*'Tier 3 CO2 Tables'!C$4))</f>
        <v>347933.5759993433</v>
      </c>
      <c r="U35" s="46">
        <f>P35*'Tier 3 CO2 Tables'!H$5/10000</f>
        <v>16.356665805375165</v>
      </c>
      <c r="V35" s="46">
        <f>44.011*(U35/(12.011+1.008*'Tier 3 CO2 Tables'!B$6+16*'Tier 3 CO2 Tables'!C$6))</f>
        <v>51.027189434970445</v>
      </c>
      <c r="W35" s="46">
        <f>I35*'T3 Methane'!D11</f>
        <v>2195525.6114597539</v>
      </c>
      <c r="X35" s="46" cm="1">
        <f t="array" ref="X35">_xlfn.IFS(E35='Euro Age Table'!C$5,'Euro Age Table'!G$5,E35='Euro Age Table'!C$6,'Euro Age Table'!G$6,E35='Euro Age Table'!C$7,'Euro Age Table'!G$7,E35='Euro Age Table'!C$8,'Euro Age Table'!G$8,E35='Euro Age Table'!C$9,'Euro Age Table'!G$9,E35='Euro Age Table'!C$10,'Euro Age Table'!G$10,E35='Euro Age Table'!C$11,'Euro Age Table'!G$11)</f>
        <v>13</v>
      </c>
      <c r="Y35" s="46">
        <f>X35*'Eilat Car Data'!F$15</f>
        <v>190651.68329461073</v>
      </c>
      <c r="Z35" s="46">
        <f>'T3 N2O PC-Diesel LPG'!B6</f>
        <v>9</v>
      </c>
      <c r="AA35" s="124">
        <f t="shared" si="3"/>
        <v>17963391.366488893</v>
      </c>
    </row>
    <row r="36" spans="1:27" ht="12.5">
      <c r="A36" s="48" t="s">
        <v>51</v>
      </c>
      <c r="B36" s="49" t="s">
        <v>22</v>
      </c>
      <c r="C36" s="49" t="s">
        <v>52</v>
      </c>
      <c r="D36" s="49" t="s">
        <v>61</v>
      </c>
      <c r="E36" s="50" t="s">
        <v>59</v>
      </c>
      <c r="F36" s="97">
        <v>1.2059305602924609E-2</v>
      </c>
      <c r="G36" s="99">
        <f t="shared" si="0"/>
        <v>264.7138172897981</v>
      </c>
      <c r="H36" s="46"/>
      <c r="I36" s="46">
        <f>G36*'Eilat Car Data'!F$15</f>
        <v>3882164.2198186181</v>
      </c>
      <c r="J36" s="46">
        <f>I36*'Tier 1 Coefficients'!I$4</f>
        <v>232929853.18911707</v>
      </c>
      <c r="K36" s="46">
        <f t="shared" si="1"/>
        <v>232929.85318911707</v>
      </c>
      <c r="L36" s="46">
        <f>K36*'Tier 1 Coefficients'!D$4</f>
        <v>738154.70475631196</v>
      </c>
      <c r="M36" s="46">
        <f>K36*'Tier 1 Coefficients'!C$17</f>
        <v>2035806.9168728832</v>
      </c>
      <c r="N36" s="46">
        <f>K36*'Tier 1 Coefficients'!C$41</f>
        <v>20264.897227453184</v>
      </c>
      <c r="O36" s="46">
        <f>I36*'Tier 2 FC'!D$11</f>
        <v>213519032.09002399</v>
      </c>
      <c r="P36" s="46">
        <f t="shared" si="2"/>
        <v>213519.032090024</v>
      </c>
      <c r="Q36" s="46">
        <f>P36*'Tier 1 Coefficients'!D$4</f>
        <v>676641.81269328611</v>
      </c>
      <c r="R36" s="46">
        <f>$I36*'T2 PC'!C58</f>
        <v>15528.656879274473</v>
      </c>
      <c r="S36" s="46">
        <f>$I36*'T2 PC'!D58</f>
        <v>1545101.3594878102</v>
      </c>
      <c r="T36" s="46">
        <f>44.011*(P36/(12.011+1.008*'Tier 3 CO2 Tables'!B$4+16*'Tier 3 CO2 Tables'!C$4))</f>
        <v>676744.0105570585</v>
      </c>
      <c r="U36" s="46">
        <f>P36*'Tier 3 CO2 Tables'!H$5/10000</f>
        <v>31.814335781413579</v>
      </c>
      <c r="V36" s="46">
        <f>44.011*(U36/(12.011+1.008*'Tier 3 CO2 Tables'!B$6+16*'Tier 3 CO2 Tables'!C$6))</f>
        <v>99.249820102851587</v>
      </c>
      <c r="W36" s="46">
        <f>I36*'T3 Methane'!D12</f>
        <v>291162.31648639636</v>
      </c>
      <c r="X36" s="46" cm="1">
        <f t="array" ref="X36">_xlfn.IFS(E36='Euro Age Table'!C$5,'Euro Age Table'!G$5,E36='Euro Age Table'!C$6,'Euro Age Table'!G$6,E36='Euro Age Table'!C$7,'Euro Age Table'!G$7,E36='Euro Age Table'!C$8,'Euro Age Table'!G$8,E36='Euro Age Table'!C$9,'Euro Age Table'!G$9,E36='Euro Age Table'!C$10,'Euro Age Table'!G$10,E36='Euro Age Table'!C$11,'Euro Age Table'!G$11)</f>
        <v>9</v>
      </c>
      <c r="Y36" s="46">
        <f>X36*'Eilat Car Data'!F$15</f>
        <v>131989.62689626895</v>
      </c>
      <c r="Z36" s="46">
        <f>'T3 N2O PC-Diesel LPG'!B6</f>
        <v>9</v>
      </c>
      <c r="AA36" s="124">
        <f t="shared" si="3"/>
        <v>34939477.978367567</v>
      </c>
    </row>
    <row r="37" spans="1:27" ht="12.5">
      <c r="A37" s="48" t="s">
        <v>51</v>
      </c>
      <c r="B37" s="49" t="s">
        <v>22</v>
      </c>
      <c r="C37" s="49" t="s">
        <v>52</v>
      </c>
      <c r="D37" s="49" t="s">
        <v>61</v>
      </c>
      <c r="E37" s="51" t="s">
        <v>60</v>
      </c>
      <c r="F37" s="97">
        <v>3.2972444090152979E-2</v>
      </c>
      <c r="G37" s="99">
        <f t="shared" si="0"/>
        <v>723.77812022294802</v>
      </c>
      <c r="H37" s="46"/>
      <c r="I37" s="46">
        <f>G37*'Eilat Car Data'!F$15</f>
        <v>10614578.227101089</v>
      </c>
      <c r="J37" s="46">
        <f>I37*'Tier 1 Coefficients'!I$4</f>
        <v>636874693.62606537</v>
      </c>
      <c r="K37" s="46">
        <f t="shared" si="1"/>
        <v>636874.69362606539</v>
      </c>
      <c r="L37" s="46">
        <f>K37*'Tier 1 Coefficients'!D$4</f>
        <v>2018255.9041010013</v>
      </c>
      <c r="M37" s="46">
        <f>K37*'Tier 1 Coefficients'!C$17</f>
        <v>5566284.8222918119</v>
      </c>
      <c r="N37" s="46">
        <f>K37*'Tier 1 Coefficients'!C$41</f>
        <v>55408.098345467683</v>
      </c>
      <c r="O37" s="46">
        <f>I37*'Tier 2 FC'!D$11</f>
        <v>583801802.49055994</v>
      </c>
      <c r="P37" s="46">
        <f t="shared" si="2"/>
        <v>583801.80249055999</v>
      </c>
      <c r="Q37" s="46">
        <f>P37*'Tier 1 Coefficients'!D$4</f>
        <v>1850067.9120925847</v>
      </c>
      <c r="R37" s="46">
        <f>$I37*'T2 PC'!C59</f>
        <v>42458.312908404361</v>
      </c>
      <c r="S37" s="46">
        <f>$I37*'T2 PC'!D59</f>
        <v>4224602.134386234</v>
      </c>
      <c r="T37" s="46">
        <f>44.011*(P37/(12.011+1.008*'Tier 3 CO2 Tables'!B$4+16*'Tier 3 CO2 Tables'!C$4))</f>
        <v>1850347.3405655266</v>
      </c>
      <c r="U37" s="46">
        <f>P37*'Tier 3 CO2 Tables'!H$6/10000</f>
        <v>74.726630718791682</v>
      </c>
      <c r="V37" s="46">
        <f>44.011*(U37/(12.011+1.008*'Tier 3 CO2 Tables'!B$6+16*'Tier 3 CO2 Tables'!C$6))</f>
        <v>233.12146784045672</v>
      </c>
      <c r="W37" s="46">
        <f>I37*'T3 Methane'!D12</f>
        <v>796093.36703258171</v>
      </c>
      <c r="X37" s="46" cm="1">
        <f t="array" ref="X37">_xlfn.IFS(E37='Euro Age Table'!C$5,'Euro Age Table'!G$5,E37='Euro Age Table'!C$6,'Euro Age Table'!G$6,E37='Euro Age Table'!C$7,'Euro Age Table'!G$7,E37='Euro Age Table'!C$8,'Euro Age Table'!G$8,E37='Euro Age Table'!C$9,'Euro Age Table'!G$9,E37='Euro Age Table'!C$10,'Euro Age Table'!G$10,E37='Euro Age Table'!C$11,'Euro Age Table'!G$11)</f>
        <v>3</v>
      </c>
      <c r="Y37" s="46">
        <f>X37*'Eilat Car Data'!F$15</f>
        <v>43996.542298756322</v>
      </c>
      <c r="Z37" s="46">
        <f>'T3 N2O PC-Diesel LPG'!B7</f>
        <v>11</v>
      </c>
      <c r="AA37" s="124">
        <f t="shared" si="3"/>
        <v>116760360.49811198</v>
      </c>
    </row>
    <row r="38" spans="1:27" ht="12.5">
      <c r="A38" s="48" t="s">
        <v>51</v>
      </c>
      <c r="B38" s="49" t="s">
        <v>22</v>
      </c>
      <c r="C38" s="49" t="s">
        <v>52</v>
      </c>
      <c r="D38" s="52" t="s">
        <v>62</v>
      </c>
      <c r="E38" s="50" t="s">
        <v>54</v>
      </c>
      <c r="F38" s="97">
        <v>2.5855272064279111E-5</v>
      </c>
      <c r="G38" s="99">
        <f t="shared" si="0"/>
        <v>0.56754907708299074</v>
      </c>
      <c r="H38" s="46"/>
      <c r="I38" s="46">
        <f>G38*'Eilat Car Data'!F$15</f>
        <v>8323.3989921673037</v>
      </c>
      <c r="J38" s="46">
        <f>I38*'Tier 1 Coefficients'!I$4</f>
        <v>499403.93953003822</v>
      </c>
      <c r="K38" s="46">
        <f t="shared" si="1"/>
        <v>499.4039395300382</v>
      </c>
      <c r="L38" s="46">
        <f>K38*'Tier 1 Coefficients'!D$4</f>
        <v>1582.6110843706911</v>
      </c>
      <c r="M38" s="46">
        <f>K38*'Tier 1 Coefficients'!C$17</f>
        <v>4364.7904314925336</v>
      </c>
      <c r="N38" s="46">
        <f>K38*'Tier 1 Coefficients'!C$41</f>
        <v>43.448142739113322</v>
      </c>
      <c r="O38" s="46">
        <f>I38*'Tier 2 FC'!D$12</f>
        <v>624254.92441254773</v>
      </c>
      <c r="P38" s="46">
        <f t="shared" si="2"/>
        <v>624.25492441254778</v>
      </c>
      <c r="Q38" s="46">
        <f>P38*'Tier 1 Coefficients'!D$4</f>
        <v>1978.2638554633641</v>
      </c>
      <c r="R38" s="46">
        <f>$I38*'T2 PC'!C62</f>
        <v>0</v>
      </c>
      <c r="S38" s="46">
        <f>$I38*'T2 PC'!D62</f>
        <v>5518.4135318069229</v>
      </c>
      <c r="T38" s="46">
        <f>44.011*(P38/(12.011+1.008*'Tier 3 CO2 Tables'!B$4+16*'Tier 3 CO2 Tables'!C$4))</f>
        <v>1978.5626462507698</v>
      </c>
      <c r="U38" s="46">
        <f>P38*'Tier 3 CO2 Tables'!H$5/10000</f>
        <v>9.3013983737469622E-2</v>
      </c>
      <c r="V38" s="46">
        <f>44.011*(U38/(12.011+1.008*'Tier 3 CO2 Tables'!B$6+16*'Tier 3 CO2 Tables'!C$6))</f>
        <v>0.29017173944541935</v>
      </c>
      <c r="W38" s="46">
        <f>I38*'T3 Methane'!D7</f>
        <v>233055.1717806845</v>
      </c>
      <c r="X38" s="46" cm="1">
        <f t="array" ref="X38">_xlfn.IFS(E38='Euro Age Table'!C$5,'Euro Age Table'!G$5,E38='Euro Age Table'!C$6,'Euro Age Table'!G$6,E38='Euro Age Table'!C$7,'Euro Age Table'!G$7,E38='Euro Age Table'!C$8,'Euro Age Table'!G$8,E38='Euro Age Table'!C$9,'Euro Age Table'!G$9,E38='Euro Age Table'!C$10,'Euro Age Table'!G$10,E38='Euro Age Table'!C$11,'Euro Age Table'!G$11)</f>
        <v>27</v>
      </c>
      <c r="Y38" s="46">
        <f>X38*'Eilat Car Data'!F$15</f>
        <v>395968.88068880688</v>
      </c>
      <c r="Z38" s="46">
        <f>'T3 N2O PC-Diesel LPG'!B3</f>
        <v>0</v>
      </c>
      <c r="AA38" s="124">
        <f t="shared" si="3"/>
        <v>0</v>
      </c>
    </row>
    <row r="39" spans="1:27" ht="12.5">
      <c r="A39" s="48" t="s">
        <v>51</v>
      </c>
      <c r="B39" s="49" t="s">
        <v>22</v>
      </c>
      <c r="C39" s="49" t="s">
        <v>52</v>
      </c>
      <c r="D39" s="49" t="s">
        <v>62</v>
      </c>
      <c r="E39" s="50" t="s">
        <v>55</v>
      </c>
      <c r="F39" s="97">
        <v>3.9596332386081381E-4</v>
      </c>
      <c r="G39" s="99">
        <f t="shared" si="0"/>
        <v>8.6917909220687246</v>
      </c>
      <c r="H39" s="46"/>
      <c r="I39" s="46">
        <f>G39*'Eilat Car Data'!F$15</f>
        <v>127469.58231824762</v>
      </c>
      <c r="J39" s="46">
        <f>I39*'Tier 1 Coefficients'!I$4</f>
        <v>7648174.9390948573</v>
      </c>
      <c r="K39" s="46">
        <f t="shared" si="1"/>
        <v>7648.1749390948571</v>
      </c>
      <c r="L39" s="46">
        <f>K39*'Tier 1 Coefficients'!D$4</f>
        <v>24237.066381991601</v>
      </c>
      <c r="M39" s="46">
        <f>K39*'Tier 1 Coefficients'!C$17</f>
        <v>66845.048967689057</v>
      </c>
      <c r="N39" s="46">
        <f>K39*'Tier 1 Coefficients'!C$41</f>
        <v>665.39121970125257</v>
      </c>
      <c r="O39" s="46">
        <f>I39*'Tier 2 FC'!D$13</f>
        <v>9305279.5092320759</v>
      </c>
      <c r="P39" s="46">
        <f t="shared" si="2"/>
        <v>9305.2795092320757</v>
      </c>
      <c r="Q39" s="46">
        <f>P39*'Tier 1 Coefficients'!D$4</f>
        <v>29488.430764756449</v>
      </c>
      <c r="R39" s="46">
        <f>$I39*'T2 PC'!C63</f>
        <v>382.40874695474287</v>
      </c>
      <c r="S39" s="46">
        <f>$I39*'T2 PC'!D63</f>
        <v>75971.871061675571</v>
      </c>
      <c r="T39" s="46">
        <f>44.011*(P39/(12.011+1.008*'Tier 3 CO2 Tables'!B$4+16*'Tier 3 CO2 Tables'!C$4))</f>
        <v>29492.884605139385</v>
      </c>
      <c r="U39" s="46">
        <f>P39*'Tier 3 CO2 Tables'!H$5/10000</f>
        <v>1.3864866468755792</v>
      </c>
      <c r="V39" s="46">
        <f>44.011*(U39/(12.011+1.008*'Tier 3 CO2 Tables'!B$6+16*'Tier 3 CO2 Tables'!C$6))</f>
        <v>4.3253629817347994</v>
      </c>
      <c r="W39" s="46">
        <f>I39*'T3 Methane'!D8</f>
        <v>1402165.4055007237</v>
      </c>
      <c r="X39" s="46" cm="1">
        <f t="array" ref="X39">_xlfn.IFS(E39='Euro Age Table'!C$5,'Euro Age Table'!G$5,E39='Euro Age Table'!C$6,'Euro Age Table'!G$6,E39='Euro Age Table'!C$7,'Euro Age Table'!G$7,E39='Euro Age Table'!C$8,'Euro Age Table'!G$8,E39='Euro Age Table'!C$9,'Euro Age Table'!G$9,E39='Euro Age Table'!C$10,'Euro Age Table'!G$10,E39='Euro Age Table'!C$11,'Euro Age Table'!G$11)</f>
        <v>23</v>
      </c>
      <c r="Y39" s="46">
        <f>X39*'Eilat Car Data'!F$15</f>
        <v>337306.8242904651</v>
      </c>
      <c r="Z39" s="46">
        <f>'T3 N2O PC-Diesel LPG'!B4</f>
        <v>2</v>
      </c>
      <c r="AA39" s="124">
        <f t="shared" si="3"/>
        <v>254939.16463649523</v>
      </c>
    </row>
    <row r="40" spans="1:27" ht="12.5">
      <c r="A40" s="48" t="s">
        <v>51</v>
      </c>
      <c r="B40" s="49" t="s">
        <v>22</v>
      </c>
      <c r="C40" s="49" t="s">
        <v>52</v>
      </c>
      <c r="D40" s="49" t="s">
        <v>62</v>
      </c>
      <c r="E40" s="50" t="s">
        <v>56</v>
      </c>
      <c r="F40" s="97">
        <v>1.3343063437217298E-3</v>
      </c>
      <c r="G40" s="99">
        <f t="shared" si="0"/>
        <v>29.289358551035694</v>
      </c>
      <c r="H40" s="46"/>
      <c r="I40" s="46">
        <f>G40*'Eilat Car Data'!F$15</f>
        <v>429543.50079802732</v>
      </c>
      <c r="J40" s="46">
        <f>I40*'Tier 1 Coefficients'!I$4</f>
        <v>25772610.04788164</v>
      </c>
      <c r="K40" s="46">
        <f t="shared" si="1"/>
        <v>25772.610047881641</v>
      </c>
      <c r="L40" s="46">
        <f>K40*'Tier 1 Coefficients'!D$4</f>
        <v>81673.401241736923</v>
      </c>
      <c r="M40" s="46">
        <f>K40*'Tier 1 Coefficients'!C$17</f>
        <v>225252.61181848554</v>
      </c>
      <c r="N40" s="46">
        <f>K40*'Tier 1 Coefficients'!C$41</f>
        <v>2242.2170741657028</v>
      </c>
      <c r="O40" s="46">
        <f>I40*'Tier 2 FC'!D$13</f>
        <v>31356675.558255993</v>
      </c>
      <c r="P40" s="46">
        <f t="shared" si="2"/>
        <v>31356.675558255993</v>
      </c>
      <c r="Q40" s="46">
        <f>P40*'Tier 1 Coefficients'!D$4</f>
        <v>99369.304844113241</v>
      </c>
      <c r="R40" s="46">
        <f>$I40*'T2 PC'!C64</f>
        <v>2147.7175039901367</v>
      </c>
      <c r="S40" s="46">
        <f>$I40*'T2 PC'!D64</f>
        <v>227658.05542295449</v>
      </c>
      <c r="T40" s="46">
        <f>44.011*(P40/(12.011+1.008*'Tier 3 CO2 Tables'!B$4+16*'Tier 3 CO2 Tables'!C$4))</f>
        <v>99384.313273224645</v>
      </c>
      <c r="U40" s="46">
        <f>P40*'Tier 3 CO2 Tables'!H$5/10000</f>
        <v>4.6721446581801427</v>
      </c>
      <c r="V40" s="46">
        <f>44.011*(U40/(12.011+1.008*'Tier 3 CO2 Tables'!B$6+16*'Tier 3 CO2 Tables'!C$6))</f>
        <v>14.575489490174563</v>
      </c>
      <c r="W40" s="46">
        <f>I40*'T3 Methane'!D9</f>
        <v>3006804.5055861911</v>
      </c>
      <c r="X40" s="46" cm="1">
        <f t="array" ref="X40">_xlfn.IFS(E40='Euro Age Table'!C$5,'Euro Age Table'!G$5,E40='Euro Age Table'!C$6,'Euro Age Table'!G$6,E40='Euro Age Table'!C$7,'Euro Age Table'!G$7,E40='Euro Age Table'!C$8,'Euro Age Table'!G$8,E40='Euro Age Table'!C$9,'Euro Age Table'!G$9,E40='Euro Age Table'!C$10,'Euro Age Table'!G$10,E40='Euro Age Table'!C$11,'Euro Age Table'!G$11)</f>
        <v>18</v>
      </c>
      <c r="Y40" s="46">
        <f>X40*'Eilat Car Data'!F$15</f>
        <v>263979.2537925379</v>
      </c>
      <c r="Z40" s="46">
        <f>'T3 N2O PC-Diesel LPG'!B5</f>
        <v>4</v>
      </c>
      <c r="AA40" s="124">
        <f t="shared" si="3"/>
        <v>1718174.0031921093</v>
      </c>
    </row>
    <row r="41" spans="1:27" ht="12.5">
      <c r="A41" s="48" t="s">
        <v>51</v>
      </c>
      <c r="B41" s="49" t="s">
        <v>22</v>
      </c>
      <c r="C41" s="49" t="s">
        <v>52</v>
      </c>
      <c r="D41" s="49" t="s">
        <v>62</v>
      </c>
      <c r="E41" s="50" t="s">
        <v>57</v>
      </c>
      <c r="F41" s="97">
        <v>4.9249935652328517E-3</v>
      </c>
      <c r="G41" s="99">
        <f t="shared" si="0"/>
        <v>108.10853375042633</v>
      </c>
      <c r="H41" s="46"/>
      <c r="I41" s="46">
        <f>G41*'Eilat Car Data'!F$15</f>
        <v>1585467.2260023858</v>
      </c>
      <c r="J41" s="46">
        <f>I41*'Tier 1 Coefficients'!I$4</f>
        <v>95128033.560143143</v>
      </c>
      <c r="K41" s="46">
        <f t="shared" si="1"/>
        <v>95128.033560143143</v>
      </c>
      <c r="L41" s="46">
        <f>K41*'Tier 1 Coefficients'!D$4</f>
        <v>301460.73835209361</v>
      </c>
      <c r="M41" s="46">
        <f>K41*'Tier 1 Coefficients'!C$17</f>
        <v>831419.0133156511</v>
      </c>
      <c r="N41" s="46">
        <f>K41*'Tier 1 Coefficients'!C$41</f>
        <v>8276.1389197324534</v>
      </c>
      <c r="O41" s="46">
        <f>I41*'Tier 2 FC'!D$13</f>
        <v>115739107.49817416</v>
      </c>
      <c r="P41" s="46">
        <f t="shared" si="2"/>
        <v>115739.10749817415</v>
      </c>
      <c r="Q41" s="46">
        <f>P41*'Tier 1 Coefficients'!D$4</f>
        <v>366777.23166171391</v>
      </c>
      <c r="R41" s="46">
        <f>$I41*'T2 PC'!C65</f>
        <v>15854.672260023859</v>
      </c>
      <c r="S41" s="46">
        <f>$I41*'T2 PC'!D65</f>
        <v>735656.79286510707</v>
      </c>
      <c r="T41" s="46">
        <f>44.011*(P41/(12.011+1.008*'Tier 3 CO2 Tables'!B$4+16*'Tier 3 CO2 Tables'!C$4))</f>
        <v>366832.62854800292</v>
      </c>
      <c r="U41" s="46">
        <f>P41*'Tier 3 CO2 Tables'!H$5/10000</f>
        <v>17.245127017227951</v>
      </c>
      <c r="V41" s="46">
        <f>44.011*(U41/(12.011+1.008*'Tier 3 CO2 Tables'!B$6+16*'Tier 3 CO2 Tables'!C$6))</f>
        <v>53.798883807300115</v>
      </c>
      <c r="W41" s="46">
        <f>I41*'T3 Methane'!D10</f>
        <v>4756401.6780071575</v>
      </c>
      <c r="X41" s="46" cm="1">
        <f t="array" ref="X41">_xlfn.IFS(E41='Euro Age Table'!C$5,'Euro Age Table'!G$5,E41='Euro Age Table'!C$6,'Euro Age Table'!G$6,E41='Euro Age Table'!C$7,'Euro Age Table'!G$7,E41='Euro Age Table'!C$8,'Euro Age Table'!G$8,E41='Euro Age Table'!C$9,'Euro Age Table'!G$9,E41='Euro Age Table'!C$10,'Euro Age Table'!G$10,E41='Euro Age Table'!C$11,'Euro Age Table'!G$11)</f>
        <v>16</v>
      </c>
      <c r="Y41" s="46">
        <f>X41*'Eilat Car Data'!F$15</f>
        <v>234648.22559336704</v>
      </c>
      <c r="Z41" s="46">
        <f>'T3 N2O PC-Diesel LPG'!B6</f>
        <v>9</v>
      </c>
      <c r="AA41" s="124">
        <f t="shared" si="3"/>
        <v>14269205.034021473</v>
      </c>
    </row>
    <row r="42" spans="1:27" ht="12.5">
      <c r="A42" s="48" t="s">
        <v>51</v>
      </c>
      <c r="B42" s="49" t="s">
        <v>22</v>
      </c>
      <c r="C42" s="49" t="s">
        <v>52</v>
      </c>
      <c r="D42" s="49" t="s">
        <v>62</v>
      </c>
      <c r="E42" s="50" t="s">
        <v>58</v>
      </c>
      <c r="F42" s="97">
        <v>6.3075243489845853E-3</v>
      </c>
      <c r="G42" s="99">
        <f t="shared" si="0"/>
        <v>138.45646698456062</v>
      </c>
      <c r="H42" s="46"/>
      <c r="I42" s="46">
        <f>G42*'Eilat Car Data'!F$15</f>
        <v>2030535.2687408598</v>
      </c>
      <c r="J42" s="46">
        <f>I42*'Tier 1 Coefficients'!I$4</f>
        <v>121832116.12445159</v>
      </c>
      <c r="K42" s="46">
        <f t="shared" si="1"/>
        <v>121832.1161244516</v>
      </c>
      <c r="L42" s="46">
        <f>K42*'Tier 1 Coefficients'!D$4</f>
        <v>386085.97599838709</v>
      </c>
      <c r="M42" s="46">
        <f>K42*'Tier 1 Coefficients'!C$17</f>
        <v>1064812.6949277071</v>
      </c>
      <c r="N42" s="46">
        <f>K42*'Tier 1 Coefficients'!C$41</f>
        <v>10599.394102827287</v>
      </c>
      <c r="O42" s="46">
        <f>I42*'Tier 2 FC'!D$13</f>
        <v>148229074.61808276</v>
      </c>
      <c r="P42" s="46">
        <f t="shared" si="2"/>
        <v>148229.07461808276</v>
      </c>
      <c r="Q42" s="46">
        <f>P42*'Tier 1 Coefficients'!D$4</f>
        <v>469737.93746470427</v>
      </c>
      <c r="R42" s="46">
        <f>$I42*'T2 PC'!C66</f>
        <v>20305.352687408598</v>
      </c>
      <c r="S42" s="46">
        <f>$I42*'T2 PC'!D66</f>
        <v>808153.03695886221</v>
      </c>
      <c r="T42" s="46">
        <f>44.011*(P42/(12.011+1.008*'Tier 3 CO2 Tables'!B$4+16*'Tier 3 CO2 Tables'!C$4))</f>
        <v>469808.88521407649</v>
      </c>
      <c r="U42" s="46">
        <f>P42*'Tier 3 CO2 Tables'!H$5/10000</f>
        <v>22.08613211809433</v>
      </c>
      <c r="V42" s="46">
        <f>44.011*(U42/(12.011+1.008*'Tier 3 CO2 Tables'!B$6+16*'Tier 3 CO2 Tables'!C$6))</f>
        <v>68.90115998490532</v>
      </c>
      <c r="W42" s="46">
        <f>I42*'T3 Methane'!D11</f>
        <v>2233588.7956149462</v>
      </c>
      <c r="X42" s="46" cm="1">
        <f t="array" ref="X42">_xlfn.IFS(E42='Euro Age Table'!C$5,'Euro Age Table'!G$5,E42='Euro Age Table'!C$6,'Euro Age Table'!G$6,E42='Euro Age Table'!C$7,'Euro Age Table'!G$7,E42='Euro Age Table'!C$8,'Euro Age Table'!G$8,E42='Euro Age Table'!C$9,'Euro Age Table'!G$9,E42='Euro Age Table'!C$10,'Euro Age Table'!G$10,E42='Euro Age Table'!C$11,'Euro Age Table'!G$11)</f>
        <v>13</v>
      </c>
      <c r="Y42" s="46">
        <f>X42*'Eilat Car Data'!F$15</f>
        <v>190651.68329461073</v>
      </c>
      <c r="Z42" s="46">
        <f>'T3 N2O PC-Diesel LPG'!B6</f>
        <v>9</v>
      </c>
      <c r="AA42" s="124">
        <f t="shared" si="3"/>
        <v>18274817.418667737</v>
      </c>
    </row>
    <row r="43" spans="1:27" ht="12.5">
      <c r="A43" s="48" t="s">
        <v>51</v>
      </c>
      <c r="B43" s="49" t="s">
        <v>22</v>
      </c>
      <c r="C43" s="49" t="s">
        <v>52</v>
      </c>
      <c r="D43" s="49" t="s">
        <v>62</v>
      </c>
      <c r="E43" s="50" t="s">
        <v>59</v>
      </c>
      <c r="F43" s="97">
        <v>1.0350243068608272E-2</v>
      </c>
      <c r="G43" s="99">
        <f t="shared" si="0"/>
        <v>227.19818559902018</v>
      </c>
      <c r="H43" s="46"/>
      <c r="I43" s="46">
        <f>G43*'Eilat Car Data'!F$15</f>
        <v>3331978.1943026599</v>
      </c>
      <c r="J43" s="46">
        <f>I43*'Tier 1 Coefficients'!I$4</f>
        <v>199918691.65815958</v>
      </c>
      <c r="K43" s="46">
        <f t="shared" si="1"/>
        <v>199918.69165815957</v>
      </c>
      <c r="L43" s="46">
        <f>K43*'Tier 1 Coefficients'!D$4</f>
        <v>633542.33386470773</v>
      </c>
      <c r="M43" s="46">
        <f>K43*'Tier 1 Coefficients'!C$17</f>
        <v>1747289.3650923148</v>
      </c>
      <c r="N43" s="46">
        <f>K43*'Tier 1 Coefficients'!C$41</f>
        <v>17392.926174259883</v>
      </c>
      <c r="O43" s="46">
        <f>I43*'Tier 2 FC'!D$13</f>
        <v>243234408.18409419</v>
      </c>
      <c r="P43" s="46">
        <f t="shared" si="2"/>
        <v>243234.40818409418</v>
      </c>
      <c r="Q43" s="46">
        <f>P43*'Tier 1 Coefficients'!D$4</f>
        <v>770809.83953539445</v>
      </c>
      <c r="R43" s="46">
        <f>$I43*'T2 PC'!C67</f>
        <v>13327.91277721064</v>
      </c>
      <c r="S43" s="46">
        <f>$I43*'T2 PC'!D67</f>
        <v>1326127.3213324586</v>
      </c>
      <c r="T43" s="46">
        <f>44.011*(P43/(12.011+1.008*'Tier 3 CO2 Tables'!B$4+16*'Tier 3 CO2 Tables'!C$4))</f>
        <v>770926.26024351141</v>
      </c>
      <c r="U43" s="46">
        <f>P43*'Tier 3 CO2 Tables'!H$5/10000</f>
        <v>36.241926819430027</v>
      </c>
      <c r="V43" s="46">
        <f>44.011*(U43/(12.011+1.008*'Tier 3 CO2 Tables'!B$6+16*'Tier 3 CO2 Tables'!C$6))</f>
        <v>113.06238614324828</v>
      </c>
      <c r="W43" s="46">
        <f>I43*'T3 Methane'!D12</f>
        <v>249898.36457269947</v>
      </c>
      <c r="X43" s="46" cm="1">
        <f t="array" ref="X43">_xlfn.IFS(E43='Euro Age Table'!C$5,'Euro Age Table'!G$5,E43='Euro Age Table'!C$6,'Euro Age Table'!G$6,E43='Euro Age Table'!C$7,'Euro Age Table'!G$7,E43='Euro Age Table'!C$8,'Euro Age Table'!G$8,E43='Euro Age Table'!C$9,'Euro Age Table'!G$9,E43='Euro Age Table'!C$10,'Euro Age Table'!G$10,E43='Euro Age Table'!C$11,'Euro Age Table'!G$11)</f>
        <v>9</v>
      </c>
      <c r="Y43" s="46">
        <f>X43*'Eilat Car Data'!F$15</f>
        <v>131989.62689626895</v>
      </c>
      <c r="Z43" s="46">
        <f>'T3 N2O PC-Diesel LPG'!B6</f>
        <v>9</v>
      </c>
      <c r="AA43" s="124">
        <f t="shared" si="3"/>
        <v>29987803.748723939</v>
      </c>
    </row>
    <row r="44" spans="1:27" ht="12.5">
      <c r="A44" s="48" t="s">
        <v>51</v>
      </c>
      <c r="B44" s="51" t="s">
        <v>22</v>
      </c>
      <c r="C44" s="49" t="s">
        <v>52</v>
      </c>
      <c r="D44" s="49" t="s">
        <v>62</v>
      </c>
      <c r="E44" s="51" t="s">
        <v>60</v>
      </c>
      <c r="F44" s="97">
        <v>6.0745363917311937E-4</v>
      </c>
      <c r="G44" s="99">
        <f t="shared" si="0"/>
        <v>13.334214833489144</v>
      </c>
      <c r="H44" s="46"/>
      <c r="I44" s="46">
        <f>G44*'Eilat Car Data'!F$15</f>
        <v>195553.11564743635</v>
      </c>
      <c r="J44" s="46">
        <f>I44*'Tier 1 Coefficients'!I$4</f>
        <v>11733186.938846182</v>
      </c>
      <c r="K44" s="46">
        <f t="shared" si="1"/>
        <v>11733.186938846182</v>
      </c>
      <c r="L44" s="46">
        <f>K44*'Tier 1 Coefficients'!D$4</f>
        <v>37182.46940920355</v>
      </c>
      <c r="M44" s="46">
        <f>K44*'Tier 1 Coefficients'!C$17</f>
        <v>102548.05384551563</v>
      </c>
      <c r="N44" s="46">
        <f>K44*'Tier 1 Coefficients'!C$41</f>
        <v>1020.7872636796178</v>
      </c>
      <c r="O44" s="46">
        <f>I44*'Tier 2 FC'!D$13</f>
        <v>14275377.442262854</v>
      </c>
      <c r="P44" s="46">
        <f t="shared" si="2"/>
        <v>14275.377442262854</v>
      </c>
      <c r="Q44" s="46">
        <f>P44*'Tier 1 Coefficients'!D$4</f>
        <v>45238.671114530982</v>
      </c>
      <c r="R44" s="46">
        <f>$I44*'T2 PC'!C68</f>
        <v>782.21246258974543</v>
      </c>
      <c r="S44" s="46">
        <f>$I44*'T2 PC'!D68</f>
        <v>77830.140027679678</v>
      </c>
      <c r="T44" s="46">
        <f>44.011*(P44/(12.011+1.008*'Tier 3 CO2 Tables'!B$4+16*'Tier 3 CO2 Tables'!C$4))</f>
        <v>45245.50382197099</v>
      </c>
      <c r="U44" s="46">
        <f>P44*'Tier 3 CO2 Tables'!H$6/10000</f>
        <v>1.8272483126096453</v>
      </c>
      <c r="V44" s="46">
        <f>44.011*(U44/(12.011+1.008*'Tier 3 CO2 Tables'!B$6+16*'Tier 3 CO2 Tables'!C$6))</f>
        <v>5.7003882638246441</v>
      </c>
      <c r="W44" s="46">
        <f>I44*'T3 Methane'!D12</f>
        <v>14666.483673557726</v>
      </c>
      <c r="X44" s="46" cm="1">
        <f t="array" ref="X44">_xlfn.IFS(E44='Euro Age Table'!C$5,'Euro Age Table'!G$5,E44='Euro Age Table'!C$6,'Euro Age Table'!G$6,E44='Euro Age Table'!C$7,'Euro Age Table'!G$7,E44='Euro Age Table'!C$8,'Euro Age Table'!G$8,E44='Euro Age Table'!C$9,'Euro Age Table'!G$9,E44='Euro Age Table'!C$10,'Euro Age Table'!G$10,E44='Euro Age Table'!C$11,'Euro Age Table'!G$11)</f>
        <v>3</v>
      </c>
      <c r="Y44" s="46">
        <f>X44*'Eilat Car Data'!F$15</f>
        <v>43996.542298756322</v>
      </c>
      <c r="Z44" s="46">
        <f>'T3 N2O PC-Diesel LPG'!B7</f>
        <v>11</v>
      </c>
      <c r="AA44" s="124">
        <f t="shared" si="3"/>
        <v>2151084.2721218001</v>
      </c>
    </row>
    <row r="45" spans="1:27" ht="12.5">
      <c r="A45" s="48" t="s">
        <v>51</v>
      </c>
      <c r="B45" s="49" t="s">
        <v>23</v>
      </c>
      <c r="C45" s="49" t="s">
        <v>52</v>
      </c>
      <c r="D45" s="52" t="s">
        <v>53</v>
      </c>
      <c r="E45" s="50" t="s">
        <v>54</v>
      </c>
      <c r="F45" s="97">
        <v>2.3240693990363246E-6</v>
      </c>
      <c r="G45" s="99">
        <f t="shared" si="0"/>
        <v>5.1015647378246362E-2</v>
      </c>
      <c r="H45" s="46"/>
      <c r="I45" s="46">
        <f>G45*'Eilat Car Data'!F$15</f>
        <v>748.17069592515099</v>
      </c>
      <c r="J45" s="46">
        <f>I45*'Tier 1 Coefficients'!I$5</f>
        <v>43019.815015696186</v>
      </c>
      <c r="K45" s="46">
        <f t="shared" si="1"/>
        <v>43.019815015696189</v>
      </c>
      <c r="L45" s="46">
        <f>K45*'Tier 1 Coefficients'!D$5</f>
        <v>130.09192060746528</v>
      </c>
      <c r="M45" s="46">
        <f>K45*'Tier 1 Coefficients'!C$18</f>
        <v>380.29516473875429</v>
      </c>
      <c r="N45" s="46">
        <f>K45*'Tier 1 Coefficients'!C$42</f>
        <v>3.8287635363969605</v>
      </c>
      <c r="O45" s="46">
        <f>I45*'Tier 2 FC'!D14</f>
        <v>44142.071059583912</v>
      </c>
      <c r="P45" s="46">
        <f t="shared" si="2"/>
        <v>44.142071059583913</v>
      </c>
      <c r="Q45" s="46">
        <f>P45*'Tier 1 Coefficients'!D$5</f>
        <v>133.48562288418177</v>
      </c>
      <c r="R45" s="46">
        <f>$I45*'T2 PC'!C71</f>
        <v>0</v>
      </c>
      <c r="S45" s="46">
        <f>$I45*'T2 PC'!D71</f>
        <v>496.03717139837511</v>
      </c>
      <c r="T45" s="46">
        <f>44.011*(P45/(12.011+1.008*'Tier 3 CO2 Tables'!B$5+16*'Tier 3 CO2 Tables'!C$5))</f>
        <v>133.46455045982796</v>
      </c>
      <c r="U45" s="46">
        <f>I45*'Tier 3 CO2 Tables'!H$3/10000</f>
        <v>0.1084847509091469</v>
      </c>
      <c r="V45" s="46">
        <f>44.011*(U45/(12.011+1.008*'Tier 3 CO2 Tables'!B$6+16*'Tier 3 CO2 Tables'!C$6))</f>
        <v>0.33843522887332428</v>
      </c>
      <c r="W45" s="46">
        <f>I45*'T3 Methane'!D$13</f>
        <v>59853.65567401208</v>
      </c>
      <c r="X45" s="46" cm="1">
        <f t="array" ref="X45">_xlfn.IFS(E45='Euro Age Table'!C$5,'Euro Age Table'!G$5,E45='Euro Age Table'!C$6,'Euro Age Table'!G$6,E45='Euro Age Table'!C$7,'Euro Age Table'!G$7,E45='Euro Age Table'!C$8,'Euro Age Table'!G$8,E45='Euro Age Table'!C$9,'Euro Age Table'!G$9,E45='Euro Age Table'!C$10,'Euro Age Table'!G$10,E45='Euro Age Table'!C$11,'Euro Age Table'!G$11)</f>
        <v>27</v>
      </c>
      <c r="Y45" s="46">
        <f>X45*'Eilat Car Data'!F$15</f>
        <v>395968.88068880688</v>
      </c>
      <c r="Z45" s="46">
        <f>'T3 N2O PC-Diesel LPG'!B9</f>
        <v>0</v>
      </c>
      <c r="AA45" s="124">
        <f t="shared" si="3"/>
        <v>0</v>
      </c>
    </row>
    <row r="46" spans="1:27" ht="12.5">
      <c r="A46" s="48" t="s">
        <v>51</v>
      </c>
      <c r="B46" s="49" t="s">
        <v>23</v>
      </c>
      <c r="C46" s="49" t="s">
        <v>52</v>
      </c>
      <c r="D46" s="49" t="s">
        <v>53</v>
      </c>
      <c r="E46" s="50" t="s">
        <v>55</v>
      </c>
      <c r="F46" s="97">
        <v>1.7430520492772435E-6</v>
      </c>
      <c r="G46" s="99">
        <f t="shared" si="0"/>
        <v>3.8261735533684775E-2</v>
      </c>
      <c r="H46" s="46"/>
      <c r="I46" s="46">
        <f>G46*'Eilat Car Data'!F$15</f>
        <v>561.12802194386336</v>
      </c>
      <c r="J46" s="46">
        <f>I46*'Tier 1 Coefficients'!I$5</f>
        <v>32264.861261772145</v>
      </c>
      <c r="K46" s="46">
        <f t="shared" si="1"/>
        <v>32.264861261772147</v>
      </c>
      <c r="L46" s="46">
        <f>K46*'Tier 1 Coefficients'!D$5</f>
        <v>97.568940455598977</v>
      </c>
      <c r="M46" s="46">
        <f>K46*'Tier 1 Coefficients'!C$18</f>
        <v>285.22137355406579</v>
      </c>
      <c r="N46" s="46">
        <f>K46*'Tier 1 Coefficients'!C$42</f>
        <v>2.8715726522977207</v>
      </c>
      <c r="O46" s="46">
        <f>I46*'Tier 2 FC'!D$15</f>
        <v>31984.297250800213</v>
      </c>
      <c r="P46" s="46">
        <f t="shared" si="2"/>
        <v>31.984297250800214</v>
      </c>
      <c r="Q46" s="46">
        <f>P46*'Tier 1 Coefficients'!D$5</f>
        <v>96.720514886419849</v>
      </c>
      <c r="R46" s="46">
        <f>$I46*'T2 PC'!C72</f>
        <v>11.222560438877267</v>
      </c>
      <c r="S46" s="46">
        <f>$I46*'T2 PC'!D72</f>
        <v>334.43230107854254</v>
      </c>
      <c r="T46" s="46">
        <f>44.011*(P46/(12.011+1.008*'Tier 3 CO2 Tables'!B$5+16*'Tier 3 CO2 Tables'!C$5))</f>
        <v>96.705246307756738</v>
      </c>
      <c r="U46" s="46">
        <f>I46*'Tier 3 CO2 Tables'!H$3/10000</f>
        <v>8.136356318186018E-2</v>
      </c>
      <c r="V46" s="46">
        <f>44.011*(U46/(12.011+1.008*'Tier 3 CO2 Tables'!B$6+16*'Tier 3 CO2 Tables'!C$6))</f>
        <v>0.25382642165499325</v>
      </c>
      <c r="W46" s="46">
        <f>I46*'T3 Methane'!D$13</f>
        <v>44890.241755509065</v>
      </c>
      <c r="X46" s="46" cm="1">
        <f t="array" ref="X46">_xlfn.IFS(E46='Euro Age Table'!C$5,'Euro Age Table'!G$5,E46='Euro Age Table'!C$6,'Euro Age Table'!G$6,E46='Euro Age Table'!C$7,'Euro Age Table'!G$7,E46='Euro Age Table'!C$8,'Euro Age Table'!G$8,E46='Euro Age Table'!C$9,'Euro Age Table'!G$9,E46='Euro Age Table'!C$10,'Euro Age Table'!G$10,E46='Euro Age Table'!C$11,'Euro Age Table'!G$11)</f>
        <v>23</v>
      </c>
      <c r="Y46" s="46">
        <f>X46*'Eilat Car Data'!F$15</f>
        <v>337306.8242904651</v>
      </c>
      <c r="Z46" s="46">
        <f>'T3 N2O PC-Diesel LPG'!B10</f>
        <v>21</v>
      </c>
      <c r="AA46" s="124">
        <f t="shared" si="3"/>
        <v>11783.688460821131</v>
      </c>
    </row>
    <row r="47" spans="1:27" ht="12.5">
      <c r="A47" s="48" t="s">
        <v>51</v>
      </c>
      <c r="B47" s="49" t="s">
        <v>23</v>
      </c>
      <c r="C47" s="49" t="s">
        <v>52</v>
      </c>
      <c r="D47" s="49" t="s">
        <v>53</v>
      </c>
      <c r="E47" s="50" t="s">
        <v>56</v>
      </c>
      <c r="F47" s="97">
        <v>2.6145780739158653E-6</v>
      </c>
      <c r="G47" s="99">
        <f t="shared" si="0"/>
        <v>5.7392603300527159E-2</v>
      </c>
      <c r="H47" s="46"/>
      <c r="I47" s="46">
        <f>G47*'Eilat Car Data'!F$15</f>
        <v>841.69203291579493</v>
      </c>
      <c r="J47" s="46">
        <f>I47*'Tier 1 Coefficients'!I$5</f>
        <v>48397.291892658206</v>
      </c>
      <c r="K47" s="46">
        <f t="shared" si="1"/>
        <v>48.397291892658203</v>
      </c>
      <c r="L47" s="46">
        <f>K47*'Tier 1 Coefficients'!D$5</f>
        <v>146.35341068339841</v>
      </c>
      <c r="M47" s="46">
        <f>K47*'Tier 1 Coefficients'!C$18</f>
        <v>427.83206033109849</v>
      </c>
      <c r="N47" s="46">
        <f>K47*'Tier 1 Coefficients'!C$42</f>
        <v>4.3073589784465796</v>
      </c>
      <c r="O47" s="46">
        <f>I47*'Tier 2 FC'!D$15</f>
        <v>47976.445876200312</v>
      </c>
      <c r="P47" s="46">
        <f t="shared" si="2"/>
        <v>47.976445876200316</v>
      </c>
      <c r="Q47" s="46">
        <f>P47*'Tier 1 Coefficients'!D$5</f>
        <v>145.08077232962975</v>
      </c>
      <c r="R47" s="46">
        <f>$I47*'T2 PC'!C73</f>
        <v>6.7335362633263598</v>
      </c>
      <c r="S47" s="46">
        <f>$I47*'T2 PC'!D73</f>
        <v>446.09677744537134</v>
      </c>
      <c r="T47" s="46">
        <f>44.011*(P47/(12.011+1.008*'Tier 3 CO2 Tables'!B$5+16*'Tier 3 CO2 Tables'!C$5))</f>
        <v>145.05786946163508</v>
      </c>
      <c r="U47" s="46">
        <f>I47*'Tier 3 CO2 Tables'!H$3/10000</f>
        <v>0.12204534477279026</v>
      </c>
      <c r="V47" s="46">
        <f>44.011*(U47/(12.011+1.008*'Tier 3 CO2 Tables'!B$6+16*'Tier 3 CO2 Tables'!C$6))</f>
        <v>0.38073963248248982</v>
      </c>
      <c r="W47" s="46">
        <f>I47*'T3 Methane'!D$13</f>
        <v>67335.36263326359</v>
      </c>
      <c r="X47" s="46" cm="1">
        <f t="array" ref="X47">_xlfn.IFS(E47='Euro Age Table'!C$5,'Euro Age Table'!G$5,E47='Euro Age Table'!C$6,'Euro Age Table'!G$6,E47='Euro Age Table'!C$7,'Euro Age Table'!G$7,E47='Euro Age Table'!C$8,'Euro Age Table'!G$8,E47='Euro Age Table'!C$9,'Euro Age Table'!G$9,E47='Euro Age Table'!C$10,'Euro Age Table'!G$10,E47='Euro Age Table'!C$11,'Euro Age Table'!G$11)</f>
        <v>18</v>
      </c>
      <c r="Y47" s="46">
        <f>X47*'Eilat Car Data'!F$15</f>
        <v>263979.2537925379</v>
      </c>
      <c r="Z47" s="46">
        <f>'T3 N2O PC-Diesel LPG'!B11</f>
        <v>13</v>
      </c>
      <c r="AA47" s="124">
        <f t="shared" si="3"/>
        <v>10941.996427905335</v>
      </c>
    </row>
    <row r="48" spans="1:27" ht="12.5">
      <c r="A48" s="48" t="s">
        <v>51</v>
      </c>
      <c r="B48" s="49" t="s">
        <v>23</v>
      </c>
      <c r="C48" s="49" t="s">
        <v>52</v>
      </c>
      <c r="D48" s="49" t="s">
        <v>53</v>
      </c>
      <c r="E48" s="50" t="s">
        <v>57</v>
      </c>
      <c r="F48" s="97">
        <v>2.5564763389399571E-5</v>
      </c>
      <c r="G48" s="99">
        <f t="shared" si="0"/>
        <v>0.56117212116071002</v>
      </c>
      <c r="H48" s="46"/>
      <c r="I48" s="46">
        <f>G48*'Eilat Car Data'!F$15</f>
        <v>8229.8776551766623</v>
      </c>
      <c r="J48" s="46">
        <f>I48*'Tier 1 Coefficients'!I$5</f>
        <v>473217.96517265809</v>
      </c>
      <c r="K48" s="46">
        <f t="shared" si="1"/>
        <v>473.21796517265807</v>
      </c>
      <c r="L48" s="46">
        <f>K48*'Tier 1 Coefficients'!D$5</f>
        <v>1431.0111266821179</v>
      </c>
      <c r="M48" s="46">
        <f>K48*'Tier 1 Coefficients'!C$18</f>
        <v>4183.2468121262973</v>
      </c>
      <c r="N48" s="46">
        <f>K48*'Tier 1 Coefficients'!C$42</f>
        <v>42.116398900366569</v>
      </c>
      <c r="O48" s="46">
        <f>I48*'Tier 2 FC'!D$15</f>
        <v>469103.02634506975</v>
      </c>
      <c r="P48" s="46">
        <f t="shared" si="2"/>
        <v>469.10302634506974</v>
      </c>
      <c r="Q48" s="46">
        <f>P48*'Tier 1 Coefficients'!D$5</f>
        <v>1418.567551667491</v>
      </c>
      <c r="R48" s="46">
        <f>$I48*'T2 PC'!C74</f>
        <v>32.919510620706653</v>
      </c>
      <c r="S48" s="46">
        <f>$I48*'T2 PC'!D74</f>
        <v>3818.6632320019717</v>
      </c>
      <c r="T48" s="46">
        <f>44.011*(P48/(12.011+1.008*'Tier 3 CO2 Tables'!B$5+16*'Tier 3 CO2 Tables'!C$5))</f>
        <v>1418.3436125137653</v>
      </c>
      <c r="U48" s="46">
        <f>I48*'Tier 3 CO2 Tables'!H$3/10000</f>
        <v>1.193332260000616</v>
      </c>
      <c r="V48" s="46">
        <f>44.011*(U48/(12.011+1.008*'Tier 3 CO2 Tables'!B$6+16*'Tier 3 CO2 Tables'!C$6))</f>
        <v>3.7227875176065677</v>
      </c>
      <c r="W48" s="46">
        <f>I48*'T3 Methane'!D$13</f>
        <v>658390.21241413301</v>
      </c>
      <c r="X48" s="46" cm="1">
        <f t="array" ref="X48">_xlfn.IFS(E48='Euro Age Table'!C$5,'Euro Age Table'!G$5,E48='Euro Age Table'!C$6,'Euro Age Table'!G$6,E48='Euro Age Table'!C$7,'Euro Age Table'!G$7,E48='Euro Age Table'!C$8,'Euro Age Table'!G$8,E48='Euro Age Table'!C$9,'Euro Age Table'!G$9,E48='Euro Age Table'!C$10,'Euro Age Table'!G$10,E48='Euro Age Table'!C$11,'Euro Age Table'!G$11)</f>
        <v>16</v>
      </c>
      <c r="Y48" s="46">
        <f>X48*'Eilat Car Data'!F$15</f>
        <v>234648.22559336704</v>
      </c>
      <c r="Z48" s="46">
        <f>'T3 N2O PC-Diesel LPG'!B12</f>
        <v>5</v>
      </c>
      <c r="AA48" s="124">
        <f t="shared" si="3"/>
        <v>41149.388275883313</v>
      </c>
    </row>
    <row r="49" spans="1:27" ht="12.5">
      <c r="A49" s="48" t="s">
        <v>51</v>
      </c>
      <c r="B49" s="49" t="s">
        <v>23</v>
      </c>
      <c r="C49" s="49" t="s">
        <v>52</v>
      </c>
      <c r="D49" s="49" t="s">
        <v>53</v>
      </c>
      <c r="E49" s="50" t="s">
        <v>58</v>
      </c>
      <c r="F49" s="97">
        <v>1.3566755116874545E-4</v>
      </c>
      <c r="G49" s="99">
        <f t="shared" si="0"/>
        <v>2.9780384157051314</v>
      </c>
      <c r="H49" s="46"/>
      <c r="I49" s="46">
        <f>G49*'Eilat Car Data'!F$15</f>
        <v>43674.46437463069</v>
      </c>
      <c r="J49" s="46">
        <f>I49*'Tier 1 Coefficients'!I$5</f>
        <v>2511281.7015412645</v>
      </c>
      <c r="K49" s="46">
        <f t="shared" si="1"/>
        <v>2511.2817015412647</v>
      </c>
      <c r="L49" s="46">
        <f>K49*'Tier 1 Coefficients'!D$5</f>
        <v>7594.1158654607843</v>
      </c>
      <c r="M49" s="46">
        <f>K49*'Tier 1 Coefficients'!C$18</f>
        <v>22199.73024162478</v>
      </c>
      <c r="N49" s="46">
        <f>K49*'Tier 1 Coefficients'!C$42</f>
        <v>223.50407143717254</v>
      </c>
      <c r="O49" s="46">
        <f>I49*'Tier 2 FC'!D$15</f>
        <v>2489444.4693539492</v>
      </c>
      <c r="P49" s="46">
        <f t="shared" si="2"/>
        <v>2489.444469353949</v>
      </c>
      <c r="Q49" s="46">
        <f>P49*'Tier 1 Coefficients'!D$5</f>
        <v>7528.080075326342</v>
      </c>
      <c r="R49" s="46">
        <f>$I49*'T2 PC'!C75</f>
        <v>174.69785749852275</v>
      </c>
      <c r="S49" s="46">
        <f>$I49*'T2 PC'!D75</f>
        <v>17382.436821103016</v>
      </c>
      <c r="T49" s="46">
        <f>44.011*(P49/(12.011+1.008*'Tier 3 CO2 Tables'!B$5+16*'Tier 3 CO2 Tables'!C$5))</f>
        <v>7526.891670953728</v>
      </c>
      <c r="U49" s="46">
        <f>I49*'Tier 3 CO2 Tables'!H$3/10000</f>
        <v>6.3327973343214499</v>
      </c>
      <c r="V49" s="46">
        <f>44.011*(U49/(12.011+1.008*'Tier 3 CO2 Tables'!B$6+16*'Tier 3 CO2 Tables'!C$6))</f>
        <v>19.756156485480304</v>
      </c>
      <c r="W49" s="46">
        <f>I49*'T3 Methane'!D$13</f>
        <v>3493957.1499704551</v>
      </c>
      <c r="X49" s="46" cm="1">
        <f t="array" ref="X49">_xlfn.IFS(E49='Euro Age Table'!C$5,'Euro Age Table'!G$5,E49='Euro Age Table'!C$6,'Euro Age Table'!G$6,E49='Euro Age Table'!C$7,'Euro Age Table'!G$7,E49='Euro Age Table'!C$8,'Euro Age Table'!G$8,E49='Euro Age Table'!C$9,'Euro Age Table'!G$9,E49='Euro Age Table'!C$10,'Euro Age Table'!G$10,E49='Euro Age Table'!C$11,'Euro Age Table'!G$11)</f>
        <v>13</v>
      </c>
      <c r="Y49" s="46">
        <f>X49*'Eilat Car Data'!F$15</f>
        <v>190651.68329461073</v>
      </c>
      <c r="Z49" s="46">
        <f>'T3 N2O PC-Diesel LPG'!B13</f>
        <v>5</v>
      </c>
      <c r="AA49" s="124">
        <f t="shared" si="3"/>
        <v>218372.32187315344</v>
      </c>
    </row>
    <row r="50" spans="1:27" ht="12.5">
      <c r="A50" s="48" t="s">
        <v>51</v>
      </c>
      <c r="B50" s="49" t="s">
        <v>23</v>
      </c>
      <c r="C50" s="49" t="s">
        <v>52</v>
      </c>
      <c r="D50" s="49" t="s">
        <v>53</v>
      </c>
      <c r="E50" s="50" t="s">
        <v>59</v>
      </c>
      <c r="F50" s="97">
        <v>2.4606084762297088E-4</v>
      </c>
      <c r="G50" s="99">
        <f t="shared" si="0"/>
        <v>5.4012816661718333</v>
      </c>
      <c r="H50" s="46"/>
      <c r="I50" s="46">
        <f>G50*'Eilat Car Data'!F$15</f>
        <v>79212.572431075358</v>
      </c>
      <c r="J50" s="46">
        <f>I50*'Tier 1 Coefficients'!I$5</f>
        <v>4554722.9147868333</v>
      </c>
      <c r="K50" s="46">
        <f t="shared" si="1"/>
        <v>4554.7229147868329</v>
      </c>
      <c r="L50" s="46">
        <f>K50*'Tier 1 Coefficients'!D$5</f>
        <v>13773.482094315383</v>
      </c>
      <c r="M50" s="46">
        <f>K50*'Tier 1 Coefficients'!C$18</f>
        <v>40263.7505667156</v>
      </c>
      <c r="N50" s="46">
        <f>K50*'Tier 1 Coefficients'!C$42</f>
        <v>405.37033941602812</v>
      </c>
      <c r="O50" s="46">
        <f>I50*'Tier 2 FC'!D$15</f>
        <v>4515116.6285712952</v>
      </c>
      <c r="P50" s="46">
        <f t="shared" si="2"/>
        <v>4515.1166285712952</v>
      </c>
      <c r="Q50" s="46">
        <f>P50*'Tier 1 Coefficients'!D$5</f>
        <v>13653.712684799597</v>
      </c>
      <c r="R50" s="46">
        <f>$I50*'T2 PC'!C76</f>
        <v>316.85028972430143</v>
      </c>
      <c r="S50" s="46">
        <f>$I50*'T2 PC'!D76</f>
        <v>31526.603827567993</v>
      </c>
      <c r="T50" s="46">
        <f>44.011*(P50/(12.011+1.008*'Tier 3 CO2 Tables'!B$5+16*'Tier 3 CO2 Tables'!C$5))</f>
        <v>13651.557270444988</v>
      </c>
      <c r="U50" s="46">
        <f>I50*'Tier 3 CO2 Tables'!H$3/10000</f>
        <v>11.485823002505926</v>
      </c>
      <c r="V50" s="46">
        <f>44.011*(U50/(12.011+1.008*'Tier 3 CO2 Tables'!B$6+16*'Tier 3 CO2 Tables'!C$6))</f>
        <v>35.831829856963203</v>
      </c>
      <c r="W50" s="46">
        <f>I50*'T3 Methane'!D$13</f>
        <v>6337005.7944860291</v>
      </c>
      <c r="X50" s="46" cm="1">
        <f t="array" ref="X50">_xlfn.IFS(E50='Euro Age Table'!C$5,'Euro Age Table'!G$5,E50='Euro Age Table'!C$6,'Euro Age Table'!G$6,E50='Euro Age Table'!C$7,'Euro Age Table'!G$7,E50='Euro Age Table'!C$8,'Euro Age Table'!G$8,E50='Euro Age Table'!C$9,'Euro Age Table'!G$9,E50='Euro Age Table'!C$10,'Euro Age Table'!G$10,E50='Euro Age Table'!C$11,'Euro Age Table'!G$11)</f>
        <v>9</v>
      </c>
      <c r="Y50" s="46">
        <f>X50*'Eilat Car Data'!F$15</f>
        <v>131989.62689626895</v>
      </c>
      <c r="Z50" s="46">
        <f>'T3 N2O PC-Diesel LPG'!B14</f>
        <v>2.1</v>
      </c>
      <c r="AA50" s="124">
        <f t="shared" si="3"/>
        <v>166346.40210525825</v>
      </c>
    </row>
    <row r="51" spans="1:27" ht="12.5">
      <c r="A51" s="48" t="s">
        <v>51</v>
      </c>
      <c r="B51" s="49" t="s">
        <v>23</v>
      </c>
      <c r="C51" s="49" t="s">
        <v>52</v>
      </c>
      <c r="D51" s="49" t="s">
        <v>53</v>
      </c>
      <c r="E51" s="51" t="s">
        <v>60</v>
      </c>
      <c r="F51" s="97">
        <v>6.6816995222294338E-5</v>
      </c>
      <c r="G51" s="99">
        <f t="shared" si="0"/>
        <v>1.466699862124583</v>
      </c>
      <c r="H51" s="46"/>
      <c r="I51" s="46">
        <f>G51*'Eilat Car Data'!F$15</f>
        <v>21509.907507848093</v>
      </c>
      <c r="J51" s="46">
        <f>I51*'Tier 1 Coefficients'!I$5</f>
        <v>1236819.6817012653</v>
      </c>
      <c r="K51" s="46">
        <f t="shared" si="1"/>
        <v>1236.8196817012654</v>
      </c>
      <c r="L51" s="46">
        <f>K51*'Tier 1 Coefficients'!D$5</f>
        <v>3740.1427174646265</v>
      </c>
      <c r="M51" s="46">
        <f>K51*'Tier 1 Coefficients'!C$18</f>
        <v>10933.485986239186</v>
      </c>
      <c r="N51" s="46">
        <f>K51*'Tier 1 Coefficients'!C$42</f>
        <v>110.07695167141262</v>
      </c>
      <c r="O51" s="46">
        <f>I51*'Tier 2 FC'!D$15</f>
        <v>1226064.7279473413</v>
      </c>
      <c r="P51" s="46">
        <f t="shared" si="2"/>
        <v>1226.0647279473412</v>
      </c>
      <c r="Q51" s="46">
        <f>P51*'Tier 1 Coefficients'!D$5</f>
        <v>3707.6197373127598</v>
      </c>
      <c r="R51" s="46">
        <f>$I51*'T2 PC'!C77</f>
        <v>86.039630031392377</v>
      </c>
      <c r="S51" s="46">
        <f>$I51*'T2 PC'!D77</f>
        <v>8560.9431881235414</v>
      </c>
      <c r="T51" s="46">
        <f>44.011*(P51/(12.011+1.008*'Tier 3 CO2 Tables'!B$5+16*'Tier 3 CO2 Tables'!C$5))</f>
        <v>3707.0344417973402</v>
      </c>
      <c r="U51" s="46">
        <f>I51*'Tier 3 CO2 Tables'!H$4/10000</f>
        <v>2.7532681610045557</v>
      </c>
      <c r="V51" s="46">
        <f>44.011*(U51/(12.011+1.008*'Tier 3 CO2 Tables'!B$6+16*'Tier 3 CO2 Tables'!C$6))</f>
        <v>8.5892527051988505</v>
      </c>
      <c r="W51" s="46">
        <f>I51*'T3 Methane'!D$13</f>
        <v>1720792.6006278475</v>
      </c>
      <c r="X51" s="46" cm="1">
        <f t="array" ref="X51">_xlfn.IFS(E51='Euro Age Table'!C$5,'Euro Age Table'!G$5,E51='Euro Age Table'!C$6,'Euro Age Table'!G$6,E51='Euro Age Table'!C$7,'Euro Age Table'!G$7,E51='Euro Age Table'!C$8,'Euro Age Table'!G$8,E51='Euro Age Table'!C$9,'Euro Age Table'!G$9,E51='Euro Age Table'!C$10,'Euro Age Table'!G$10,E51='Euro Age Table'!C$11,'Euro Age Table'!G$11)</f>
        <v>3</v>
      </c>
      <c r="Y51" s="46">
        <f>X51*'Eilat Car Data'!F$15</f>
        <v>43996.542298756322</v>
      </c>
      <c r="Z51" s="46">
        <f>'T3 N2O PC-Diesel LPG'!B15</f>
        <v>2.1</v>
      </c>
      <c r="AA51" s="124">
        <f t="shared" si="3"/>
        <v>45170.805766480997</v>
      </c>
    </row>
    <row r="52" spans="1:27" ht="12.5">
      <c r="A52" s="48" t="s">
        <v>51</v>
      </c>
      <c r="B52" s="49" t="s">
        <v>23</v>
      </c>
      <c r="C52" s="49" t="s">
        <v>52</v>
      </c>
      <c r="D52" s="52" t="s">
        <v>61</v>
      </c>
      <c r="E52" s="50" t="s">
        <v>55</v>
      </c>
      <c r="F52" s="97">
        <v>6.6816995222294329E-6</v>
      </c>
      <c r="G52" s="99">
        <f t="shared" si="0"/>
        <v>0.14666998621245828</v>
      </c>
      <c r="H52" s="46"/>
      <c r="I52" s="46">
        <f>G52*'Eilat Car Data'!F$15</f>
        <v>2150.9907507848088</v>
      </c>
      <c r="J52" s="46">
        <f>I52*'Tier 1 Coefficients'!I$5</f>
        <v>123681.96817012651</v>
      </c>
      <c r="K52" s="46">
        <f t="shared" si="1"/>
        <v>123.68196817012651</v>
      </c>
      <c r="L52" s="46">
        <f>K52*'Tier 1 Coefficients'!D$5</f>
        <v>374.01427174646255</v>
      </c>
      <c r="M52" s="46">
        <f>K52*'Tier 1 Coefficients'!C$18</f>
        <v>1093.3485986239184</v>
      </c>
      <c r="N52" s="46">
        <f>K52*'Tier 1 Coefficients'!C$42</f>
        <v>11.007695167141259</v>
      </c>
      <c r="O52" s="46">
        <f>I52*'Tier 2 FC'!D$15</f>
        <v>122606.4727947341</v>
      </c>
      <c r="P52" s="46">
        <f t="shared" si="2"/>
        <v>122.6064727947341</v>
      </c>
      <c r="Q52" s="46">
        <f>P52*'Tier 1 Coefficients'!D$5</f>
        <v>370.76197373127593</v>
      </c>
      <c r="R52" s="46">
        <f>$I52*'T2 PC'!C72</f>
        <v>43.019815015696174</v>
      </c>
      <c r="S52" s="46">
        <f>$I52*'T2 PC'!D72</f>
        <v>1281.9904874677461</v>
      </c>
      <c r="T52" s="46">
        <f>44.011*(P52/(12.011+1.008*'Tier 3 CO2 Tables'!B$5+16*'Tier 3 CO2 Tables'!C$5))</f>
        <v>370.70344417973394</v>
      </c>
      <c r="U52" s="46">
        <f>I52*'Tier 3 CO2 Tables'!H$3/10000</f>
        <v>0.31189365886379727</v>
      </c>
      <c r="V52" s="46">
        <f>44.011*(U52/(12.011+1.008*'Tier 3 CO2 Tables'!B$6+16*'Tier 3 CO2 Tables'!C$6))</f>
        <v>0.97300128301080713</v>
      </c>
      <c r="W52" s="46">
        <f>I52*'T3 Methane'!D$13</f>
        <v>172079.26006278471</v>
      </c>
      <c r="X52" s="46" cm="1">
        <f t="array" ref="X52">_xlfn.IFS(E52='Euro Age Table'!C$5,'Euro Age Table'!G$5,E52='Euro Age Table'!C$6,'Euro Age Table'!G$6,E52='Euro Age Table'!C$7,'Euro Age Table'!G$7,E52='Euro Age Table'!C$8,'Euro Age Table'!G$8,E52='Euro Age Table'!C$9,'Euro Age Table'!G$9,E52='Euro Age Table'!C$10,'Euro Age Table'!G$10,E52='Euro Age Table'!C$11,'Euro Age Table'!G$11)</f>
        <v>23</v>
      </c>
      <c r="Y52" s="46">
        <f>X52*'Eilat Car Data'!F$15</f>
        <v>337306.8242904651</v>
      </c>
      <c r="Z52" s="121">
        <f>'T3 N2O PC-Diesel LPG'!B10</f>
        <v>21</v>
      </c>
      <c r="AA52" s="124">
        <f t="shared" si="3"/>
        <v>45170.805766480982</v>
      </c>
    </row>
    <row r="53" spans="1:27" ht="12.5">
      <c r="A53" s="48" t="s">
        <v>51</v>
      </c>
      <c r="B53" s="49" t="s">
        <v>23</v>
      </c>
      <c r="C53" s="49" t="s">
        <v>52</v>
      </c>
      <c r="D53" s="49" t="s">
        <v>61</v>
      </c>
      <c r="E53" s="50" t="s">
        <v>56</v>
      </c>
      <c r="F53" s="97">
        <v>5.2291561478317302E-5</v>
      </c>
      <c r="G53" s="99">
        <f t="shared" si="0"/>
        <v>1.1478520660105431</v>
      </c>
      <c r="H53" s="46"/>
      <c r="I53" s="46">
        <f>G53*'Eilat Car Data'!F$15</f>
        <v>16833.840658315898</v>
      </c>
      <c r="J53" s="46">
        <f>I53*'Tier 1 Coefficients'!I$5</f>
        <v>967945.83785316406</v>
      </c>
      <c r="K53" s="46">
        <f t="shared" si="1"/>
        <v>967.94583785316411</v>
      </c>
      <c r="L53" s="46">
        <f>K53*'Tier 1 Coefficients'!D$5</f>
        <v>2927.0682136679684</v>
      </c>
      <c r="M53" s="46">
        <f>K53*'Tier 1 Coefficients'!C$18</f>
        <v>8556.6412066219709</v>
      </c>
      <c r="N53" s="46">
        <f>K53*'Tier 1 Coefficients'!C$42</f>
        <v>86.147179568931605</v>
      </c>
      <c r="O53" s="46">
        <f>I53*'Tier 2 FC'!D$15</f>
        <v>959528.91752400622</v>
      </c>
      <c r="P53" s="46">
        <f t="shared" si="2"/>
        <v>959.52891752400626</v>
      </c>
      <c r="Q53" s="46">
        <f>P53*'Tier 1 Coefficients'!D$5</f>
        <v>2901.6154465925952</v>
      </c>
      <c r="R53" s="46">
        <f>$I53*'T2 PC'!C73</f>
        <v>134.67072526652717</v>
      </c>
      <c r="S53" s="46">
        <f>$I53*'T2 PC'!D73</f>
        <v>8921.935548907426</v>
      </c>
      <c r="T53" s="46">
        <f>44.011*(P53/(12.011+1.008*'Tier 3 CO2 Tables'!B$5+16*'Tier 3 CO2 Tables'!C$5))</f>
        <v>2901.1573892327015</v>
      </c>
      <c r="U53" s="46">
        <f>I53*'Tier 3 CO2 Tables'!H$3/10000</f>
        <v>2.4409068954558051</v>
      </c>
      <c r="V53" s="46">
        <f>44.011*(U53/(12.011+1.008*'Tier 3 CO2 Tables'!B$6+16*'Tier 3 CO2 Tables'!C$6))</f>
        <v>7.6147926496497957</v>
      </c>
      <c r="W53" s="46">
        <f>I53*'T3 Methane'!D$13</f>
        <v>1346707.2526652717</v>
      </c>
      <c r="X53" s="46" cm="1">
        <f t="array" ref="X53">_xlfn.IFS(E53='Euro Age Table'!C$5,'Euro Age Table'!G$5,E53='Euro Age Table'!C$6,'Euro Age Table'!G$6,E53='Euro Age Table'!C$7,'Euro Age Table'!G$7,E53='Euro Age Table'!C$8,'Euro Age Table'!G$8,E53='Euro Age Table'!C$9,'Euro Age Table'!G$9,E53='Euro Age Table'!C$10,'Euro Age Table'!G$10,E53='Euro Age Table'!C$11,'Euro Age Table'!G$11)</f>
        <v>18</v>
      </c>
      <c r="Y53" s="46">
        <f>X53*'Eilat Car Data'!F$15</f>
        <v>263979.2537925379</v>
      </c>
      <c r="Z53" s="121">
        <f>'T3 N2O PC-Diesel LPG'!B11</f>
        <v>13</v>
      </c>
      <c r="AA53" s="124">
        <f t="shared" si="3"/>
        <v>218839.92855810668</v>
      </c>
    </row>
    <row r="54" spans="1:27" ht="12.5">
      <c r="A54" s="48" t="s">
        <v>51</v>
      </c>
      <c r="B54" s="49" t="s">
        <v>23</v>
      </c>
      <c r="C54" s="49" t="s">
        <v>52</v>
      </c>
      <c r="D54" s="49" t="s">
        <v>61</v>
      </c>
      <c r="E54" s="50" t="s">
        <v>57</v>
      </c>
      <c r="F54" s="97">
        <v>3.2275513779116957E-4</v>
      </c>
      <c r="G54" s="99">
        <f t="shared" si="0"/>
        <v>7.084798029653963</v>
      </c>
      <c r="H54" s="46"/>
      <c r="I54" s="46">
        <f>G54*'Eilat Car Data'!F$15</f>
        <v>103902.20539660534</v>
      </c>
      <c r="J54" s="46">
        <f>I54*'Tier 1 Coefficients'!I$5</f>
        <v>5974376.8103048066</v>
      </c>
      <c r="K54" s="46">
        <f t="shared" si="1"/>
        <v>5974.3768103048069</v>
      </c>
      <c r="L54" s="46">
        <f>K54*'Tier 1 Coefficients'!D$5</f>
        <v>18066.515474361735</v>
      </c>
      <c r="M54" s="46">
        <f>K54*'Tier 1 Coefficients'!C$18</f>
        <v>52813.491003094496</v>
      </c>
      <c r="N54" s="46">
        <f>K54*'Tier 1 Coefficients'!C$42</f>
        <v>531.71953611712775</v>
      </c>
      <c r="O54" s="46">
        <f>I54*'Tier 2 FC'!D$15</f>
        <v>5922425.7076065037</v>
      </c>
      <c r="P54" s="46">
        <f t="shared" si="2"/>
        <v>5922.4257076065041</v>
      </c>
      <c r="Q54" s="46">
        <f>P54*'Tier 1 Coefficients'!D$5</f>
        <v>17909.415339802068</v>
      </c>
      <c r="R54" s="46">
        <f>$I54*'T2 PC'!C74</f>
        <v>415.60882158642136</v>
      </c>
      <c r="S54" s="46">
        <f>$I54*'T2 PC'!D74</f>
        <v>48210.623304024877</v>
      </c>
      <c r="T54" s="46">
        <f>44.011*(P54/(12.011+1.008*'Tier 3 CO2 Tables'!B$5+16*'Tier 3 CO2 Tables'!C$5))</f>
        <v>17906.588107986281</v>
      </c>
      <c r="U54" s="46">
        <f>I54*'Tier 3 CO2 Tables'!H$3/10000</f>
        <v>15.065819782507772</v>
      </c>
      <c r="V54" s="46">
        <f>44.011*(U54/(12.011+1.008*'Tier 3 CO2 Tables'!B$6+16*'Tier 3 CO2 Tables'!C$6))</f>
        <v>47.000192409782898</v>
      </c>
      <c r="W54" s="46">
        <f>I54*'T3 Methane'!D$13</f>
        <v>8312176.4317284264</v>
      </c>
      <c r="X54" s="46" cm="1">
        <f t="array" ref="X54">_xlfn.IFS(E54='Euro Age Table'!C$5,'Euro Age Table'!G$5,E54='Euro Age Table'!C$6,'Euro Age Table'!G$6,E54='Euro Age Table'!C$7,'Euro Age Table'!G$7,E54='Euro Age Table'!C$8,'Euro Age Table'!G$8,E54='Euro Age Table'!C$9,'Euro Age Table'!G$9,E54='Euro Age Table'!C$10,'Euro Age Table'!G$10,E54='Euro Age Table'!C$11,'Euro Age Table'!G$11)</f>
        <v>16</v>
      </c>
      <c r="Y54" s="46">
        <f>X54*'Eilat Car Data'!F$15</f>
        <v>234648.22559336704</v>
      </c>
      <c r="Z54" s="121">
        <f>'T3 N2O PC-Diesel LPG'!B12</f>
        <v>5</v>
      </c>
      <c r="AA54" s="124">
        <f t="shared" si="3"/>
        <v>519511.02698302665</v>
      </c>
    </row>
    <row r="55" spans="1:27" ht="12.5">
      <c r="A55" s="48" t="s">
        <v>51</v>
      </c>
      <c r="B55" s="49" t="s">
        <v>23</v>
      </c>
      <c r="C55" s="49" t="s">
        <v>52</v>
      </c>
      <c r="D55" s="49" t="s">
        <v>61</v>
      </c>
      <c r="E55" s="50" t="s">
        <v>58</v>
      </c>
      <c r="F55" s="97">
        <v>1.4040284256928196E-3</v>
      </c>
      <c r="G55" s="99">
        <f t="shared" si="0"/>
        <v>30.819827972383084</v>
      </c>
      <c r="H55" s="46"/>
      <c r="I55" s="46">
        <f>G55*'Eilat Car Data'!F$15</f>
        <v>451988.62167578185</v>
      </c>
      <c r="J55" s="46">
        <f>I55*'Tier 1 Coefficients'!I$5</f>
        <v>25989345.746357456</v>
      </c>
      <c r="K55" s="46">
        <f t="shared" si="1"/>
        <v>25989.345746357456</v>
      </c>
      <c r="L55" s="46">
        <f>K55*'Tier 1 Coefficients'!D$5</f>
        <v>78591.781536984941</v>
      </c>
      <c r="M55" s="46">
        <f>K55*'Tier 1 Coefficients'!C$18</f>
        <v>229745.81639779991</v>
      </c>
      <c r="N55" s="46">
        <f>K55*'Tier 1 Coefficients'!C$42</f>
        <v>2313.0517714258135</v>
      </c>
      <c r="O55" s="46">
        <f>I55*'Tier 2 FC'!D$15</f>
        <v>25763351.435519565</v>
      </c>
      <c r="P55" s="46">
        <f t="shared" si="2"/>
        <v>25763.351435519566</v>
      </c>
      <c r="Q55" s="46">
        <f>P55*'Tier 1 Coefficients'!D$5</f>
        <v>77908.374741011168</v>
      </c>
      <c r="R55" s="46">
        <f>$I55*'T2 PC'!C75</f>
        <v>1807.9544867031275</v>
      </c>
      <c r="S55" s="46">
        <f>$I55*'T2 PC'!D75</f>
        <v>179891.47142696119</v>
      </c>
      <c r="T55" s="46">
        <f>44.011*(P55/(12.011+1.008*'Tier 3 CO2 Tables'!B$5+16*'Tier 3 CO2 Tables'!C$5))</f>
        <v>77896.075900898024</v>
      </c>
      <c r="U55" s="46">
        <f>I55*'Tier 3 CO2 Tables'!H$3/10000</f>
        <v>65.538350142988364</v>
      </c>
      <c r="V55" s="46">
        <f>44.011*(U55/(12.011+1.008*'Tier 3 CO2 Tables'!B$6+16*'Tier 3 CO2 Tables'!C$6))</f>
        <v>204.45718264309701</v>
      </c>
      <c r="W55" s="46">
        <f>I55*'T3 Methane'!D$13</f>
        <v>36159089.734062545</v>
      </c>
      <c r="X55" s="46" cm="1">
        <f t="array" ref="X55">_xlfn.IFS(E55='Euro Age Table'!C$5,'Euro Age Table'!G$5,E55='Euro Age Table'!C$6,'Euro Age Table'!G$6,E55='Euro Age Table'!C$7,'Euro Age Table'!G$7,E55='Euro Age Table'!C$8,'Euro Age Table'!G$8,E55='Euro Age Table'!C$9,'Euro Age Table'!G$9,E55='Euro Age Table'!C$10,'Euro Age Table'!G$10,E55='Euro Age Table'!C$11,'Euro Age Table'!G$11)</f>
        <v>13</v>
      </c>
      <c r="Y55" s="46">
        <f>X55*'Eilat Car Data'!F$15</f>
        <v>190651.68329461073</v>
      </c>
      <c r="Z55" s="121">
        <f>'T3 N2O PC-Diesel LPG'!B13</f>
        <v>5</v>
      </c>
      <c r="AA55" s="124">
        <f t="shared" si="3"/>
        <v>2259943.1083789091</v>
      </c>
    </row>
    <row r="56" spans="1:27" ht="12.5">
      <c r="A56" s="48" t="s">
        <v>51</v>
      </c>
      <c r="B56" s="49" t="s">
        <v>23</v>
      </c>
      <c r="C56" s="49" t="s">
        <v>52</v>
      </c>
      <c r="D56" s="49" t="s">
        <v>61</v>
      </c>
      <c r="E56" s="50" t="s">
        <v>59</v>
      </c>
      <c r="F56" s="97">
        <v>8.0529004676608651E-4</v>
      </c>
      <c r="G56" s="99">
        <f t="shared" si="0"/>
        <v>17.676921816562366</v>
      </c>
      <c r="H56" s="46"/>
      <c r="I56" s="46">
        <f>G56*'Eilat Car Data'!F$15</f>
        <v>259241.14613806485</v>
      </c>
      <c r="J56" s="46">
        <f>I56*'Tier 1 Coefficients'!I$5</f>
        <v>14906365.902938729</v>
      </c>
      <c r="K56" s="46">
        <f t="shared" si="1"/>
        <v>14906.365902938729</v>
      </c>
      <c r="L56" s="46">
        <f>K56*'Tier 1 Coefficients'!D$5</f>
        <v>45076.850490486715</v>
      </c>
      <c r="M56" s="46">
        <f>K56*'Tier 1 Coefficients'!C$18</f>
        <v>131772.27458197836</v>
      </c>
      <c r="N56" s="46">
        <f>K56*'Tier 1 Coefficients'!C$42</f>
        <v>1326.6665653615469</v>
      </c>
      <c r="O56" s="46">
        <f>I56*'Tier 2 FC'!D$15</f>
        <v>14776745.329869697</v>
      </c>
      <c r="P56" s="46">
        <f t="shared" si="2"/>
        <v>14776.745329869696</v>
      </c>
      <c r="Q56" s="46">
        <f>P56*'Tier 1 Coefficients'!D$5</f>
        <v>44684.877877525963</v>
      </c>
      <c r="R56" s="46">
        <f>$I56*'T2 PC'!C76</f>
        <v>1036.9645845522593</v>
      </c>
      <c r="S56" s="46">
        <f>$I56*'T2 PC'!D76</f>
        <v>103177.97616294982</v>
      </c>
      <c r="T56" s="46">
        <f>44.011*(P56/(12.011+1.008*'Tier 3 CO2 Tables'!B$5+16*'Tier 3 CO2 Tables'!C$5))</f>
        <v>44677.823794183598</v>
      </c>
      <c r="U56" s="46">
        <f>I56*'Tier 3 CO2 Tables'!H$3/10000</f>
        <v>37.589966190019403</v>
      </c>
      <c r="V56" s="46">
        <f>44.011*(U56/(12.011+1.008*'Tier 3 CO2 Tables'!B$6+16*'Tier 3 CO2 Tables'!C$6))</f>
        <v>117.26780680460688</v>
      </c>
      <c r="W56" s="46">
        <f>I56*'T3 Methane'!D$13</f>
        <v>20739291.691045187</v>
      </c>
      <c r="X56" s="46" cm="1">
        <f t="array" ref="X56">_xlfn.IFS(E56='Euro Age Table'!C$5,'Euro Age Table'!G$5,E56='Euro Age Table'!C$6,'Euro Age Table'!G$6,E56='Euro Age Table'!C$7,'Euro Age Table'!G$7,E56='Euro Age Table'!C$8,'Euro Age Table'!G$8,E56='Euro Age Table'!C$9,'Euro Age Table'!G$9,E56='Euro Age Table'!C$10,'Euro Age Table'!G$10,E56='Euro Age Table'!C$11,'Euro Age Table'!G$11)</f>
        <v>9</v>
      </c>
      <c r="Y56" s="46">
        <f>X56*'Eilat Car Data'!F$15</f>
        <v>131989.62689626895</v>
      </c>
      <c r="Z56" s="121">
        <f>'T3 N2O PC-Diesel LPG'!B14</f>
        <v>2.1</v>
      </c>
      <c r="AA56" s="124">
        <f t="shared" si="3"/>
        <v>544406.40688993619</v>
      </c>
    </row>
    <row r="57" spans="1:27" ht="12.5">
      <c r="A57" s="48" t="s">
        <v>51</v>
      </c>
      <c r="B57" s="49" t="s">
        <v>23</v>
      </c>
      <c r="C57" s="49" t="s">
        <v>52</v>
      </c>
      <c r="D57" s="51" t="s">
        <v>61</v>
      </c>
      <c r="E57" s="51" t="s">
        <v>60</v>
      </c>
      <c r="F57" s="97">
        <v>2.0626115916447382E-4</v>
      </c>
      <c r="G57" s="99">
        <f t="shared" si="0"/>
        <v>4.5276387048193651</v>
      </c>
      <c r="H57" s="46"/>
      <c r="I57" s="46">
        <f>G57*'Eilat Car Data'!F$15</f>
        <v>66400.149263357162</v>
      </c>
      <c r="J57" s="46">
        <f>I57*'Tier 1 Coefficients'!I$5</f>
        <v>3818008.5826430367</v>
      </c>
      <c r="K57" s="46">
        <f t="shared" si="1"/>
        <v>3818.0085826430368</v>
      </c>
      <c r="L57" s="46">
        <f>K57*'Tier 1 Coefficients'!D$5</f>
        <v>11545.657953912543</v>
      </c>
      <c r="M57" s="46">
        <f>K57*'Tier 1 Coefficients'!C$18</f>
        <v>33751.195870564443</v>
      </c>
      <c r="N57" s="46">
        <f>K57*'Tier 1 Coefficients'!C$42</f>
        <v>339.80276385523024</v>
      </c>
      <c r="O57" s="46">
        <f>I57*'Tier 2 FC'!D$15</f>
        <v>3784808.5080113583</v>
      </c>
      <c r="P57" s="46">
        <f t="shared" si="2"/>
        <v>3784.8085080113583</v>
      </c>
      <c r="Q57" s="46">
        <f>P57*'Tier 1 Coefficients'!D$5</f>
        <v>11445.260928226347</v>
      </c>
      <c r="R57" s="46">
        <f>$I57*'T2 PC'!C77</f>
        <v>265.60059705342866</v>
      </c>
      <c r="S57" s="46">
        <f>$I57*'T2 PC'!D77</f>
        <v>26427.259406816152</v>
      </c>
      <c r="T57" s="46">
        <f>44.011*(P57/(12.011+1.008*'Tier 3 CO2 Tables'!B$5+16*'Tier 3 CO2 Tables'!C$5))</f>
        <v>11443.454146417876</v>
      </c>
      <c r="U57" s="46">
        <f>I57*'Tier 3 CO2 Tables'!H$4/10000</f>
        <v>8.4992191057097166</v>
      </c>
      <c r="V57" s="46">
        <f>44.011*(U57/(12.011+1.008*'Tier 3 CO2 Tables'!B$6+16*'Tier 3 CO2 Tables'!C$6))</f>
        <v>26.514649655179063</v>
      </c>
      <c r="W57" s="46">
        <f>I57*'T3 Methane'!D$13</f>
        <v>5312011.9410685729</v>
      </c>
      <c r="X57" s="46" cm="1">
        <f t="array" ref="X57">_xlfn.IFS(E57='Euro Age Table'!C$5,'Euro Age Table'!G$5,E57='Euro Age Table'!C$6,'Euro Age Table'!G$6,E57='Euro Age Table'!C$7,'Euro Age Table'!G$7,E57='Euro Age Table'!C$8,'Euro Age Table'!G$8,E57='Euro Age Table'!C$9,'Euro Age Table'!G$9,E57='Euro Age Table'!C$10,'Euro Age Table'!G$10,E57='Euro Age Table'!C$11,'Euro Age Table'!G$11)</f>
        <v>3</v>
      </c>
      <c r="Y57" s="46">
        <f>X57*'Eilat Car Data'!F$15</f>
        <v>43996.542298756322</v>
      </c>
      <c r="Z57" s="121">
        <f>'T3 N2O PC-Diesel LPG'!B15</f>
        <v>2.1</v>
      </c>
      <c r="AA57" s="124">
        <f t="shared" si="3"/>
        <v>139440.31345305004</v>
      </c>
    </row>
    <row r="58" spans="1:27" ht="12.5">
      <c r="A58" s="48" t="s">
        <v>51</v>
      </c>
      <c r="B58" s="49" t="s">
        <v>23</v>
      </c>
      <c r="C58" s="49" t="s">
        <v>52</v>
      </c>
      <c r="D58" s="49" t="s">
        <v>62</v>
      </c>
      <c r="E58" s="50" t="s">
        <v>54</v>
      </c>
      <c r="F58" s="97">
        <v>5.2291561478317306E-6</v>
      </c>
      <c r="G58" s="99">
        <f t="shared" si="0"/>
        <v>0.11478520660105432</v>
      </c>
      <c r="H58" s="46"/>
      <c r="I58" s="46">
        <f>G58*'Eilat Car Data'!F$15</f>
        <v>1683.3840658315899</v>
      </c>
      <c r="J58" s="46">
        <f>I58*'Tier 1 Coefficients'!I$5</f>
        <v>96794.583785316412</v>
      </c>
      <c r="K58" s="46">
        <f t="shared" si="1"/>
        <v>96.794583785316405</v>
      </c>
      <c r="L58" s="46">
        <f>K58*'Tier 1 Coefficients'!D$5</f>
        <v>292.70682136679682</v>
      </c>
      <c r="M58" s="46">
        <f>K58*'Tier 1 Coefficients'!C$18</f>
        <v>855.66412066219698</v>
      </c>
      <c r="N58" s="46">
        <f>K58*'Tier 1 Coefficients'!C$42</f>
        <v>8.6147179568931591</v>
      </c>
      <c r="O58" s="46">
        <f>I58*'Tier 2 FC'!D$14</f>
        <v>99319.659884063803</v>
      </c>
      <c r="P58" s="46">
        <f t="shared" si="2"/>
        <v>99.31965988406381</v>
      </c>
      <c r="Q58" s="46">
        <f>P58*'Tier 1 Coefficients'!D$5</f>
        <v>300.34265148940898</v>
      </c>
      <c r="R58" s="46">
        <f>$I58*'T2 PC'!C71</f>
        <v>0</v>
      </c>
      <c r="S58" s="46">
        <f>$I58*'T2 PC'!D71</f>
        <v>1116.0836356463442</v>
      </c>
      <c r="T58" s="46">
        <f>44.011*(P58/(12.011+1.008*'Tier 3 CO2 Tables'!B$5+16*'Tier 3 CO2 Tables'!C$5))</f>
        <v>300.29523853461296</v>
      </c>
      <c r="U58" s="46">
        <f>I58*'Tier 3 CO2 Tables'!H$3/10000</f>
        <v>0.24409068954558052</v>
      </c>
      <c r="V58" s="46">
        <f>44.011*(U58/(12.011+1.008*'Tier 3 CO2 Tables'!B$6+16*'Tier 3 CO2 Tables'!C$6))</f>
        <v>0.76147926496497964</v>
      </c>
      <c r="W58" s="46">
        <f>I58*'T3 Methane'!D$13</f>
        <v>134670.72526652718</v>
      </c>
      <c r="X58" s="46" cm="1">
        <f t="array" ref="X58">_xlfn.IFS(E58='Euro Age Table'!C$5,'Euro Age Table'!G$5,E58='Euro Age Table'!C$6,'Euro Age Table'!G$6,E58='Euro Age Table'!C$7,'Euro Age Table'!G$7,E58='Euro Age Table'!C$8,'Euro Age Table'!G$8,E58='Euro Age Table'!C$9,'Euro Age Table'!G$9,E58='Euro Age Table'!C$10,'Euro Age Table'!G$10,E58='Euro Age Table'!C$11,'Euro Age Table'!G$11)</f>
        <v>27</v>
      </c>
      <c r="Y58" s="46">
        <f>X58*'Eilat Car Data'!F$15</f>
        <v>395968.88068880688</v>
      </c>
      <c r="Z58" s="46">
        <f>'T3 N2O PC-Diesel LPG'!B9</f>
        <v>0</v>
      </c>
      <c r="AA58" s="124">
        <f t="shared" si="3"/>
        <v>0</v>
      </c>
    </row>
    <row r="59" spans="1:27" ht="12.5">
      <c r="A59" s="48" t="s">
        <v>51</v>
      </c>
      <c r="B59" s="49" t="s">
        <v>23</v>
      </c>
      <c r="C59" s="49" t="s">
        <v>52</v>
      </c>
      <c r="D59" s="49" t="s">
        <v>62</v>
      </c>
      <c r="E59" s="50" t="s">
        <v>55</v>
      </c>
      <c r="F59" s="97">
        <v>6.914106462133066E-5</v>
      </c>
      <c r="G59" s="99">
        <f t="shared" si="0"/>
        <v>1.5177155095028294</v>
      </c>
      <c r="H59" s="46"/>
      <c r="I59" s="46">
        <f>G59*'Eilat Car Data'!F$15</f>
        <v>22258.078203773246</v>
      </c>
      <c r="J59" s="46">
        <f>I59*'Tier 1 Coefficients'!I$5</f>
        <v>1279839.4967169617</v>
      </c>
      <c r="K59" s="46">
        <f t="shared" si="1"/>
        <v>1279.8394967169618</v>
      </c>
      <c r="L59" s="46">
        <f>K59*'Tier 1 Coefficients'!D$5</f>
        <v>3870.2346380720924</v>
      </c>
      <c r="M59" s="46">
        <f>K59*'Tier 1 Coefficients'!C$18</f>
        <v>11313.781150977942</v>
      </c>
      <c r="N59" s="46">
        <f>K59*'Tier 1 Coefficients'!C$42</f>
        <v>113.90571520780959</v>
      </c>
      <c r="O59" s="46">
        <f>I59*'Tier 2 FC'!D$15</f>
        <v>1268710.4576150749</v>
      </c>
      <c r="P59" s="46">
        <f t="shared" si="2"/>
        <v>1268.710457615075</v>
      </c>
      <c r="Q59" s="46">
        <f>P59*'Tier 1 Coefficients'!D$5</f>
        <v>3836.580423827987</v>
      </c>
      <c r="R59" s="46">
        <f>$I59*'T2 PC'!C72</f>
        <v>445.16156407546492</v>
      </c>
      <c r="S59" s="46">
        <f>$I59*'T2 PC'!D72</f>
        <v>13265.814609448855</v>
      </c>
      <c r="T59" s="46">
        <f>44.011*(P59/(12.011+1.008*'Tier 3 CO2 Tables'!B$5+16*'Tier 3 CO2 Tables'!C$5))</f>
        <v>3835.9747702076829</v>
      </c>
      <c r="U59" s="46">
        <f>I59*'Tier 3 CO2 Tables'!H$3/10000</f>
        <v>3.2274213395471203</v>
      </c>
      <c r="V59" s="46">
        <f>44.011*(U59/(12.011+1.008*'Tier 3 CO2 Tables'!B$6+16*'Tier 3 CO2 Tables'!C$6))</f>
        <v>10.068448058981398</v>
      </c>
      <c r="W59" s="46">
        <f>I59*'T3 Methane'!D$13</f>
        <v>1780646.2563018596</v>
      </c>
      <c r="X59" s="46" cm="1">
        <f t="array" ref="X59">_xlfn.IFS(E59='Euro Age Table'!C$5,'Euro Age Table'!G$5,E59='Euro Age Table'!C$6,'Euro Age Table'!G$6,E59='Euro Age Table'!C$7,'Euro Age Table'!G$7,E59='Euro Age Table'!C$8,'Euro Age Table'!G$8,E59='Euro Age Table'!C$9,'Euro Age Table'!G$9,E59='Euro Age Table'!C$10,'Euro Age Table'!G$10,E59='Euro Age Table'!C$11,'Euro Age Table'!G$11)</f>
        <v>23</v>
      </c>
      <c r="Y59" s="46">
        <f>X59*'Eilat Car Data'!F$15</f>
        <v>337306.8242904651</v>
      </c>
      <c r="Z59" s="46">
        <f>'T3 N2O PC-Diesel LPG'!B10</f>
        <v>21</v>
      </c>
      <c r="AA59" s="124">
        <f t="shared" si="3"/>
        <v>467419.64227923815</v>
      </c>
    </row>
    <row r="60" spans="1:27" ht="12.5">
      <c r="A60" s="48" t="s">
        <v>51</v>
      </c>
      <c r="B60" s="49" t="s">
        <v>23</v>
      </c>
      <c r="C60" s="49" t="s">
        <v>52</v>
      </c>
      <c r="D60" s="49" t="s">
        <v>62</v>
      </c>
      <c r="E60" s="50" t="s">
        <v>56</v>
      </c>
      <c r="F60" s="97">
        <v>8.5700059089464464E-5</v>
      </c>
      <c r="G60" s="99">
        <f t="shared" si="0"/>
        <v>1.8812019970728344</v>
      </c>
      <c r="H60" s="46"/>
      <c r="I60" s="46">
        <f>G60*'Eilat Car Data'!F$15</f>
        <v>27588.794412239942</v>
      </c>
      <c r="J60" s="46">
        <f>I60*'Tier 1 Coefficients'!I$5</f>
        <v>1586355.6787037966</v>
      </c>
      <c r="K60" s="46">
        <f t="shared" si="1"/>
        <v>1586.3556787037967</v>
      </c>
      <c r="L60" s="46">
        <f>K60*'Tier 1 Coefficients'!D$5</f>
        <v>4797.1395724002814</v>
      </c>
      <c r="M60" s="46">
        <f>K60*'Tier 1 Coefficients'!C$18</f>
        <v>14023.384199741562</v>
      </c>
      <c r="N60" s="46">
        <f>K60*'Tier 1 Coefficients'!C$42</f>
        <v>141.18565540463788</v>
      </c>
      <c r="O60" s="46">
        <f>I60*'Tier 2 FC'!D$15</f>
        <v>1572561.2814976766</v>
      </c>
      <c r="P60" s="46">
        <f t="shared" si="2"/>
        <v>1572.5612814976766</v>
      </c>
      <c r="Q60" s="46">
        <f>P60*'Tier 1 Coefficients'!D$5</f>
        <v>4755.4253152489746</v>
      </c>
      <c r="R60" s="46">
        <f>$I60*'T2 PC'!C73</f>
        <v>220.71035529791953</v>
      </c>
      <c r="S60" s="46">
        <f>$I60*'T2 PC'!D73</f>
        <v>14622.061038487171</v>
      </c>
      <c r="T60" s="46">
        <f>44.011*(P60/(12.011+1.008*'Tier 3 CO2 Tables'!B$5+16*'Tier 3 CO2 Tables'!C$5))</f>
        <v>4754.6746101313711</v>
      </c>
      <c r="U60" s="46">
        <f>I60*'Tier 3 CO2 Tables'!H$3/10000</f>
        <v>4.0003751897747915</v>
      </c>
      <c r="V60" s="46">
        <f>44.011*(U60/(12.011+1.008*'Tier 3 CO2 Tables'!B$6+16*'Tier 3 CO2 Tables'!C$6))</f>
        <v>12.479799064703831</v>
      </c>
      <c r="W60" s="46">
        <f>I60*'T3 Methane'!D$13</f>
        <v>2207103.5529791955</v>
      </c>
      <c r="X60" s="46" cm="1">
        <f t="array" ref="X60">_xlfn.IFS(E60='Euro Age Table'!C$5,'Euro Age Table'!G$5,E60='Euro Age Table'!C$6,'Euro Age Table'!G$6,E60='Euro Age Table'!C$7,'Euro Age Table'!G$7,E60='Euro Age Table'!C$8,'Euro Age Table'!G$8,E60='Euro Age Table'!C$9,'Euro Age Table'!G$9,E60='Euro Age Table'!C$10,'Euro Age Table'!G$10,E60='Euro Age Table'!C$11,'Euro Age Table'!G$11)</f>
        <v>18</v>
      </c>
      <c r="Y60" s="46">
        <f>X60*'Eilat Car Data'!F$15</f>
        <v>263979.2537925379</v>
      </c>
      <c r="Z60" s="46">
        <f>'T3 N2O PC-Diesel LPG'!B11</f>
        <v>13</v>
      </c>
      <c r="AA60" s="124">
        <f t="shared" si="3"/>
        <v>358654.32735911926</v>
      </c>
    </row>
    <row r="61" spans="1:27" ht="12.5">
      <c r="A61" s="48" t="s">
        <v>51</v>
      </c>
      <c r="B61" s="49" t="s">
        <v>23</v>
      </c>
      <c r="C61" s="49" t="s">
        <v>52</v>
      </c>
      <c r="D61" s="49" t="s">
        <v>62</v>
      </c>
      <c r="E61" s="50" t="s">
        <v>57</v>
      </c>
      <c r="F61" s="97">
        <v>4.2617622604828605E-4</v>
      </c>
      <c r="G61" s="99">
        <f t="shared" si="0"/>
        <v>9.3549943379859268</v>
      </c>
      <c r="H61" s="46"/>
      <c r="I61" s="46">
        <f>G61*'Eilat Car Data'!F$15</f>
        <v>137195.80136527456</v>
      </c>
      <c r="J61" s="46">
        <f>I61*'Tier 1 Coefficients'!I$5</f>
        <v>7888758.5785032874</v>
      </c>
      <c r="K61" s="46">
        <f t="shared" si="1"/>
        <v>7888.758578503287</v>
      </c>
      <c r="L61" s="46">
        <f>K61*'Tier 1 Coefficients'!D$5</f>
        <v>23855.60594139394</v>
      </c>
      <c r="M61" s="46">
        <f>K61*'Tier 1 Coefficients'!C$18</f>
        <v>69736.625833969054</v>
      </c>
      <c r="N61" s="46">
        <f>K61*'Tier 1 Coefficients'!C$42</f>
        <v>702.09951348679249</v>
      </c>
      <c r="O61" s="46">
        <f>I61*'Tier 2 FC'!D$15</f>
        <v>7820160.6778206499</v>
      </c>
      <c r="P61" s="46">
        <f t="shared" si="2"/>
        <v>7820.1606778206497</v>
      </c>
      <c r="Q61" s="46">
        <f>P61*'Tier 1 Coefficients'!D$5</f>
        <v>23648.165889729644</v>
      </c>
      <c r="R61" s="46">
        <f>$I61*'T2 PC'!C74</f>
        <v>548.78320546109819</v>
      </c>
      <c r="S61" s="46">
        <f>$I61*'T2 PC'!D74</f>
        <v>63658.851833487395</v>
      </c>
      <c r="T61" s="46">
        <f>44.011*(P61/(12.011+1.008*'Tier 3 CO2 Tables'!B$5+16*'Tier 3 CO2 Tables'!C$5))</f>
        <v>23644.432722246511</v>
      </c>
      <c r="U61" s="46">
        <f>I61*'Tier 3 CO2 Tables'!H$3/10000</f>
        <v>19.89339119796481</v>
      </c>
      <c r="V61" s="46">
        <f>44.011*(U61/(12.011+1.008*'Tier 3 CO2 Tables'!B$6+16*'Tier 3 CO2 Tables'!C$6))</f>
        <v>62.06056009464583</v>
      </c>
      <c r="W61" s="46">
        <f>I61*'T3 Methane'!D$13</f>
        <v>10975664.109221965</v>
      </c>
      <c r="X61" s="46" cm="1">
        <f t="array" ref="X61">_xlfn.IFS(E61='Euro Age Table'!C$5,'Euro Age Table'!G$5,E61='Euro Age Table'!C$6,'Euro Age Table'!G$6,E61='Euro Age Table'!C$7,'Euro Age Table'!G$7,E61='Euro Age Table'!C$8,'Euro Age Table'!G$8,E61='Euro Age Table'!C$9,'Euro Age Table'!G$9,E61='Euro Age Table'!C$10,'Euro Age Table'!G$10,E61='Euro Age Table'!C$11,'Euro Age Table'!G$11)</f>
        <v>16</v>
      </c>
      <c r="Y61" s="46">
        <f>X61*'Eilat Car Data'!F$15</f>
        <v>234648.22559336704</v>
      </c>
      <c r="Z61" s="46">
        <f>'T3 N2O PC-Diesel LPG'!B12</f>
        <v>5</v>
      </c>
      <c r="AA61" s="124">
        <f t="shared" si="3"/>
        <v>685979.00682637282</v>
      </c>
    </row>
    <row r="62" spans="1:27" ht="12.5">
      <c r="A62" s="48" t="s">
        <v>51</v>
      </c>
      <c r="B62" s="49" t="s">
        <v>23</v>
      </c>
      <c r="C62" s="49" t="s">
        <v>52</v>
      </c>
      <c r="D62" s="49" t="s">
        <v>62</v>
      </c>
      <c r="E62" s="50" t="s">
        <v>58</v>
      </c>
      <c r="F62" s="97">
        <v>1.9420504915697288E-3</v>
      </c>
      <c r="G62" s="99">
        <f t="shared" si="0"/>
        <v>42.629950340447117</v>
      </c>
      <c r="H62" s="46"/>
      <c r="I62" s="46">
        <f>G62*'Eilat Car Data'!F$15</f>
        <v>625190.13778245426</v>
      </c>
      <c r="J62" s="46">
        <f>I62*'Tier 1 Coefficients'!I$5</f>
        <v>35948432.922491118</v>
      </c>
      <c r="K62" s="46">
        <f t="shared" si="1"/>
        <v>35948.43292249112</v>
      </c>
      <c r="L62" s="46">
        <f>K62*'Tier 1 Coefficients'!D$5</f>
        <v>108708.06115761315</v>
      </c>
      <c r="M62" s="46">
        <f>K62*'Tier 1 Coefficients'!C$18</f>
        <v>317784.14703482151</v>
      </c>
      <c r="N62" s="46">
        <f>K62*'Tier 1 Coefficients'!C$42</f>
        <v>3199.4105301017094</v>
      </c>
      <c r="O62" s="46">
        <f>I62*'Tier 2 FC'!D$15</f>
        <v>35635837.853599891</v>
      </c>
      <c r="P62" s="46">
        <f t="shared" si="2"/>
        <v>35635.837853599893</v>
      </c>
      <c r="Q62" s="46">
        <f>P62*'Tier 1 Coefficients'!D$5</f>
        <v>107762.77366928608</v>
      </c>
      <c r="R62" s="46">
        <f>$I62*'T2 PC'!C75</f>
        <v>2500.760551129817</v>
      </c>
      <c r="S62" s="46">
        <f>$I62*'T2 PC'!D75</f>
        <v>248825.67483741679</v>
      </c>
      <c r="T62" s="46">
        <f>44.011*(P62/(12.011+1.008*'Tier 3 CO2 Tables'!B$5+16*'Tier 3 CO2 Tables'!C$5))</f>
        <v>107745.76192789225</v>
      </c>
      <c r="U62" s="46">
        <f>I62*'Tier 3 CO2 Tables'!H$3/10000</f>
        <v>90.652569978455858</v>
      </c>
      <c r="V62" s="46">
        <f>44.011*(U62/(12.011+1.008*'Tier 3 CO2 Tables'!B$6+16*'Tier 3 CO2 Tables'!C$6))</f>
        <v>282.80493812727156</v>
      </c>
      <c r="W62" s="46">
        <f>I62*'T3 Methane'!D$13</f>
        <v>50015211.022596344</v>
      </c>
      <c r="X62" s="46" cm="1">
        <f t="array" ref="X62">_xlfn.IFS(E62='Euro Age Table'!C$5,'Euro Age Table'!G$5,E62='Euro Age Table'!C$6,'Euro Age Table'!G$6,E62='Euro Age Table'!C$7,'Euro Age Table'!G$7,E62='Euro Age Table'!C$8,'Euro Age Table'!G$8,E62='Euro Age Table'!C$9,'Euro Age Table'!G$9,E62='Euro Age Table'!C$10,'Euro Age Table'!G$10,E62='Euro Age Table'!C$11,'Euro Age Table'!G$11)</f>
        <v>13</v>
      </c>
      <c r="Y62" s="46">
        <f>X62*'Eilat Car Data'!F$15</f>
        <v>190651.68329461073</v>
      </c>
      <c r="Z62" s="46">
        <f>'T3 N2O PC-Diesel LPG'!B13</f>
        <v>5</v>
      </c>
      <c r="AA62" s="124">
        <f t="shared" si="3"/>
        <v>3125950.6889122715</v>
      </c>
    </row>
    <row r="63" spans="1:27" ht="12.5">
      <c r="A63" s="48" t="s">
        <v>51</v>
      </c>
      <c r="B63" s="49" t="s">
        <v>23</v>
      </c>
      <c r="C63" s="49" t="s">
        <v>52</v>
      </c>
      <c r="D63" s="49" t="s">
        <v>62</v>
      </c>
      <c r="E63" s="50" t="s">
        <v>59</v>
      </c>
      <c r="F63" s="97">
        <v>5.1652442393582316E-4</v>
      </c>
      <c r="G63" s="99">
        <f t="shared" si="0"/>
        <v>11.338227629815254</v>
      </c>
      <c r="H63" s="46"/>
      <c r="I63" s="46">
        <f>G63*'Eilat Car Data'!F$15</f>
        <v>166280.9371693648</v>
      </c>
      <c r="J63" s="46">
        <f>I63*'Tier 1 Coefficients'!I$5</f>
        <v>9561153.8872384764</v>
      </c>
      <c r="K63" s="46">
        <f t="shared" si="1"/>
        <v>9561.1538872384772</v>
      </c>
      <c r="L63" s="46">
        <f>K63*'Tier 1 Coefficients'!D$5</f>
        <v>28912.929355009157</v>
      </c>
      <c r="M63" s="46">
        <f>K63*'Tier 1 Coefficients'!C$18</f>
        <v>84520.600363188132</v>
      </c>
      <c r="N63" s="46">
        <f>K63*'Tier 1 Coefficients'!C$42</f>
        <v>850.94269596422441</v>
      </c>
      <c r="O63" s="46">
        <f>I63*'Tier 2 FC'!D$15</f>
        <v>9478013.4186537936</v>
      </c>
      <c r="P63" s="46">
        <f t="shared" si="2"/>
        <v>9478.0134186537944</v>
      </c>
      <c r="Q63" s="46">
        <f>P63*'Tier 1 Coefficients'!D$5</f>
        <v>28661.512578009075</v>
      </c>
      <c r="R63" s="46">
        <f>$I63*'T2 PC'!C76</f>
        <v>665.12374867745916</v>
      </c>
      <c r="S63" s="46">
        <f>$I63*'T2 PC'!D76</f>
        <v>66179.812993407191</v>
      </c>
      <c r="T63" s="46">
        <f>44.011*(P63/(12.011+1.008*'Tier 3 CO2 Tables'!B$5+16*'Tier 3 CO2 Tables'!C$5))</f>
        <v>28656.987989198569</v>
      </c>
      <c r="U63" s="46">
        <f>I63*'Tier 3 CO2 Tables'!H$3/10000</f>
        <v>24.110735889557894</v>
      </c>
      <c r="V63" s="46">
        <f>44.011*(U63/(12.011+1.008*'Tier 3 CO2 Tables'!B$6+16*'Tier 3 CO2 Tables'!C$6))</f>
        <v>75.217229617096308</v>
      </c>
      <c r="W63" s="46">
        <f>I63*'T3 Methane'!D$13</f>
        <v>13302474.973549183</v>
      </c>
      <c r="X63" s="46" cm="1">
        <f t="array" ref="X63">_xlfn.IFS(E63='Euro Age Table'!C$5,'Euro Age Table'!G$5,E63='Euro Age Table'!C$6,'Euro Age Table'!G$6,E63='Euro Age Table'!C$7,'Euro Age Table'!G$7,E63='Euro Age Table'!C$8,'Euro Age Table'!G$8,E63='Euro Age Table'!C$9,'Euro Age Table'!G$9,E63='Euro Age Table'!C$10,'Euro Age Table'!G$10,E63='Euro Age Table'!C$11,'Euro Age Table'!G$11)</f>
        <v>9</v>
      </c>
      <c r="Y63" s="46">
        <f>X63*'Eilat Car Data'!F$15</f>
        <v>131989.62689626895</v>
      </c>
      <c r="Z63" s="46">
        <f>'T3 N2O PC-Diesel LPG'!B14</f>
        <v>2.1</v>
      </c>
      <c r="AA63" s="124">
        <f t="shared" si="3"/>
        <v>349189.96805566608</v>
      </c>
    </row>
    <row r="64" spans="1:27" ht="12.5">
      <c r="A64" s="48" t="s">
        <v>51</v>
      </c>
      <c r="B64" s="51" t="s">
        <v>23</v>
      </c>
      <c r="C64" s="49" t="s">
        <v>52</v>
      </c>
      <c r="D64" s="49" t="s">
        <v>62</v>
      </c>
      <c r="E64" s="51" t="s">
        <v>60</v>
      </c>
      <c r="F64" s="97">
        <v>3.2827480261388088E-5</v>
      </c>
      <c r="G64" s="99">
        <f t="shared" si="0"/>
        <v>0.72059601921772998</v>
      </c>
      <c r="H64" s="46"/>
      <c r="I64" s="46">
        <f>G64*'Eilat Car Data'!F$15</f>
        <v>10567.91107994276</v>
      </c>
      <c r="J64" s="46">
        <f>I64*'Tier 1 Coefficients'!I$5</f>
        <v>607654.88709670864</v>
      </c>
      <c r="K64" s="46">
        <f t="shared" si="1"/>
        <v>607.65488709670865</v>
      </c>
      <c r="L64" s="46">
        <f>K64*'Tier 1 Coefficients'!D$5</f>
        <v>1837.548378580447</v>
      </c>
      <c r="M64" s="46">
        <f>K64*'Tier 1 Coefficients'!C$18</f>
        <v>5371.6692019349048</v>
      </c>
      <c r="N64" s="46">
        <f>K64*'Tier 1 Coefficients'!C$42</f>
        <v>54.081284951607067</v>
      </c>
      <c r="O64" s="46">
        <f>I64*'Tier 2 FC'!D$15</f>
        <v>602370.93155673728</v>
      </c>
      <c r="P64" s="46">
        <f t="shared" si="2"/>
        <v>602.37093155673733</v>
      </c>
      <c r="Q64" s="46">
        <f>P64*'Tier 1 Coefficients'!D$5</f>
        <v>1821.5696970275737</v>
      </c>
      <c r="R64" s="46">
        <f>$I64*'T2 PC'!C77</f>
        <v>42.271644319771042</v>
      </c>
      <c r="S64" s="46">
        <f>$I64*'T2 PC'!D77</f>
        <v>4206.0286098172182</v>
      </c>
      <c r="T64" s="46">
        <f>44.011*(P64/(12.011+1.008*'Tier 3 CO2 Tables'!B$5+16*'Tier 3 CO2 Tables'!C$5))</f>
        <v>1821.2821387960851</v>
      </c>
      <c r="U64" s="46">
        <f>I64*'Tier 3 CO2 Tables'!H$4/10000</f>
        <v>1.3526926182326733</v>
      </c>
      <c r="V64" s="46">
        <f>44.011*(U64/(12.011+1.008*'Tier 3 CO2 Tables'!B$6+16*'Tier 3 CO2 Tables'!C$6))</f>
        <v>4.2199371986411753</v>
      </c>
      <c r="W64" s="46">
        <f>I64*'T3 Methane'!D$13</f>
        <v>845432.88639542076</v>
      </c>
      <c r="X64" s="46" cm="1">
        <f t="array" ref="X64">_xlfn.IFS(E64='Euro Age Table'!C$5,'Euro Age Table'!G$5,E64='Euro Age Table'!C$6,'Euro Age Table'!G$6,E64='Euro Age Table'!C$7,'Euro Age Table'!G$7,E64='Euro Age Table'!C$8,'Euro Age Table'!G$8,E64='Euro Age Table'!C$9,'Euro Age Table'!G$9,E64='Euro Age Table'!C$10,'Euro Age Table'!G$10,E64='Euro Age Table'!C$11,'Euro Age Table'!G$11)</f>
        <v>3</v>
      </c>
      <c r="Y64" s="46">
        <f>X64*'Eilat Car Data'!F$15</f>
        <v>43996.542298756322</v>
      </c>
      <c r="Z64" s="46">
        <f>'T3 N2O PC-Diesel LPG'!B15</f>
        <v>2.1</v>
      </c>
      <c r="AA64" s="124">
        <f t="shared" si="3"/>
        <v>22192.613267879799</v>
      </c>
    </row>
    <row r="65" spans="1:27" ht="12.5">
      <c r="A65" s="48" t="s">
        <v>51</v>
      </c>
      <c r="B65" s="49" t="s">
        <v>63</v>
      </c>
      <c r="C65" s="49" t="s">
        <v>52</v>
      </c>
      <c r="D65" s="52" t="s">
        <v>53</v>
      </c>
      <c r="E65" s="50" t="s">
        <v>57</v>
      </c>
      <c r="F65" s="97">
        <v>0</v>
      </c>
      <c r="G65" s="99">
        <f t="shared" si="0"/>
        <v>0</v>
      </c>
      <c r="H65" s="76" t="s">
        <v>167</v>
      </c>
      <c r="I65" s="46">
        <f>G65*'Eilat Car Data'!F$15</f>
        <v>0</v>
      </c>
      <c r="J65" s="46">
        <f>I65*'Tier 1 Coefficients'!I$3</f>
        <v>0</v>
      </c>
      <c r="K65" s="46">
        <f t="shared" si="1"/>
        <v>0</v>
      </c>
      <c r="L65" s="46">
        <f>K65*'Tier 1 Coefficients'!D$3</f>
        <v>0</v>
      </c>
      <c r="M65" s="46">
        <f>K65*'Tier 1 Coefficients'!C$16</f>
        <v>0</v>
      </c>
      <c r="N65" s="46">
        <f>K65*'Tier 1 Coefficients'!C$40</f>
        <v>0</v>
      </c>
      <c r="O65" s="46">
        <f>I65*'Tier 2 FC'!D$17</f>
        <v>0</v>
      </c>
      <c r="P65" s="46">
        <f t="shared" si="2"/>
        <v>0</v>
      </c>
      <c r="Q65" s="46">
        <f>P65*'Tier 1 Coefficients'!D$3</f>
        <v>0</v>
      </c>
      <c r="R65" s="46">
        <f>$I65*'T2 PC'!C$79</f>
        <v>0</v>
      </c>
      <c r="S65" s="46">
        <f>$I65*'T2 PC'!D$79</f>
        <v>0</v>
      </c>
      <c r="T65" s="46">
        <f>44.011*(P65/(12.011+1.008*'Tier 3 CO2 Tables'!B$3+16*'Tier 3 CO2 Tables'!C$3))</f>
        <v>0</v>
      </c>
      <c r="U65" s="46">
        <f>I65*'Tier 3 CO2 Tables'!H$3/10000</f>
        <v>0</v>
      </c>
      <c r="V65" s="46">
        <f>44.011*(U65/(12.011+1.008*'Tier 3 CO2 Tables'!B$6+16*'Tier 3 CO2 Tables'!C$6))</f>
        <v>0</v>
      </c>
      <c r="W65" s="46">
        <f>I65*'T3 Methane'!D5</f>
        <v>0</v>
      </c>
      <c r="X65" s="46" cm="1">
        <f t="array" ref="X65">_xlfn.IFS(E65='Euro Age Table'!C$5,'Euro Age Table'!G$5,E65='Euro Age Table'!C$6,'Euro Age Table'!G$6,E65='Euro Age Table'!C$7,'Euro Age Table'!G$7,E65='Euro Age Table'!C$8,'Euro Age Table'!G$8,E65='Euro Age Table'!C$9,'Euro Age Table'!G$9,E65='Euro Age Table'!C$10,'Euro Age Table'!G$10,E65='Euro Age Table'!C$11,'Euro Age Table'!G$11)</f>
        <v>16</v>
      </c>
      <c r="Y65" s="46">
        <f>X65*'Eilat Car Data'!F$15</f>
        <v>234648.22559336704</v>
      </c>
      <c r="Z65" s="121">
        <f>('T3 N2O PC-Petrol'!D5*Y65+'T3 N2O PC-Petrol'!E5)*'T3 N2O PC-Petrol'!C5</f>
        <v>1.642028982552048</v>
      </c>
      <c r="AA65" s="124">
        <f t="shared" si="3"/>
        <v>0</v>
      </c>
    </row>
    <row r="66" spans="1:27" ht="12.5">
      <c r="A66" s="48" t="s">
        <v>51</v>
      </c>
      <c r="B66" s="49" t="s">
        <v>63</v>
      </c>
      <c r="C66" s="49" t="s">
        <v>52</v>
      </c>
      <c r="D66" s="49" t="s">
        <v>53</v>
      </c>
      <c r="E66" s="50" t="s">
        <v>58</v>
      </c>
      <c r="F66" s="97">
        <v>8.3201684485500419E-4</v>
      </c>
      <c r="G66" s="99">
        <f t="shared" si="0"/>
        <v>18.263601761412197</v>
      </c>
      <c r="H66" s="46"/>
      <c r="I66" s="46">
        <f>G66*'Eilat Car Data'!F$15</f>
        <v>267845.10914120404</v>
      </c>
      <c r="J66" s="46">
        <f>I66*'Tier 1 Coefficients'!I$3</f>
        <v>18749157.639884282</v>
      </c>
      <c r="K66" s="46">
        <f t="shared" si="1"/>
        <v>18749.157639884281</v>
      </c>
      <c r="L66" s="46">
        <f>K66*'Tier 1 Coefficients'!D$3</f>
        <v>59416.080560793285</v>
      </c>
      <c r="M66" s="46">
        <f>K66*'Tier 1 Coefficients'!C$16</f>
        <v>165742.55353657703</v>
      </c>
      <c r="N66" s="46">
        <f>K66*'Tier 1 Coefficients'!C$40</f>
        <v>3862.3264738161615</v>
      </c>
      <c r="O66" s="46">
        <f>I66*'Tier 2 FC'!D$17</f>
        <v>9106733.7108009383</v>
      </c>
      <c r="P66" s="46">
        <f t="shared" si="2"/>
        <v>9106.7337108009378</v>
      </c>
      <c r="Q66" s="46">
        <f>P66*'Tier 1 Coefficients'!D$3</f>
        <v>28859.239129528174</v>
      </c>
      <c r="R66" s="46">
        <f>$I66*'T2 PC'!C$79</f>
        <v>53.569021828240814</v>
      </c>
      <c r="S66" s="46">
        <f>$I66*'T2 PC'!D$79</f>
        <v>106602.35343819921</v>
      </c>
      <c r="T66" s="46">
        <f>44.011*(P66/(12.011+1.008*'Tier 3 CO2 Tables'!B$3+16*'Tier 3 CO2 Tables'!C$3))</f>
        <v>28863.597938773783</v>
      </c>
      <c r="U66" s="46">
        <f>I66*'Tier 3 CO2 Tables'!H$3/10000</f>
        <v>38.837540825474584</v>
      </c>
      <c r="V66" s="46">
        <f>44.011*(U66/(12.011+1.008*'Tier 3 CO2 Tables'!B$6+16*'Tier 3 CO2 Tables'!C$6))</f>
        <v>121.15981193665006</v>
      </c>
      <c r="W66" s="46">
        <f>I66*'T3 Methane'!D$6</f>
        <v>768715.46323525568</v>
      </c>
      <c r="X66" s="46" cm="1">
        <f t="array" ref="X66">_xlfn.IFS(E66='Euro Age Table'!C$5,'Euro Age Table'!G$5,E66='Euro Age Table'!C$6,'Euro Age Table'!G$6,E66='Euro Age Table'!C$7,'Euro Age Table'!G$7,E66='Euro Age Table'!C$8,'Euro Age Table'!G$8,E66='Euro Age Table'!C$9,'Euro Age Table'!G$9,E66='Euro Age Table'!C$10,'Euro Age Table'!G$10,E66='Euro Age Table'!C$11,'Euro Age Table'!G$11)</f>
        <v>13</v>
      </c>
      <c r="Y66" s="46">
        <f>X66*'Eilat Car Data'!F$15</f>
        <v>190651.68329461073</v>
      </c>
      <c r="Z66" s="121">
        <f>('T3 N2O PC-Petrol'!D6*Y66+'T3 N2O PC-Petrol'!E6)*'T3 N2O PC-Petrol'!C6</f>
        <v>2.0083394490497017</v>
      </c>
      <c r="AA66" s="124">
        <f t="shared" si="3"/>
        <v>537923.898923303</v>
      </c>
    </row>
    <row r="67" spans="1:27" ht="12.5">
      <c r="A67" s="48" t="s">
        <v>51</v>
      </c>
      <c r="B67" s="49" t="s">
        <v>63</v>
      </c>
      <c r="C67" s="49" t="s">
        <v>52</v>
      </c>
      <c r="D67" s="49" t="s">
        <v>53</v>
      </c>
      <c r="E67" s="50" t="s">
        <v>59</v>
      </c>
      <c r="F67" s="97">
        <v>2.7319435785671995E-3</v>
      </c>
      <c r="G67" s="99">
        <f t="shared" si="0"/>
        <v>59.968893493128597</v>
      </c>
      <c r="H67" s="46"/>
      <c r="I67" s="46">
        <f>G67*'Eilat Car Data'!F$15</f>
        <v>879474.65306001494</v>
      </c>
      <c r="J67" s="46">
        <f>I67*'Tier 1 Coefficients'!I$3</f>
        <v>61563225.714201048</v>
      </c>
      <c r="K67" s="46">
        <f t="shared" si="1"/>
        <v>61563.225714201049</v>
      </c>
      <c r="L67" s="46">
        <f>K67*'Tier 1 Coefficients'!D$3</f>
        <v>195093.86228830312</v>
      </c>
      <c r="M67" s="46">
        <f>K67*'Tier 1 Coefficients'!C$16</f>
        <v>544218.91531353723</v>
      </c>
      <c r="N67" s="46">
        <f>K67*'Tier 1 Coefficients'!C$40</f>
        <v>12682.024497125416</v>
      </c>
      <c r="O67" s="46">
        <f>I67*'Tier 2 FC'!D$17</f>
        <v>29902138.204040509</v>
      </c>
      <c r="P67" s="46">
        <f t="shared" si="2"/>
        <v>29902.138204040508</v>
      </c>
      <c r="Q67" s="46">
        <f>P67*'Tier 1 Coefficients'!D$3</f>
        <v>94759.875968604378</v>
      </c>
      <c r="R67" s="46">
        <f>$I67*'T2 PC'!C$79</f>
        <v>175.89493061200301</v>
      </c>
      <c r="S67" s="46">
        <f>$I67*'T2 PC'!D$79</f>
        <v>350030.91191788594</v>
      </c>
      <c r="T67" s="46">
        <f>44.011*(P67/(12.011+1.008*'Tier 3 CO2 Tables'!B$3+16*'Tier 3 CO2 Tables'!C$3))</f>
        <v>94774.188203990445</v>
      </c>
      <c r="U67" s="46">
        <f>I67*'Tier 3 CO2 Tables'!H$3/10000</f>
        <v>127.52382469370217</v>
      </c>
      <c r="V67" s="46">
        <f>44.011*(U67/(12.011+1.008*'Tier 3 CO2 Tables'!B$6+16*'Tier 3 CO2 Tables'!C$6))</f>
        <v>397.83061154059266</v>
      </c>
      <c r="W67" s="46">
        <f>I67*'T3 Methane'!D$6</f>
        <v>2524092.2542822431</v>
      </c>
      <c r="X67" s="46" cm="1">
        <f t="array" ref="X67">_xlfn.IFS(E67='Euro Age Table'!C$5,'Euro Age Table'!G$5,E67='Euro Age Table'!C$6,'Euro Age Table'!G$6,E67='Euro Age Table'!C$7,'Euro Age Table'!G$7,E67='Euro Age Table'!C$8,'Euro Age Table'!G$8,E67='Euro Age Table'!C$9,'Euro Age Table'!G$9,E67='Euro Age Table'!C$10,'Euro Age Table'!G$10,E67='Euro Age Table'!C$11,'Euro Age Table'!G$11)</f>
        <v>9</v>
      </c>
      <c r="Y67" s="46">
        <f>X67*'Eilat Car Data'!F$15</f>
        <v>131989.62689626895</v>
      </c>
      <c r="Z67" s="121">
        <f>('T3 N2O PC-Petrol'!D7*Y67+'T3 N2O PC-Petrol'!E7)*'T3 N2O PC-Petrol'!C7</f>
        <v>2.3144349068634686</v>
      </c>
      <c r="AA67" s="124">
        <f t="shared" si="3"/>
        <v>2035486.8367437371</v>
      </c>
    </row>
    <row r="68" spans="1:27" ht="12.5">
      <c r="A68" s="48" t="s">
        <v>51</v>
      </c>
      <c r="B68" s="49" t="s">
        <v>63</v>
      </c>
      <c r="C68" s="49" t="s">
        <v>52</v>
      </c>
      <c r="D68" s="51" t="s">
        <v>53</v>
      </c>
      <c r="E68" s="51" t="s">
        <v>60</v>
      </c>
      <c r="F68" s="97">
        <v>8.5206194342169253E-4</v>
      </c>
      <c r="G68" s="99">
        <f t="shared" si="0"/>
        <v>18.703611720049572</v>
      </c>
      <c r="H68" s="46"/>
      <c r="I68" s="46">
        <f>G68*'Eilat Car Data'!F$15</f>
        <v>274298.08139355847</v>
      </c>
      <c r="J68" s="46">
        <f>I68*'Tier 1 Coefficients'!I$3</f>
        <v>19200865.697549094</v>
      </c>
      <c r="K68" s="46">
        <f t="shared" ref="K68:K131" si="4">J68/1000</f>
        <v>19200.865697549092</v>
      </c>
      <c r="L68" s="46">
        <f>K68*'Tier 1 Coefficients'!D$3</f>
        <v>60847.543395533074</v>
      </c>
      <c r="M68" s="46">
        <f>K68*'Tier 1 Coefficients'!C$16</f>
        <v>169735.65276633398</v>
      </c>
      <c r="N68" s="46">
        <f>K68*'Tier 1 Coefficients'!C$40</f>
        <v>3955.3783336951128</v>
      </c>
      <c r="O68" s="46">
        <f>I68*'Tier 2 FC'!D$17</f>
        <v>9326134.7673809882</v>
      </c>
      <c r="P68" s="46">
        <f t="shared" ref="P68:P131" si="5">O68/1000</f>
        <v>9326.1347673809887</v>
      </c>
      <c r="Q68" s="46">
        <f>P68*'Tier 1 Coefficients'!D$3</f>
        <v>29554.521077830355</v>
      </c>
      <c r="R68" s="46">
        <f>$I68*'T2 PC'!C$79</f>
        <v>54.859616278711698</v>
      </c>
      <c r="S68" s="46">
        <f>$I68*'T2 PC'!D$79</f>
        <v>109170.63639463628</v>
      </c>
      <c r="T68" s="46">
        <f>44.011*(P68/(12.011+1.008*'Tier 3 CO2 Tables'!B$3+16*'Tier 3 CO2 Tables'!C$3))</f>
        <v>29558.984900287538</v>
      </c>
      <c r="U68" s="46">
        <f>I68*'Tier 3 CO2 Tables'!H$4/10000</f>
        <v>35.11015441837548</v>
      </c>
      <c r="V68" s="46">
        <f>44.011*(U68/(12.011+1.008*'Tier 3 CO2 Tables'!B$6+16*'Tier 3 CO2 Tables'!C$6))</f>
        <v>109.53164427977489</v>
      </c>
      <c r="W68" s="46">
        <f>I68*'T3 Methane'!D$6</f>
        <v>787235.49359951285</v>
      </c>
      <c r="X68" s="46" cm="1">
        <f t="array" ref="X68">_xlfn.IFS(E68='Euro Age Table'!C$5,'Euro Age Table'!G$5,E68='Euro Age Table'!C$6,'Euro Age Table'!G$6,E68='Euro Age Table'!C$7,'Euro Age Table'!G$7,E68='Euro Age Table'!C$8,'Euro Age Table'!G$8,E68='Euro Age Table'!C$9,'Euro Age Table'!G$9,E68='Euro Age Table'!C$10,'Euro Age Table'!G$10,E68='Euro Age Table'!C$11,'Euro Age Table'!G$11)</f>
        <v>3</v>
      </c>
      <c r="Y68" s="46">
        <f>X68*'Eilat Car Data'!F$15</f>
        <v>43996.542298756322</v>
      </c>
      <c r="Z68" s="121">
        <f>('T3 N2O PC-Petrol'!D8*Y68+'T3 N2O PC-Petrol'!E8)*'T3 N2O PC-Petrol'!C8</f>
        <v>2.149078302287823</v>
      </c>
      <c r="AA68" s="124">
        <f t="shared" ref="AA68:AA131" si="6">Z68*I68</f>
        <v>589488.05508207576</v>
      </c>
    </row>
    <row r="69" spans="1:27" ht="12.5">
      <c r="A69" s="48" t="s">
        <v>51</v>
      </c>
      <c r="B69" s="49" t="s">
        <v>63</v>
      </c>
      <c r="C69" s="49" t="s">
        <v>52</v>
      </c>
      <c r="D69" s="49" t="s">
        <v>61</v>
      </c>
      <c r="E69" s="50" t="s">
        <v>57</v>
      </c>
      <c r="F69" s="97">
        <v>1.0458312295663461E-5</v>
      </c>
      <c r="G69" s="99">
        <f t="shared" si="0"/>
        <v>0.22957041320210864</v>
      </c>
      <c r="H69" s="76" t="s">
        <v>167</v>
      </c>
      <c r="I69" s="46">
        <f>G69*'Eilat Car Data'!F$15</f>
        <v>3366.7681316631797</v>
      </c>
      <c r="J69" s="46">
        <f>I69*'Tier 1 Coefficients'!I$3</f>
        <v>235673.76921642257</v>
      </c>
      <c r="K69" s="46">
        <f t="shared" si="4"/>
        <v>235.67376921642258</v>
      </c>
      <c r="L69" s="46">
        <f>K69*'Tier 1 Coefficients'!D$3</f>
        <v>746.85017464684313</v>
      </c>
      <c r="M69" s="46">
        <f>K69*'Tier 1 Coefficients'!C$16</f>
        <v>2083.3561198731754</v>
      </c>
      <c r="N69" s="46">
        <f>K69*'Tier 1 Coefficients'!C$40</f>
        <v>48.548796458583048</v>
      </c>
      <c r="O69" s="46">
        <f>I69*'Tier 2 FC'!D$18</f>
        <v>114470.11647654811</v>
      </c>
      <c r="P69" s="46">
        <f t="shared" si="5"/>
        <v>114.47011647654811</v>
      </c>
      <c r="Q69" s="46">
        <f>P69*'Tier 1 Coefficients'!D$3</f>
        <v>362.755799114181</v>
      </c>
      <c r="R69" s="46">
        <f>$I69*'T2 PC'!C$80</f>
        <v>0.67335362633263596</v>
      </c>
      <c r="S69" s="46">
        <f>$I69*'T2 PC'!D$80</f>
        <v>1339.9737164019457</v>
      </c>
      <c r="T69" s="46">
        <f>44.011*(P69/(12.011+1.008*'Tier 3 CO2 Tables'!B$3+16*'Tier 3 CO2 Tables'!C$3))</f>
        <v>362.81058861587161</v>
      </c>
      <c r="U69" s="46">
        <f>I69*'Tier 3 CO2 Tables'!H$3/10000</f>
        <v>0.48818137909116105</v>
      </c>
      <c r="V69" s="46">
        <f>44.011*(U69/(12.011+1.008*'Tier 3 CO2 Tables'!B$6+16*'Tier 3 CO2 Tables'!C$6))</f>
        <v>1.5229585299299593</v>
      </c>
      <c r="W69" s="46">
        <f>I69*'T3 Methane'!D$5</f>
        <v>10100.30439498954</v>
      </c>
      <c r="X69" s="46" cm="1">
        <f t="array" ref="X69">_xlfn.IFS(E69='Euro Age Table'!C$5,'Euro Age Table'!G$5,E69='Euro Age Table'!C$6,'Euro Age Table'!G$6,E69='Euro Age Table'!C$7,'Euro Age Table'!G$7,E69='Euro Age Table'!C$8,'Euro Age Table'!G$8,E69='Euro Age Table'!C$9,'Euro Age Table'!G$9,E69='Euro Age Table'!C$10,'Euro Age Table'!G$10,E69='Euro Age Table'!C$11,'Euro Age Table'!G$11)</f>
        <v>16</v>
      </c>
      <c r="Y69" s="46">
        <f>X69*'Eilat Car Data'!F$15</f>
        <v>234648.22559336704</v>
      </c>
      <c r="Z69" s="121">
        <f>('T3 N2O PC-Petrol'!D5*Y69+'T3 N2O PC-Petrol'!E5)*'T3 N2O PC-Petrol'!C5</f>
        <v>1.642028982552048</v>
      </c>
      <c r="AA69" s="124">
        <f t="shared" si="6"/>
        <v>5528.3308497235503</v>
      </c>
    </row>
    <row r="70" spans="1:27" ht="12.5">
      <c r="A70" s="48" t="s">
        <v>51</v>
      </c>
      <c r="B70" s="49" t="s">
        <v>63</v>
      </c>
      <c r="C70" s="49" t="s">
        <v>52</v>
      </c>
      <c r="D70" s="49" t="s">
        <v>61</v>
      </c>
      <c r="E70" s="50" t="s">
        <v>58</v>
      </c>
      <c r="F70" s="97">
        <v>1.7372418757796526E-3</v>
      </c>
      <c r="G70" s="99">
        <f t="shared" si="0"/>
        <v>38.134196415239153</v>
      </c>
      <c r="H70" s="46"/>
      <c r="I70" s="46">
        <f>G70*'Eilat Car Data'!F$15</f>
        <v>559257.5952040503</v>
      </c>
      <c r="J70" s="46">
        <f>I70*'Tier 1 Coefficients'!I$3</f>
        <v>39148031.664283521</v>
      </c>
      <c r="K70" s="46">
        <f t="shared" si="4"/>
        <v>39148.031664283524</v>
      </c>
      <c r="L70" s="46">
        <f>K70*'Tier 1 Coefficients'!D$3</f>
        <v>124060.11234411449</v>
      </c>
      <c r="M70" s="46">
        <f>K70*'Tier 1 Coefficients'!C$16</f>
        <v>346068.59991226636</v>
      </c>
      <c r="N70" s="46">
        <f>K70*'Tier 1 Coefficients'!C$40</f>
        <v>8064.4945228424058</v>
      </c>
      <c r="O70" s="46">
        <f>I70*'Tier 2 FC'!D$18</f>
        <v>19014758.236937709</v>
      </c>
      <c r="P70" s="46">
        <f t="shared" si="5"/>
        <v>19014.758236937709</v>
      </c>
      <c r="Q70" s="46">
        <f>P70*'Tier 1 Coefficients'!D$3</f>
        <v>60257.768852855603</v>
      </c>
      <c r="R70" s="46">
        <f>$I70*'T2 PC'!C$80</f>
        <v>111.85151904081006</v>
      </c>
      <c r="S70" s="46">
        <f>$I70*'T2 PC'!D$80</f>
        <v>222584.52289121202</v>
      </c>
      <c r="T70" s="46">
        <f>44.011*(P70/(12.011+1.008*'Tier 3 CO2 Tables'!B$3+16*'Tier 3 CO2 Tables'!C$3))</f>
        <v>60266.869997858652</v>
      </c>
      <c r="U70" s="46">
        <f>I70*'Tier 3 CO2 Tables'!H$3/10000</f>
        <v>81.092351304587297</v>
      </c>
      <c r="V70" s="46">
        <f>44.011*(U70/(12.011+1.008*'Tier 3 CO2 Tables'!B$6+16*'Tier 3 CO2 Tables'!C$6))</f>
        <v>252.98033358280986</v>
      </c>
      <c r="W70" s="46">
        <f>I70*'T3 Methane'!D$6</f>
        <v>1605069.2982356243</v>
      </c>
      <c r="X70" s="46" cm="1">
        <f t="array" ref="X70">_xlfn.IFS(E70='Euro Age Table'!C$5,'Euro Age Table'!G$5,E70='Euro Age Table'!C$6,'Euro Age Table'!G$6,E70='Euro Age Table'!C$7,'Euro Age Table'!G$7,E70='Euro Age Table'!C$8,'Euro Age Table'!G$8,E70='Euro Age Table'!C$9,'Euro Age Table'!G$9,E70='Euro Age Table'!C$10,'Euro Age Table'!G$10,E70='Euro Age Table'!C$11,'Euro Age Table'!G$11)</f>
        <v>13</v>
      </c>
      <c r="Y70" s="46">
        <f>X70*'Eilat Car Data'!F$15</f>
        <v>190651.68329461073</v>
      </c>
      <c r="Z70" s="121">
        <f>('T3 N2O PC-Petrol'!D6*Y70+'T3 N2O PC-Petrol'!E6)*'T3 N2O PC-Petrol'!C6</f>
        <v>2.0083394490497017</v>
      </c>
      <c r="AA70" s="124">
        <f t="shared" si="6"/>
        <v>1123179.0906289634</v>
      </c>
    </row>
    <row r="71" spans="1:27" ht="12.5">
      <c r="A71" s="48" t="s">
        <v>51</v>
      </c>
      <c r="B71" s="49" t="s">
        <v>63</v>
      </c>
      <c r="C71" s="49" t="s">
        <v>52</v>
      </c>
      <c r="D71" s="49" t="s">
        <v>61</v>
      </c>
      <c r="E71" s="50" t="s">
        <v>59</v>
      </c>
      <c r="F71" s="97">
        <v>7.800448429190544E-3</v>
      </c>
      <c r="G71" s="99">
        <f t="shared" si="0"/>
        <v>171.22764346916162</v>
      </c>
      <c r="H71" s="46"/>
      <c r="I71" s="46">
        <f>G71*'Eilat Car Data'!F$15</f>
        <v>2511141.4195357785</v>
      </c>
      <c r="J71" s="46">
        <f>I71*'Tier 1 Coefficients'!I$3</f>
        <v>175779899.36750448</v>
      </c>
      <c r="K71" s="46">
        <f t="shared" si="4"/>
        <v>175779.89936750449</v>
      </c>
      <c r="L71" s="46">
        <f>K71*'Tier 1 Coefficients'!D$3</f>
        <v>557046.50109562173</v>
      </c>
      <c r="M71" s="46">
        <f>K71*'Tier 1 Coefficients'!C$16</f>
        <v>1553894.3104087396</v>
      </c>
      <c r="N71" s="46">
        <f>K71*'Tier 1 Coefficients'!C$40</f>
        <v>36210.659269705924</v>
      </c>
      <c r="O71" s="46">
        <f>I71*'Tier 2 FC'!D$18</f>
        <v>85378808.264216468</v>
      </c>
      <c r="P71" s="46">
        <f t="shared" si="5"/>
        <v>85378.808264216466</v>
      </c>
      <c r="Q71" s="46">
        <f>P71*'Tier 1 Coefficients'!D$3</f>
        <v>270565.443389302</v>
      </c>
      <c r="R71" s="46">
        <f>$I71*'T2 PC'!C$80</f>
        <v>502.22828390715574</v>
      </c>
      <c r="S71" s="46">
        <f>$I71*'T2 PC'!D$80</f>
        <v>999434.28497523989</v>
      </c>
      <c r="T71" s="46">
        <f>44.011*(P71/(12.011+1.008*'Tier 3 CO2 Tables'!B$3+16*'Tier 3 CO2 Tables'!C$3))</f>
        <v>270606.3087479102</v>
      </c>
      <c r="U71" s="46">
        <f>I71*'Tier 3 CO2 Tables'!H$3/10000</f>
        <v>364.11550583268786</v>
      </c>
      <c r="V71" s="46">
        <f>44.011*(U71/(12.011+1.008*'Tier 3 CO2 Tables'!B$6+16*'Tier 3 CO2 Tables'!C$6))</f>
        <v>1135.9155413097035</v>
      </c>
      <c r="W71" s="46">
        <f>I71*'T3 Methane'!D$6</f>
        <v>7206975.8740676846</v>
      </c>
      <c r="X71" s="46" cm="1">
        <f t="array" ref="X71">_xlfn.IFS(E71='Euro Age Table'!C$5,'Euro Age Table'!G$5,E71='Euro Age Table'!C$6,'Euro Age Table'!G$6,E71='Euro Age Table'!C$7,'Euro Age Table'!G$7,E71='Euro Age Table'!C$8,'Euro Age Table'!G$8,E71='Euro Age Table'!C$9,'Euro Age Table'!G$9,E71='Euro Age Table'!C$10,'Euro Age Table'!G$10,E71='Euro Age Table'!C$11,'Euro Age Table'!G$11)</f>
        <v>9</v>
      </c>
      <c r="Y71" s="46">
        <f>X71*'Eilat Car Data'!F$15</f>
        <v>131989.62689626895</v>
      </c>
      <c r="Z71" s="121">
        <f>('T3 N2O PC-Petrol'!D7*Y71+'T3 N2O PC-Petrol'!E7)*'T3 N2O PC-Petrol'!C7</f>
        <v>2.3144349068634686</v>
      </c>
      <c r="AA71" s="124">
        <f t="shared" si="6"/>
        <v>5811873.3574442882</v>
      </c>
    </row>
    <row r="72" spans="1:27" ht="12.5">
      <c r="A72" s="48" t="s">
        <v>51</v>
      </c>
      <c r="B72" s="49" t="s">
        <v>63</v>
      </c>
      <c r="C72" s="49" t="s">
        <v>52</v>
      </c>
      <c r="D72" s="49" t="s">
        <v>61</v>
      </c>
      <c r="E72" s="51" t="s">
        <v>60</v>
      </c>
      <c r="F72" s="97">
        <v>5.5539157954795686E-2</v>
      </c>
      <c r="G72" s="99">
        <f t="shared" si="0"/>
        <v>1219.1400562657202</v>
      </c>
      <c r="H72" s="46"/>
      <c r="I72" s="46">
        <f>G72*'Eilat Car Data'!F$15</f>
        <v>17879315.684534308</v>
      </c>
      <c r="J72" s="46">
        <f>I72*'Tier 1 Coefficients'!I$3</f>
        <v>1251552097.9174016</v>
      </c>
      <c r="K72" s="46">
        <f t="shared" si="4"/>
        <v>1251552.0979174015</v>
      </c>
      <c r="L72" s="46">
        <f>K72*'Tier 1 Coefficients'!D$3</f>
        <v>3966168.5983002451</v>
      </c>
      <c r="M72" s="46">
        <f>K72*'Tier 1 Coefficients'!C$16</f>
        <v>11063720.545589829</v>
      </c>
      <c r="N72" s="46">
        <f>K72*'Tier 1 Coefficients'!C$40</f>
        <v>257819.7321709847</v>
      </c>
      <c r="O72" s="46">
        <f>I72*'Tier 2 FC'!D$18</f>
        <v>607896733.27416646</v>
      </c>
      <c r="P72" s="46">
        <f t="shared" si="5"/>
        <v>607896.73327416647</v>
      </c>
      <c r="Q72" s="46">
        <f>P72*'Tier 1 Coefficients'!D$3</f>
        <v>1926424.7477458336</v>
      </c>
      <c r="R72" s="46">
        <f>$I72*'T2 PC'!C$80</f>
        <v>3575.8631369068617</v>
      </c>
      <c r="S72" s="46">
        <f>$I72*'T2 PC'!D$80</f>
        <v>7115967.6424446544</v>
      </c>
      <c r="T72" s="46">
        <f>44.011*(P72/(12.011+1.008*'Tier 3 CO2 Tables'!B$3+16*'Tier 3 CO2 Tables'!C$3))</f>
        <v>1926715.7089164921</v>
      </c>
      <c r="U72" s="46">
        <f>I72*'Tier 3 CO2 Tables'!H$4/10000</f>
        <v>2288.552407620391</v>
      </c>
      <c r="V72" s="46">
        <f>44.011*(U72/(12.011+1.008*'Tier 3 CO2 Tables'!B$6+16*'Tier 3 CO2 Tables'!C$6))</f>
        <v>7139.4988822922214</v>
      </c>
      <c r="W72" s="46">
        <f>I72*'T3 Methane'!D$6</f>
        <v>51313636.014613464</v>
      </c>
      <c r="X72" s="46" cm="1">
        <f t="array" ref="X72">_xlfn.IFS(E72='Euro Age Table'!C$5,'Euro Age Table'!G$5,E72='Euro Age Table'!C$6,'Euro Age Table'!G$6,E72='Euro Age Table'!C$7,'Euro Age Table'!G$7,E72='Euro Age Table'!C$8,'Euro Age Table'!G$8,E72='Euro Age Table'!C$9,'Euro Age Table'!G$9,E72='Euro Age Table'!C$10,'Euro Age Table'!G$10,E72='Euro Age Table'!C$11,'Euro Age Table'!G$11)</f>
        <v>3</v>
      </c>
      <c r="Y72" s="46">
        <f>X72*'Eilat Car Data'!F$15</f>
        <v>43996.542298756322</v>
      </c>
      <c r="Z72" s="121">
        <f>('T3 N2O PC-Petrol'!D8*Y72+'T3 N2O PC-Petrol'!E8)*'T3 N2O PC-Petrol'!C8</f>
        <v>2.149078302287823</v>
      </c>
      <c r="AA72" s="124">
        <f t="shared" si="6"/>
        <v>38424049.397387035</v>
      </c>
    </row>
    <row r="73" spans="1:27" ht="12.5">
      <c r="A73" s="48" t="s">
        <v>51</v>
      </c>
      <c r="B73" s="49" t="s">
        <v>63</v>
      </c>
      <c r="C73" s="49" t="s">
        <v>52</v>
      </c>
      <c r="D73" s="52" t="s">
        <v>62</v>
      </c>
      <c r="E73" s="50" t="s">
        <v>58</v>
      </c>
      <c r="F73" s="97">
        <v>7.9018359567235031E-5</v>
      </c>
      <c r="G73" s="99">
        <f t="shared" si="0"/>
        <v>1.7345320108603761</v>
      </c>
      <c r="H73" s="46"/>
      <c r="I73" s="46">
        <f>G73*'Eilat Car Data'!F$15</f>
        <v>25437.803661455131</v>
      </c>
      <c r="J73" s="46">
        <f>I73*'Tier 1 Coefficients'!I$3</f>
        <v>1780646.2563018592</v>
      </c>
      <c r="K73" s="46">
        <f t="shared" si="4"/>
        <v>1780.6462563018592</v>
      </c>
      <c r="L73" s="46">
        <f>K73*'Tier 1 Coefficients'!D$3</f>
        <v>5642.8679862205918</v>
      </c>
      <c r="M73" s="46">
        <f>K73*'Tier 1 Coefficients'!C$16</f>
        <v>15740.912905708436</v>
      </c>
      <c r="N73" s="46">
        <f>K73*'Tier 1 Coefficients'!C$40</f>
        <v>366.81312879818296</v>
      </c>
      <c r="O73" s="46">
        <f>I73*'Tier 2 FC'!D$19</f>
        <v>864885.32448947441</v>
      </c>
      <c r="P73" s="46">
        <f t="shared" si="5"/>
        <v>864.88532448947444</v>
      </c>
      <c r="Q73" s="46">
        <f>P73*'Tier 1 Coefficients'!D$3</f>
        <v>2740.8215933071447</v>
      </c>
      <c r="R73" s="46">
        <f>$I73*'T2 PC'!C$81</f>
        <v>5.0875607322910268</v>
      </c>
      <c r="S73" s="46">
        <f>$I73*'T2 PC'!D$81</f>
        <v>10124.245857259142</v>
      </c>
      <c r="T73" s="46">
        <f>44.011*(P73/(12.011+1.008*'Tier 3 CO2 Tables'!B$3+16*'Tier 3 CO2 Tables'!C$3))</f>
        <v>2741.2355584310294</v>
      </c>
      <c r="U73" s="46">
        <f>I73*'Tier 3 CO2 Tables'!H$3/10000</f>
        <v>3.6884815309109937</v>
      </c>
      <c r="V73" s="46">
        <f>44.011*(U73/(12.011+1.008*'Tier 3 CO2 Tables'!B$6+16*'Tier 3 CO2 Tables'!C$6))</f>
        <v>11.506797781693024</v>
      </c>
      <c r="W73" s="46">
        <f>I73*'T3 Methane'!D$6</f>
        <v>73006.496508376222</v>
      </c>
      <c r="X73" s="46" cm="1">
        <f t="array" ref="X73">_xlfn.IFS(E73='Euro Age Table'!C$5,'Euro Age Table'!G$5,E73='Euro Age Table'!C$6,'Euro Age Table'!G$6,E73='Euro Age Table'!C$7,'Euro Age Table'!G$7,E73='Euro Age Table'!C$8,'Euro Age Table'!G$8,E73='Euro Age Table'!C$9,'Euro Age Table'!G$9,E73='Euro Age Table'!C$10,'Euro Age Table'!G$10,E73='Euro Age Table'!C$11,'Euro Age Table'!G$11)</f>
        <v>13</v>
      </c>
      <c r="Y73" s="46">
        <f>X73*'Eilat Car Data'!F$15</f>
        <v>190651.68329461073</v>
      </c>
      <c r="Z73" s="121">
        <f>('T3 N2O PC-Petrol'!D6*Y73+'T3 N2O PC-Petrol'!E6)*'T3 N2O PC-Petrol'!C6</f>
        <v>2.0083394490497017</v>
      </c>
      <c r="AA73" s="124">
        <f t="shared" si="6"/>
        <v>51087.744590481285</v>
      </c>
    </row>
    <row r="74" spans="1:27" ht="12.5">
      <c r="A74" s="48" t="s">
        <v>51</v>
      </c>
      <c r="B74" s="49" t="s">
        <v>63</v>
      </c>
      <c r="C74" s="49" t="s">
        <v>52</v>
      </c>
      <c r="D74" s="49" t="s">
        <v>62</v>
      </c>
      <c r="E74" s="50" t="s">
        <v>59</v>
      </c>
      <c r="F74" s="97">
        <v>1.6698438632075992E-3</v>
      </c>
      <c r="G74" s="99">
        <f t="shared" si="0"/>
        <v>36.654742641270012</v>
      </c>
      <c r="H74" s="46"/>
      <c r="I74" s="46">
        <f>G74*'Eilat Car Data'!F$15</f>
        <v>537560.64502222103</v>
      </c>
      <c r="J74" s="46">
        <f>I74*'Tier 1 Coefficients'!I$3</f>
        <v>37629245.151555471</v>
      </c>
      <c r="K74" s="46">
        <f t="shared" si="4"/>
        <v>37629.245151555471</v>
      </c>
      <c r="L74" s="46">
        <f>K74*'Tier 1 Coefficients'!D$3</f>
        <v>119247.07788527929</v>
      </c>
      <c r="M74" s="46">
        <f>K74*'Tier 1 Coefficients'!C$16</f>
        <v>332642.52713975037</v>
      </c>
      <c r="N74" s="46">
        <f>K74*'Tier 1 Coefficients'!C$40</f>
        <v>7751.6245012204263</v>
      </c>
      <c r="O74" s="46">
        <f>I74*'Tier 2 FC'!D$19</f>
        <v>18277061.930755515</v>
      </c>
      <c r="P74" s="46">
        <f t="shared" si="5"/>
        <v>18277.061930755513</v>
      </c>
      <c r="Q74" s="46">
        <f>P74*'Tier 1 Coefficients'!D$3</f>
        <v>57920.00925856422</v>
      </c>
      <c r="R74" s="46">
        <f>$I74*'T2 PC'!C$81</f>
        <v>107.5121290044442</v>
      </c>
      <c r="S74" s="46">
        <f>$I74*'T2 PC'!D$81</f>
        <v>213949.13671884398</v>
      </c>
      <c r="T74" s="46">
        <f>44.011*(P74/(12.011+1.008*'Tier 3 CO2 Tables'!B$3+16*'Tier 3 CO2 Tables'!C$3))</f>
        <v>57928.757315667499</v>
      </c>
      <c r="U74" s="46">
        <f>I74*'Tier 3 CO2 Tables'!H$3/10000</f>
        <v>77.946293528222043</v>
      </c>
      <c r="V74" s="46">
        <f>44.011*(U74/(12.011+1.008*'Tier 3 CO2 Tables'!B$6+16*'Tier 3 CO2 Tables'!C$6))</f>
        <v>243.16571194548348</v>
      </c>
      <c r="W74" s="46">
        <f>I74*'T3 Methane'!D$6</f>
        <v>1542799.0512137744</v>
      </c>
      <c r="X74" s="46" cm="1">
        <f t="array" ref="X74">_xlfn.IFS(E74='Euro Age Table'!C$5,'Euro Age Table'!G$5,E74='Euro Age Table'!C$6,'Euro Age Table'!G$6,E74='Euro Age Table'!C$7,'Euro Age Table'!G$7,E74='Euro Age Table'!C$8,'Euro Age Table'!G$8,E74='Euro Age Table'!C$9,'Euro Age Table'!G$9,E74='Euro Age Table'!C$10,'Euro Age Table'!G$10,E74='Euro Age Table'!C$11,'Euro Age Table'!G$11)</f>
        <v>9</v>
      </c>
      <c r="Y74" s="46">
        <f>X74*'Eilat Car Data'!F$15</f>
        <v>131989.62689626895</v>
      </c>
      <c r="Z74" s="121">
        <f>('T3 N2O PC-Petrol'!D7*Y74+'T3 N2O PC-Petrol'!E7)*'T3 N2O PC-Petrol'!C7</f>
        <v>2.3144349068634686</v>
      </c>
      <c r="AA74" s="124">
        <f t="shared" si="6"/>
        <v>1244149.1213954703</v>
      </c>
    </row>
    <row r="75" spans="1:27" ht="12.5">
      <c r="A75" s="48" t="s">
        <v>51</v>
      </c>
      <c r="B75" s="51" t="s">
        <v>63</v>
      </c>
      <c r="C75" s="49" t="s">
        <v>52</v>
      </c>
      <c r="D75" s="49" t="s">
        <v>62</v>
      </c>
      <c r="E75" s="51" t="s">
        <v>60</v>
      </c>
      <c r="F75" s="97">
        <v>7.6897646240614388E-3</v>
      </c>
      <c r="G75" s="99">
        <f t="shared" si="0"/>
        <v>168.79802326277263</v>
      </c>
      <c r="H75" s="46"/>
      <c r="I75" s="46">
        <f>G75*'Eilat Car Data'!F$15</f>
        <v>2475509.7901423429</v>
      </c>
      <c r="J75" s="46">
        <f>I75*'Tier 1 Coefficients'!I$3</f>
        <v>173285685.309964</v>
      </c>
      <c r="K75" s="46">
        <f t="shared" si="4"/>
        <v>173285.685309964</v>
      </c>
      <c r="L75" s="46">
        <f>K75*'Tier 1 Coefficients'!D$3</f>
        <v>549142.3367472759</v>
      </c>
      <c r="M75" s="46">
        <f>K75*'Tier 1 Coefficients'!C$16</f>
        <v>1531845.4581400817</v>
      </c>
      <c r="N75" s="46">
        <f>K75*'Tier 1 Coefficients'!C$40</f>
        <v>35696.851173852585</v>
      </c>
      <c r="O75" s="46">
        <f>I75*'Tier 2 FC'!D$19</f>
        <v>84167332.864839658</v>
      </c>
      <c r="P75" s="46">
        <f t="shared" si="5"/>
        <v>84167.332864839656</v>
      </c>
      <c r="Q75" s="46">
        <f>P75*'Tier 1 Coefficients'!D$3</f>
        <v>266726.27784867689</v>
      </c>
      <c r="R75" s="46">
        <f>$I75*'T2 PC'!C$81</f>
        <v>495.10195802846863</v>
      </c>
      <c r="S75" s="46">
        <f>$I75*'T2 PC'!D$81</f>
        <v>985252.89647665247</v>
      </c>
      <c r="T75" s="46">
        <f>44.011*(P75/(12.011+1.008*'Tier 3 CO2 Tables'!B$3+16*'Tier 3 CO2 Tables'!C$3))</f>
        <v>266766.56335172552</v>
      </c>
      <c r="U75" s="46">
        <f>I75*'Tier 3 CO2 Tables'!H$4/10000</f>
        <v>316.86525313821988</v>
      </c>
      <c r="V75" s="46">
        <f>44.011*(U75/(12.011+1.008*'Tier 3 CO2 Tables'!B$6+16*'Tier 3 CO2 Tables'!C$6))</f>
        <v>988.51095263745003</v>
      </c>
      <c r="W75" s="46">
        <f>I75*'T3 Methane'!D$6</f>
        <v>7104713.0977085242</v>
      </c>
      <c r="X75" s="46" cm="1">
        <f t="array" ref="X75">_xlfn.IFS(E75='Euro Age Table'!C$5,'Euro Age Table'!G$5,E75='Euro Age Table'!C$6,'Euro Age Table'!G$6,E75='Euro Age Table'!C$7,'Euro Age Table'!G$7,E75='Euro Age Table'!C$8,'Euro Age Table'!G$8,E75='Euro Age Table'!C$9,'Euro Age Table'!G$9,E75='Euro Age Table'!C$10,'Euro Age Table'!G$10,E75='Euro Age Table'!C$11,'Euro Age Table'!G$11)</f>
        <v>3</v>
      </c>
      <c r="Y75" s="46">
        <f>X75*'Eilat Car Data'!F$15</f>
        <v>43996.542298756322</v>
      </c>
      <c r="Z75" s="121">
        <f>('T3 N2O PC-Petrol'!D8*Y75+'T3 N2O PC-Petrol'!E8)*'T3 N2O PC-Petrol'!C8</f>
        <v>2.149078302287823</v>
      </c>
      <c r="AA75" s="124">
        <f t="shared" si="6"/>
        <v>5320064.3770959917</v>
      </c>
    </row>
    <row r="76" spans="1:27" ht="12.5">
      <c r="A76" s="48" t="s">
        <v>51</v>
      </c>
      <c r="B76" s="49" t="s">
        <v>64</v>
      </c>
      <c r="C76" s="49" t="s">
        <v>52</v>
      </c>
      <c r="D76" s="52" t="s">
        <v>53</v>
      </c>
      <c r="E76" s="50" t="s">
        <v>59</v>
      </c>
      <c r="F76" s="97">
        <v>4.180419831516589E-4</v>
      </c>
      <c r="G76" s="99">
        <f t="shared" si="0"/>
        <v>9.1764395721620637</v>
      </c>
      <c r="H76" s="46"/>
      <c r="I76" s="46">
        <f>G76*'Eilat Car Data'!F$15</f>
        <v>134577.20392953654</v>
      </c>
      <c r="J76" s="46">
        <f>I76*0</f>
        <v>0</v>
      </c>
      <c r="K76" s="46">
        <f t="shared" si="4"/>
        <v>0</v>
      </c>
      <c r="L76" s="46">
        <f>K76*0</f>
        <v>0</v>
      </c>
      <c r="M76" s="46">
        <f>K76*0</f>
        <v>0</v>
      </c>
      <c r="N76" s="46">
        <f>K76*0</f>
        <v>0</v>
      </c>
      <c r="O76" s="46">
        <f>I76*0</f>
        <v>0</v>
      </c>
      <c r="P76" s="46">
        <f t="shared" si="5"/>
        <v>0</v>
      </c>
      <c r="Q76" s="46">
        <f>P76*0</f>
        <v>0</v>
      </c>
      <c r="R76" s="46">
        <f>I76*0</f>
        <v>0</v>
      </c>
      <c r="S76" s="46">
        <f>I76*0</f>
        <v>0</v>
      </c>
      <c r="T76" s="46">
        <f>P76*0</f>
        <v>0</v>
      </c>
      <c r="U76" s="46">
        <f>I76*0/10000</f>
        <v>0</v>
      </c>
      <c r="V76" s="46">
        <f>44.011*(U76/(12.011+1.008*'Tier 3 CO2 Tables'!B$6+16*'Tier 3 CO2 Tables'!C$6))</f>
        <v>0</v>
      </c>
      <c r="W76" s="46">
        <f>I76*0</f>
        <v>0</v>
      </c>
      <c r="X76" s="46" cm="1">
        <f t="array" ref="X76">_xlfn.IFS(E76='Euro Age Table'!C$5,'Euro Age Table'!G$5,E76='Euro Age Table'!C$6,'Euro Age Table'!G$6,E76='Euro Age Table'!C$7,'Euro Age Table'!G$7,E76='Euro Age Table'!C$8,'Euro Age Table'!G$8,E76='Euro Age Table'!C$9,'Euro Age Table'!G$9,E76='Euro Age Table'!C$10,'Euro Age Table'!G$10,E76='Euro Age Table'!C$11,'Euro Age Table'!G$11)</f>
        <v>9</v>
      </c>
      <c r="Y76" s="46">
        <f>X76*'Eilat Car Data'!F$15</f>
        <v>131989.62689626895</v>
      </c>
      <c r="Z76" s="46">
        <v>0</v>
      </c>
      <c r="AA76" s="124">
        <f t="shared" si="6"/>
        <v>0</v>
      </c>
    </row>
    <row r="77" spans="1:27" ht="12.5">
      <c r="A77" s="48" t="s">
        <v>51</v>
      </c>
      <c r="B77" s="51" t="s">
        <v>64</v>
      </c>
      <c r="C77" s="51" t="s">
        <v>52</v>
      </c>
      <c r="D77" s="51" t="s">
        <v>53</v>
      </c>
      <c r="E77" s="51" t="s">
        <v>60</v>
      </c>
      <c r="F77" s="97">
        <v>1.7837232637603791E-3</v>
      </c>
      <c r="G77" s="99">
        <f t="shared" si="0"/>
        <v>39.154509362804077</v>
      </c>
      <c r="H77" s="46"/>
      <c r="I77" s="46">
        <f>G77*'Eilat Car Data'!F$15</f>
        <v>574221.00912255328</v>
      </c>
      <c r="J77" s="46">
        <f>I77*0</f>
        <v>0</v>
      </c>
      <c r="K77" s="46">
        <f t="shared" si="4"/>
        <v>0</v>
      </c>
      <c r="L77" s="46">
        <f>K77*0</f>
        <v>0</v>
      </c>
      <c r="M77" s="46">
        <f>K77*0</f>
        <v>0</v>
      </c>
      <c r="N77" s="46">
        <f>K77*0</f>
        <v>0</v>
      </c>
      <c r="O77" s="46">
        <f>I77*0</f>
        <v>0</v>
      </c>
      <c r="P77" s="46">
        <f t="shared" si="5"/>
        <v>0</v>
      </c>
      <c r="Q77" s="46">
        <f>P77*0</f>
        <v>0</v>
      </c>
      <c r="R77" s="46">
        <f>I77*0</f>
        <v>0</v>
      </c>
      <c r="S77" s="46">
        <f>I77*0</f>
        <v>0</v>
      </c>
      <c r="T77" s="46">
        <f>P77*0</f>
        <v>0</v>
      </c>
      <c r="U77" s="46">
        <f>I77*0/10000</f>
        <v>0</v>
      </c>
      <c r="V77" s="46">
        <f>44.011*(U77/(12.011+1.008*'Tier 3 CO2 Tables'!B$6+16*'Tier 3 CO2 Tables'!C$6))</f>
        <v>0</v>
      </c>
      <c r="W77" s="46">
        <f>I77*0</f>
        <v>0</v>
      </c>
      <c r="X77" s="46" cm="1">
        <f t="array" ref="X77">_xlfn.IFS(E77='Euro Age Table'!C$5,'Euro Age Table'!G$5,E77='Euro Age Table'!C$6,'Euro Age Table'!G$6,E77='Euro Age Table'!C$7,'Euro Age Table'!G$7,E77='Euro Age Table'!C$8,'Euro Age Table'!G$8,E77='Euro Age Table'!C$9,'Euro Age Table'!G$9,E77='Euro Age Table'!C$10,'Euro Age Table'!G$10,E77='Euro Age Table'!C$11,'Euro Age Table'!G$11)</f>
        <v>3</v>
      </c>
      <c r="Y77" s="46">
        <f>X77*'Eilat Car Data'!F$15</f>
        <v>43996.542298756322</v>
      </c>
      <c r="Z77" s="46">
        <v>0</v>
      </c>
      <c r="AA77" s="124">
        <f t="shared" si="6"/>
        <v>0</v>
      </c>
    </row>
    <row r="78" spans="1:27" ht="12.5">
      <c r="A78" s="48" t="s">
        <v>51</v>
      </c>
      <c r="B78" s="49" t="s">
        <v>20</v>
      </c>
      <c r="C78" s="49" t="s">
        <v>65</v>
      </c>
      <c r="D78" s="49" t="s">
        <v>66</v>
      </c>
      <c r="E78" s="50" t="s">
        <v>54</v>
      </c>
      <c r="F78" s="97">
        <v>2.5855272064279111E-5</v>
      </c>
      <c r="G78" s="99">
        <f t="shared" si="0"/>
        <v>0.56754907708299074</v>
      </c>
      <c r="H78" s="76" t="s">
        <v>167</v>
      </c>
      <c r="I78" s="46">
        <f>G78*'Eilat Car Data'!F$15</f>
        <v>8323.3989921673037</v>
      </c>
      <c r="J78" s="46">
        <f>I78*'Tier 1 Coefficients'!I$3</f>
        <v>582637.92945171124</v>
      </c>
      <c r="K78" s="46">
        <f t="shared" si="4"/>
        <v>582.63792945171122</v>
      </c>
      <c r="L78" s="46">
        <f>K78*'Tier 1 Coefficients'!D$3</f>
        <v>1846.3795984324729</v>
      </c>
      <c r="M78" s="46">
        <f>K78*'Tier 1 Coefficients'!C$16</f>
        <v>5150.5192963531272</v>
      </c>
      <c r="N78" s="46">
        <f>K78*'Tier 1 Coefficients'!C$40</f>
        <v>120.02341346705251</v>
      </c>
      <c r="O78" s="46">
        <f>I78*'Tier 2 FC'!D$7</f>
        <v>790722.9042558939</v>
      </c>
      <c r="P78" s="46">
        <f t="shared" si="5"/>
        <v>790.72290425589392</v>
      </c>
      <c r="Q78" s="46">
        <f>P78*'Tier 1 Coefficients'!D$3</f>
        <v>2505.8008835869277</v>
      </c>
      <c r="R78" s="46">
        <f>$I78*'T2 PC'!C39</f>
        <v>83.233989921673043</v>
      </c>
      <c r="S78" s="46">
        <f>$I78*'T2 PC'!D39</f>
        <v>5518.4135318069229</v>
      </c>
      <c r="T78" s="46">
        <f>44.011*(P78/(12.011+1.008*'Tier 3 CO2 Tables'!B$3+16*'Tier 3 CO2 Tables'!C$3))</f>
        <v>2506.1793519176422</v>
      </c>
      <c r="U78" s="46">
        <f>I78*'Tier 3 CO2 Tables'!H$3/10000</f>
        <v>1.2068928538642592</v>
      </c>
      <c r="V78" s="46">
        <f>44.011*(U78/(12.011+1.008*'Tier 3 CO2 Tables'!B$6+16*'Tier 3 CO2 Tables'!C$6))</f>
        <v>3.7650919212157326</v>
      </c>
      <c r="W78" s="46">
        <f>I78*'T3 Methane'!D2</f>
        <v>1090365.2679739168</v>
      </c>
      <c r="X78" s="46" cm="1">
        <f t="array" ref="X78">_xlfn.IFS(E78='Euro Age Table'!C$5,'Euro Age Table'!G$5,E78='Euro Age Table'!C$6,'Euro Age Table'!G$6,E78='Euro Age Table'!C$7,'Euro Age Table'!G$7,E78='Euro Age Table'!C$8,'Euro Age Table'!G$8,E78='Euro Age Table'!C$9,'Euro Age Table'!G$9,E78='Euro Age Table'!C$10,'Euro Age Table'!G$10,E78='Euro Age Table'!C$11,'Euro Age Table'!G$11)</f>
        <v>27</v>
      </c>
      <c r="Y78" s="46">
        <f>X78*'Eilat Car Data'!F$15</f>
        <v>395968.88068880688</v>
      </c>
      <c r="Z78" s="46">
        <f>('T3 N2O PC-Petrol'!D2*Y78+'T3 N2O PC-Petrol'!E2)*'T3 N2O PC-Petrol'!C2</f>
        <v>10</v>
      </c>
      <c r="AA78" s="124">
        <f t="shared" si="6"/>
        <v>83233.989921673041</v>
      </c>
    </row>
    <row r="79" spans="1:27" ht="12.5">
      <c r="A79" s="48" t="s">
        <v>51</v>
      </c>
      <c r="B79" s="49" t="s">
        <v>20</v>
      </c>
      <c r="C79" s="49" t="s">
        <v>65</v>
      </c>
      <c r="D79" s="49" t="s">
        <v>66</v>
      </c>
      <c r="E79" s="50" t="s">
        <v>55</v>
      </c>
      <c r="F79" s="97">
        <v>8.7152602463862176E-7</v>
      </c>
      <c r="G79" s="99">
        <f t="shared" si="0"/>
        <v>1.9130867766842388E-2</v>
      </c>
      <c r="H79" s="76" t="s">
        <v>167</v>
      </c>
      <c r="I79" s="46">
        <f>G79*'Eilat Car Data'!F$15</f>
        <v>280.56401097193168</v>
      </c>
      <c r="J79" s="46">
        <f>I79*'Tier 1 Coefficients'!I$3</f>
        <v>19639.480768035217</v>
      </c>
      <c r="K79" s="46">
        <f t="shared" si="4"/>
        <v>19.639480768035217</v>
      </c>
      <c r="L79" s="46">
        <f>K79*'Tier 1 Coefficients'!D$3</f>
        <v>62.237514553903601</v>
      </c>
      <c r="M79" s="46">
        <f>K79*'Tier 1 Coefficients'!C$16</f>
        <v>173.6130099894313</v>
      </c>
      <c r="N79" s="46">
        <f>K79*'Tier 1 Coefficients'!C$40</f>
        <v>4.0457330382152543</v>
      </c>
      <c r="O79" s="46">
        <f>I79*'Tier 2 FC'!D$8</f>
        <v>24128.504943586126</v>
      </c>
      <c r="P79" s="46">
        <f t="shared" si="5"/>
        <v>24.128504943586126</v>
      </c>
      <c r="Q79" s="46">
        <f>P79*'Tier 1 Coefficients'!D$3</f>
        <v>76.463232166224429</v>
      </c>
      <c r="R79" s="46">
        <f>$I79*'T2 PC'!C40</f>
        <v>3.0862041206912485</v>
      </c>
      <c r="S79" s="46">
        <f>$I79*'T2 PC'!D40</f>
        <v>167.21615053927127</v>
      </c>
      <c r="T79" s="46">
        <f>44.011*(P79/(12.011+1.008*'Tier 3 CO2 Tables'!B$3+16*'Tier 3 CO2 Tables'!C$3))</f>
        <v>76.474780933737648</v>
      </c>
      <c r="U79" s="46">
        <f>I79*'Tier 3 CO2 Tables'!H$3/10000</f>
        <v>4.068178159093009E-2</v>
      </c>
      <c r="V79" s="46">
        <f>44.011*(U79/(12.011+1.008*'Tier 3 CO2 Tables'!B$6+16*'Tier 3 CO2 Tables'!C$6))</f>
        <v>0.12691321082749663</v>
      </c>
      <c r="W79" s="46">
        <f>I79*'T3 Methane'!D3</f>
        <v>7294.6642852702234</v>
      </c>
      <c r="X79" s="46" cm="1">
        <f t="array" ref="X79">_xlfn.IFS(E79='Euro Age Table'!C$5,'Euro Age Table'!G$5,E79='Euro Age Table'!C$6,'Euro Age Table'!G$6,E79='Euro Age Table'!C$7,'Euro Age Table'!G$7,E79='Euro Age Table'!C$8,'Euro Age Table'!G$8,E79='Euro Age Table'!C$9,'Euro Age Table'!G$9,E79='Euro Age Table'!C$10,'Euro Age Table'!G$10,E79='Euro Age Table'!C$11,'Euro Age Table'!G$11)</f>
        <v>23</v>
      </c>
      <c r="Y79" s="46">
        <f>X79*'Eilat Car Data'!F$15</f>
        <v>337306.8242904651</v>
      </c>
      <c r="Z79" s="46">
        <f>('T3 N2O PC-Petrol'!D3*Y79+'T3 N2O PC-Petrol'!E3)*'T3 N2O PC-Petrol'!C3</f>
        <v>28.238281643037674</v>
      </c>
      <c r="AA79" s="124">
        <f t="shared" si="6"/>
        <v>7922.6455607257185</v>
      </c>
    </row>
    <row r="80" spans="1:27" ht="12.5">
      <c r="A80" s="48" t="s">
        <v>51</v>
      </c>
      <c r="B80" s="49" t="s">
        <v>20</v>
      </c>
      <c r="C80" s="49" t="s">
        <v>65</v>
      </c>
      <c r="D80" s="49" t="s">
        <v>66</v>
      </c>
      <c r="E80" s="50" t="s">
        <v>57</v>
      </c>
      <c r="F80" s="97">
        <v>1.7430520492772435E-6</v>
      </c>
      <c r="G80" s="99">
        <f t="shared" si="0"/>
        <v>3.8261735533684775E-2</v>
      </c>
      <c r="H80" s="76" t="s">
        <v>167</v>
      </c>
      <c r="I80" s="46">
        <f>G80*'Eilat Car Data'!F$15</f>
        <v>561.12802194386336</v>
      </c>
      <c r="J80" s="46">
        <f>I80*'Tier 1 Coefficients'!I$3</f>
        <v>39278.961536070434</v>
      </c>
      <c r="K80" s="46">
        <f t="shared" si="4"/>
        <v>39.278961536070433</v>
      </c>
      <c r="L80" s="46">
        <f>K80*'Tier 1 Coefficients'!D$3</f>
        <v>124.4750291078072</v>
      </c>
      <c r="M80" s="46">
        <f>K80*'Tier 1 Coefficients'!C$16</f>
        <v>347.22601997886261</v>
      </c>
      <c r="N80" s="46">
        <f>K80*'Tier 1 Coefficients'!C$40</f>
        <v>8.0914660764305086</v>
      </c>
      <c r="O80" s="46">
        <f>I80*'Tier 2 FC'!D$8</f>
        <v>48257.009887172251</v>
      </c>
      <c r="P80" s="46">
        <f t="shared" si="5"/>
        <v>48.257009887172252</v>
      </c>
      <c r="Q80" s="46">
        <f>P80*'Tier 1 Coefficients'!D$3</f>
        <v>152.92646433244886</v>
      </c>
      <c r="R80" s="46">
        <f>$I80*'T2 PC'!C41</f>
        <v>3.3667681316631803</v>
      </c>
      <c r="S80" s="46">
        <f>$I80*'T2 PC'!D41</f>
        <v>297.3978516302476</v>
      </c>
      <c r="T80" s="46">
        <f>44.011*(P80/(12.011+1.008*'Tier 3 CO2 Tables'!B$3+16*'Tier 3 CO2 Tables'!C$3))</f>
        <v>152.9495618674753</v>
      </c>
      <c r="U80" s="46">
        <f>I80*'Tier 3 CO2 Tables'!H$3/10000</f>
        <v>8.136356318186018E-2</v>
      </c>
      <c r="V80" s="46">
        <f>44.011*(U80/(12.011+1.008*'Tier 3 CO2 Tables'!B$6+16*'Tier 3 CO2 Tables'!C$6))</f>
        <v>0.25382642165499325</v>
      </c>
      <c r="W80" s="46">
        <f>I80*'T3 Methane'!D4</f>
        <v>9539.1763730456769</v>
      </c>
      <c r="X80" s="46" cm="1">
        <f t="array" ref="X80">_xlfn.IFS(E80='Euro Age Table'!C$5,'Euro Age Table'!G$5,E80='Euro Age Table'!C$6,'Euro Age Table'!G$6,E80='Euro Age Table'!C$7,'Euro Age Table'!G$7,E80='Euro Age Table'!C$8,'Euro Age Table'!G$8,E80='Euro Age Table'!C$9,'Euro Age Table'!G$9,E80='Euro Age Table'!C$10,'Euro Age Table'!G$10,E80='Euro Age Table'!C$11,'Euro Age Table'!G$11)</f>
        <v>16</v>
      </c>
      <c r="Y80" s="46">
        <f>X80*'Eilat Car Data'!F$15</f>
        <v>234648.22559336704</v>
      </c>
      <c r="Z80" s="121">
        <f>('T3 N2O PC-Petrol'!D3*Y80+'T3 N2O PC-Petrol'!E3)*'T3 N2O PC-Petrol'!C3</f>
        <v>26.140022012547949</v>
      </c>
      <c r="AA80" s="124">
        <f t="shared" si="6"/>
        <v>14667.898845470076</v>
      </c>
    </row>
    <row r="81" spans="1:27" ht="12.5">
      <c r="A81" s="48" t="s">
        <v>51</v>
      </c>
      <c r="B81" s="49" t="s">
        <v>20</v>
      </c>
      <c r="C81" s="49" t="s">
        <v>65</v>
      </c>
      <c r="D81" s="49" t="s">
        <v>66</v>
      </c>
      <c r="E81" s="50" t="s">
        <v>58</v>
      </c>
      <c r="F81" s="97">
        <v>2.0335607241567842E-6</v>
      </c>
      <c r="G81" s="99">
        <f t="shared" si="0"/>
        <v>4.4638691455965572E-2</v>
      </c>
      <c r="H81" s="76" t="s">
        <v>167</v>
      </c>
      <c r="I81" s="46">
        <f>G81*'Eilat Car Data'!F$15</f>
        <v>654.64935893450718</v>
      </c>
      <c r="J81" s="46">
        <f>I81*'Tier 1 Coefficients'!I$3</f>
        <v>45825.455125415501</v>
      </c>
      <c r="K81" s="46">
        <f t="shared" si="4"/>
        <v>45.825455125415502</v>
      </c>
      <c r="L81" s="46">
        <f>K81*'Tier 1 Coefficients'!D$3</f>
        <v>145.22086729244174</v>
      </c>
      <c r="M81" s="46">
        <f>K81*'Tier 1 Coefficients'!C$16</f>
        <v>405.09702330867304</v>
      </c>
      <c r="N81" s="46">
        <f>K81*'Tier 1 Coefficients'!C$40</f>
        <v>9.4400437558355925</v>
      </c>
      <c r="O81" s="46">
        <f>I81*'Tier 2 FC'!D$8</f>
        <v>56299.844868367618</v>
      </c>
      <c r="P81" s="46">
        <f t="shared" si="5"/>
        <v>56.299844868367614</v>
      </c>
      <c r="Q81" s="46">
        <f>P81*'Tier 1 Coefficients'!D$3</f>
        <v>178.41420838785697</v>
      </c>
      <c r="R81" s="46">
        <f>$I81*'T2 PC'!C42</f>
        <v>1.3092987178690143</v>
      </c>
      <c r="S81" s="46">
        <f>$I81*'T2 PC'!D42</f>
        <v>303.75730254561137</v>
      </c>
      <c r="T81" s="46">
        <f>44.011*(P81/(12.011+1.008*'Tier 3 CO2 Tables'!B$3+16*'Tier 3 CO2 Tables'!C$3))</f>
        <v>178.44115551205451</v>
      </c>
      <c r="U81" s="46">
        <f>I81*'Tier 3 CO2 Tables'!H$3/10000</f>
        <v>9.492415704550354E-2</v>
      </c>
      <c r="V81" s="46">
        <f>44.011*(U81/(12.011+1.008*'Tier 3 CO2 Tables'!B$6+16*'Tier 3 CO2 Tables'!C$6))</f>
        <v>0.29613082526415879</v>
      </c>
      <c r="W81" s="46">
        <f>I81*'T3 Methane'!D$5</f>
        <v>1963.9480768035214</v>
      </c>
      <c r="X81" s="46" cm="1">
        <f t="array" ref="X81">_xlfn.IFS(E81='Euro Age Table'!C$5,'Euro Age Table'!G$5,E81='Euro Age Table'!C$6,'Euro Age Table'!G$6,E81='Euro Age Table'!C$7,'Euro Age Table'!G$7,E81='Euro Age Table'!C$8,'Euro Age Table'!G$8,E81='Euro Age Table'!C$9,'Euro Age Table'!G$9,E81='Euro Age Table'!C$10,'Euro Age Table'!G$10,E81='Euro Age Table'!C$11,'Euro Age Table'!G$11)</f>
        <v>13</v>
      </c>
      <c r="Y81" s="46">
        <f>X81*'Eilat Car Data'!F$15</f>
        <v>190651.68329461073</v>
      </c>
      <c r="Z81" s="121">
        <f>('T3 N2O PC-Petrol'!D4*Y81+'T3 N2O PC-Petrol'!E4)*'T3 N2O PC-Petrol'!C4</f>
        <v>12.627251223489136</v>
      </c>
      <c r="AA81" s="124">
        <f t="shared" si="6"/>
        <v>8266.421918562135</v>
      </c>
    </row>
    <row r="82" spans="1:27" ht="12.5">
      <c r="A82" s="48" t="s">
        <v>51</v>
      </c>
      <c r="B82" s="49" t="s">
        <v>20</v>
      </c>
      <c r="C82" s="49" t="s">
        <v>65</v>
      </c>
      <c r="D82" s="49" t="s">
        <v>66</v>
      </c>
      <c r="E82" s="50" t="s">
        <v>59</v>
      </c>
      <c r="F82" s="97">
        <v>1.1910855670061164E-5</v>
      </c>
      <c r="G82" s="99">
        <f t="shared" si="0"/>
        <v>0.26145519281351259</v>
      </c>
      <c r="H82" s="76" t="s">
        <v>167</v>
      </c>
      <c r="I82" s="46">
        <f>G82*'Eilat Car Data'!F$15</f>
        <v>3834.3748166163987</v>
      </c>
      <c r="J82" s="46">
        <f>I82*'Tier 1 Coefficients'!I$3</f>
        <v>268406.23716314789</v>
      </c>
      <c r="K82" s="46">
        <f t="shared" si="4"/>
        <v>268.40623716314786</v>
      </c>
      <c r="L82" s="46">
        <f>K82*'Tier 1 Coefficients'!D$3</f>
        <v>850.57936557001563</v>
      </c>
      <c r="M82" s="46">
        <f>K82*'Tier 1 Coefficients'!C$16</f>
        <v>2372.7111365222272</v>
      </c>
      <c r="N82" s="46">
        <f>K82*'Tier 1 Coefficients'!C$40</f>
        <v>55.291684855608459</v>
      </c>
      <c r="O82" s="46">
        <f>I82*'Tier 2 FC'!D$8</f>
        <v>329756.2342290103</v>
      </c>
      <c r="P82" s="46">
        <f t="shared" si="5"/>
        <v>329.75623422901032</v>
      </c>
      <c r="Q82" s="46">
        <f>P82*'Tier 1 Coefficients'!D$3</f>
        <v>1044.9975062717338</v>
      </c>
      <c r="R82" s="46">
        <f>$I82*'T2 PC'!C43</f>
        <v>7.6687496332327978</v>
      </c>
      <c r="S82" s="46">
        <f>$I82*'T2 PC'!D43</f>
        <v>1526.0811770133269</v>
      </c>
      <c r="T82" s="46">
        <f>44.011*(P82/(12.011+1.008*'Tier 3 CO2 Tables'!B$3+16*'Tier 3 CO2 Tables'!C$3))</f>
        <v>1045.1553394277478</v>
      </c>
      <c r="U82" s="46">
        <f>I82*'Tier 3 CO2 Tables'!H$3/10000</f>
        <v>0.55598434840937783</v>
      </c>
      <c r="V82" s="46">
        <f>44.011*(U82/(12.011+1.008*'Tier 3 CO2 Tables'!B$6+16*'Tier 3 CO2 Tables'!C$6))</f>
        <v>1.7344805479757868</v>
      </c>
      <c r="W82" s="46">
        <f>I82*'T3 Methane'!D$5</f>
        <v>11503.124449849196</v>
      </c>
      <c r="X82" s="46" cm="1">
        <f t="array" ref="X82">_xlfn.IFS(E82='Euro Age Table'!C$5,'Euro Age Table'!G$5,E82='Euro Age Table'!C$6,'Euro Age Table'!G$6,E82='Euro Age Table'!C$7,'Euro Age Table'!G$7,E82='Euro Age Table'!C$8,'Euro Age Table'!G$8,E82='Euro Age Table'!C$9,'Euro Age Table'!G$9,E82='Euro Age Table'!C$10,'Euro Age Table'!G$10,E82='Euro Age Table'!C$11,'Euro Age Table'!G$11)</f>
        <v>9</v>
      </c>
      <c r="Y82" s="46">
        <f>X82*'Eilat Car Data'!F$15</f>
        <v>131989.62689626895</v>
      </c>
      <c r="Z82" s="121">
        <f>('T3 N2O PC-Petrol'!D5*Y82+'T3 N2O PC-Petrol'!E5)*'T3 N2O PC-Petrol'!C5</f>
        <v>1.3951350526855268</v>
      </c>
      <c r="AA82" s="124">
        <f t="shared" si="6"/>
        <v>5349.4707117961771</v>
      </c>
    </row>
    <row r="83" spans="1:27" ht="12.5">
      <c r="A83" s="48" t="s">
        <v>51</v>
      </c>
      <c r="B83" s="49" t="s">
        <v>20</v>
      </c>
      <c r="C83" s="49" t="s">
        <v>65</v>
      </c>
      <c r="D83" s="49" t="s">
        <v>66</v>
      </c>
      <c r="E83" s="50" t="s">
        <v>60</v>
      </c>
      <c r="F83" s="97">
        <v>1.2491873019820245E-5</v>
      </c>
      <c r="G83" s="99">
        <f t="shared" si="0"/>
        <v>0.27420910465807419</v>
      </c>
      <c r="H83" s="76" t="s">
        <v>167</v>
      </c>
      <c r="I83" s="46">
        <f>G83*'Eilat Car Data'!F$15</f>
        <v>4021.4174905976865</v>
      </c>
      <c r="J83" s="46">
        <f>I83*'Tier 1 Coefficients'!I$3</f>
        <v>281499.22434183804</v>
      </c>
      <c r="K83" s="46">
        <f t="shared" si="4"/>
        <v>281.49922434183804</v>
      </c>
      <c r="L83" s="46">
        <f>K83*'Tier 1 Coefficients'!D$3</f>
        <v>892.07104193928478</v>
      </c>
      <c r="M83" s="46">
        <f>K83*'Tier 1 Coefficients'!C$16</f>
        <v>2488.4531431818482</v>
      </c>
      <c r="N83" s="46">
        <f>K83*'Tier 1 Coefficients'!C$40</f>
        <v>57.988840214418637</v>
      </c>
      <c r="O83" s="46">
        <f>I83*'Tier 2 FC'!D$8</f>
        <v>345841.90419140103</v>
      </c>
      <c r="P83" s="46">
        <f t="shared" si="5"/>
        <v>345.84190419140106</v>
      </c>
      <c r="Q83" s="46">
        <f>P83*'Tier 1 Coefficients'!D$3</f>
        <v>1095.97299438255</v>
      </c>
      <c r="R83" s="46">
        <f>$I83*'T2 PC'!C44</f>
        <v>5.2278427377769923</v>
      </c>
      <c r="S83" s="46">
        <f>$I83*'T2 PC'!D44</f>
        <v>1600.5241612578793</v>
      </c>
      <c r="T83" s="46">
        <f>44.011*(P83/(12.011+1.008*'Tier 3 CO2 Tables'!B$3+16*'Tier 3 CO2 Tables'!C$3))</f>
        <v>1096.1385267169062</v>
      </c>
      <c r="U83" s="46">
        <f>I83*'Tier 3 CO2 Tables'!H$4/10000</f>
        <v>0.51474143879650391</v>
      </c>
      <c r="V83" s="46">
        <f>44.011*(U83/(12.011+1.008*'Tier 3 CO2 Tables'!B$6+16*'Tier 3 CO2 Tables'!C$6))</f>
        <v>1.6058168101023937</v>
      </c>
      <c r="W83" s="46">
        <f>I83*'T3 Methane'!D$5</f>
        <v>12064.252471793059</v>
      </c>
      <c r="X83" s="46" cm="1">
        <f t="array" ref="X83">_xlfn.IFS(E83='Euro Age Table'!C$5,'Euro Age Table'!G$5,E83='Euro Age Table'!C$6,'Euro Age Table'!G$6,E83='Euro Age Table'!C$7,'Euro Age Table'!G$7,E83='Euro Age Table'!C$8,'Euro Age Table'!G$8,E83='Euro Age Table'!C$9,'Euro Age Table'!G$9,E83='Euro Age Table'!C$10,'Euro Age Table'!G$10,E83='Euro Age Table'!C$11,'Euro Age Table'!G$11)</f>
        <v>3</v>
      </c>
      <c r="Y83" s="46">
        <f>X83*'Eilat Car Data'!F$15</f>
        <v>43996.542298756322</v>
      </c>
      <c r="Z83" s="121">
        <f>('T3 N2O PC-Petrol'!D6*Y83+'T3 N2O PC-Petrol'!E6)*'T3 N2O PC-Petrol'!C6</f>
        <v>1.824155257473008</v>
      </c>
      <c r="AA83" s="124">
        <f t="shared" si="6"/>
        <v>7335.6898579676808</v>
      </c>
    </row>
    <row r="84" spans="1:27" ht="12.5">
      <c r="A84" s="48" t="s">
        <v>51</v>
      </c>
      <c r="B84" s="52" t="s">
        <v>22</v>
      </c>
      <c r="C84" s="49" t="s">
        <v>65</v>
      </c>
      <c r="D84" s="49" t="s">
        <v>66</v>
      </c>
      <c r="E84" s="50" t="s">
        <v>54</v>
      </c>
      <c r="F84" s="97">
        <v>8.7152602463862176E-7</v>
      </c>
      <c r="G84" s="99">
        <f t="shared" si="0"/>
        <v>1.9130867766842388E-2</v>
      </c>
      <c r="H84" s="76" t="s">
        <v>167</v>
      </c>
      <c r="I84" s="46">
        <f>G84*'Eilat Car Data'!F$15</f>
        <v>280.56401097193168</v>
      </c>
      <c r="J84" s="46">
        <f>I84*'Tier 1 Coefficients'!I$4</f>
        <v>16833.840658315901</v>
      </c>
      <c r="K84" s="46">
        <f t="shared" si="4"/>
        <v>16.8338406583159</v>
      </c>
      <c r="L84" s="46">
        <f>K84*'Tier 1 Coefficients'!D$4</f>
        <v>53.34644104620309</v>
      </c>
      <c r="M84" s="46">
        <f>K84*'Tier 1 Coefficients'!C$17</f>
        <v>147.12776735368098</v>
      </c>
      <c r="N84" s="46">
        <f>K84*'Tier 1 Coefficients'!C$41</f>
        <v>1.4645441372734831</v>
      </c>
      <c r="O84" s="46">
        <f>I84*'Tier 2 FC'!D$12</f>
        <v>21042.300822894875</v>
      </c>
      <c r="P84" s="46">
        <f t="shared" si="5"/>
        <v>21.042300822894873</v>
      </c>
      <c r="Q84" s="46">
        <f>P84*'Tier 1 Coefficients'!D$4</f>
        <v>66.683051307753857</v>
      </c>
      <c r="R84" s="46">
        <f>$I84*'T2 PC'!C62</f>
        <v>0</v>
      </c>
      <c r="S84" s="46">
        <f>$I84*'T2 PC'!D62</f>
        <v>186.01393927439071</v>
      </c>
      <c r="T84" s="46">
        <f>44.011*(P84/(12.011+1.008*'Tier 3 CO2 Tables'!B$4+16*'Tier 3 CO2 Tables'!C$4))</f>
        <v>66.693122907329339</v>
      </c>
      <c r="U84" s="46">
        <f>I84*'Tier 3 CO2 Tables'!H$5/10000</f>
        <v>4.1804037634817819E-2</v>
      </c>
      <c r="V84" s="46">
        <f>44.011*(U84/(12.011+1.008*'Tier 3 CO2 Tables'!B$6+16*'Tier 3 CO2 Tables'!C$6))</f>
        <v>0.13041426491928962</v>
      </c>
      <c r="W84" s="46">
        <f>I84*'T3 Methane'!D7</f>
        <v>7855.7923072140875</v>
      </c>
      <c r="X84" s="46" cm="1">
        <f t="array" ref="X84">_xlfn.IFS(E84='Euro Age Table'!C$5,'Euro Age Table'!G$5,E84='Euro Age Table'!C$6,'Euro Age Table'!G$6,E84='Euro Age Table'!C$7,'Euro Age Table'!G$7,E84='Euro Age Table'!C$8,'Euro Age Table'!G$8,E84='Euro Age Table'!C$9,'Euro Age Table'!G$9,E84='Euro Age Table'!C$10,'Euro Age Table'!G$10,E84='Euro Age Table'!C$11,'Euro Age Table'!G$11)</f>
        <v>27</v>
      </c>
      <c r="Y84" s="46">
        <f>X84*'Eilat Car Data'!F$15</f>
        <v>395968.88068880688</v>
      </c>
      <c r="Z84" s="46">
        <f>'T3 N2O PC-Diesel LPG'!B3</f>
        <v>0</v>
      </c>
      <c r="AA84" s="124">
        <f t="shared" si="6"/>
        <v>0</v>
      </c>
    </row>
    <row r="85" spans="1:27" ht="12.5">
      <c r="A85" s="48" t="s">
        <v>51</v>
      </c>
      <c r="B85" s="49" t="s">
        <v>22</v>
      </c>
      <c r="C85" s="49" t="s">
        <v>65</v>
      </c>
      <c r="D85" s="49" t="s">
        <v>66</v>
      </c>
      <c r="E85" s="50" t="s">
        <v>55</v>
      </c>
      <c r="F85" s="97">
        <v>3.7766127734340273E-6</v>
      </c>
      <c r="G85" s="99">
        <f t="shared" si="0"/>
        <v>8.2900426989650333E-2</v>
      </c>
      <c r="H85" s="76" t="s">
        <v>167</v>
      </c>
      <c r="I85" s="46">
        <f>G85*'Eilat Car Data'!F$15</f>
        <v>1215.7773808783702</v>
      </c>
      <c r="J85" s="46">
        <f>I85*'Tier 1 Coefficients'!I$4</f>
        <v>72946.642852702207</v>
      </c>
      <c r="K85" s="46">
        <f t="shared" si="4"/>
        <v>72.946642852702212</v>
      </c>
      <c r="L85" s="46">
        <f>K85*'Tier 1 Coefficients'!D$4</f>
        <v>231.16791120021333</v>
      </c>
      <c r="M85" s="46">
        <f>K85*'Tier 1 Coefficients'!C$17</f>
        <v>637.55365853261731</v>
      </c>
      <c r="N85" s="46">
        <f>K85*'Tier 1 Coefficients'!C$41</f>
        <v>6.3463579281850917</v>
      </c>
      <c r="O85" s="46">
        <f>I85*'Tier 2 FC'!D$13</f>
        <v>88751.748804121031</v>
      </c>
      <c r="P85" s="46">
        <f t="shared" si="5"/>
        <v>88.751748804121036</v>
      </c>
      <c r="Q85" s="46">
        <f>P85*'Tier 1 Coefficients'!D$4</f>
        <v>281.25429196025959</v>
      </c>
      <c r="R85" s="46">
        <f>$I85*'T2 PC'!C63</f>
        <v>3.6473321426351109</v>
      </c>
      <c r="S85" s="46">
        <f>$I85*'T2 PC'!D63</f>
        <v>724.60331900350866</v>
      </c>
      <c r="T85" s="46">
        <f>44.011*(P85/(12.011+1.008*'Tier 3 CO2 Tables'!B$4+16*'Tier 3 CO2 Tables'!C$4))</f>
        <v>281.29677172913574</v>
      </c>
      <c r="U85" s="46">
        <f>I85*'Tier 3 CO2 Tables'!H$5/10000</f>
        <v>0.18115082975087715</v>
      </c>
      <c r="V85" s="46">
        <f>44.011*(U85/(12.011+1.008*'Tier 3 CO2 Tables'!B$6+16*'Tier 3 CO2 Tables'!C$6))</f>
        <v>0.5651284813169215</v>
      </c>
      <c r="W85" s="46">
        <f>I85*'T3 Methane'!D8</f>
        <v>13373.551189662072</v>
      </c>
      <c r="X85" s="46" cm="1">
        <f t="array" ref="X85">_xlfn.IFS(E85='Euro Age Table'!C$5,'Euro Age Table'!G$5,E85='Euro Age Table'!C$6,'Euro Age Table'!G$6,E85='Euro Age Table'!C$7,'Euro Age Table'!G$7,E85='Euro Age Table'!C$8,'Euro Age Table'!G$8,E85='Euro Age Table'!C$9,'Euro Age Table'!G$9,E85='Euro Age Table'!C$10,'Euro Age Table'!G$10,E85='Euro Age Table'!C$11,'Euro Age Table'!G$11)</f>
        <v>23</v>
      </c>
      <c r="Y85" s="46">
        <f>X85*'Eilat Car Data'!F$15</f>
        <v>337306.8242904651</v>
      </c>
      <c r="Z85" s="46">
        <f>'T3 N2O PC-Diesel LPG'!B4</f>
        <v>2</v>
      </c>
      <c r="AA85" s="124">
        <f t="shared" si="6"/>
        <v>2431.5547617567404</v>
      </c>
    </row>
    <row r="86" spans="1:27" ht="12.5">
      <c r="A86" s="48" t="s">
        <v>51</v>
      </c>
      <c r="B86" s="49" t="s">
        <v>22</v>
      </c>
      <c r="C86" s="49" t="s">
        <v>65</v>
      </c>
      <c r="D86" s="49" t="s">
        <v>66</v>
      </c>
      <c r="E86" s="50" t="s">
        <v>56</v>
      </c>
      <c r="F86" s="97">
        <v>1.6268485793254274E-5</v>
      </c>
      <c r="G86" s="99">
        <f t="shared" si="0"/>
        <v>0.35710953164772458</v>
      </c>
      <c r="H86" s="76" t="s">
        <v>167</v>
      </c>
      <c r="I86" s="46">
        <f>G86*'Eilat Car Data'!F$15</f>
        <v>5237.1948714760574</v>
      </c>
      <c r="J86" s="46">
        <f>I86*'Tier 1 Coefficients'!I$4</f>
        <v>314231.69228856347</v>
      </c>
      <c r="K86" s="46">
        <f t="shared" si="4"/>
        <v>314.23169228856347</v>
      </c>
      <c r="L86" s="46">
        <f>K86*'Tier 1 Coefficients'!D$4</f>
        <v>995.80023286245762</v>
      </c>
      <c r="M86" s="46">
        <f>K86*'Tier 1 Coefficients'!C$17</f>
        <v>2746.3849906020446</v>
      </c>
      <c r="N86" s="46">
        <f>K86*'Tier 1 Coefficients'!C$41</f>
        <v>27.338157229105018</v>
      </c>
      <c r="O86" s="46">
        <f>I86*'Tier 2 FC'!D$13</f>
        <v>382315.22561775218</v>
      </c>
      <c r="P86" s="46">
        <f t="shared" si="5"/>
        <v>382.31522561775216</v>
      </c>
      <c r="Q86" s="46">
        <f>P86*'Tier 1 Coefficients'!D$4</f>
        <v>1211.5569499826565</v>
      </c>
      <c r="R86" s="46">
        <f>$I86*'T2 PC'!C64</f>
        <v>26.185974357380289</v>
      </c>
      <c r="S86" s="46">
        <f>$I86*'T2 PC'!D64</f>
        <v>2775.7132818823106</v>
      </c>
      <c r="T86" s="46">
        <f>44.011*(P86/(12.011+1.008*'Tier 3 CO2 Tables'!B$4+16*'Tier 3 CO2 Tables'!C$4))</f>
        <v>1211.739939756277</v>
      </c>
      <c r="U86" s="46">
        <f>I86*'Tier 3 CO2 Tables'!H$5/10000</f>
        <v>0.78034203584993256</v>
      </c>
      <c r="V86" s="46">
        <f>44.011*(U86/(12.011+1.008*'Tier 3 CO2 Tables'!B$6+16*'Tier 3 CO2 Tables'!C$6))</f>
        <v>2.4343996118267395</v>
      </c>
      <c r="W86" s="46">
        <f>I86*'T3 Methane'!D9</f>
        <v>36660.364100332401</v>
      </c>
      <c r="X86" s="46" cm="1">
        <f t="array" ref="X86">_xlfn.IFS(E86='Euro Age Table'!C$5,'Euro Age Table'!G$5,E86='Euro Age Table'!C$6,'Euro Age Table'!G$6,E86='Euro Age Table'!C$7,'Euro Age Table'!G$7,E86='Euro Age Table'!C$8,'Euro Age Table'!G$8,E86='Euro Age Table'!C$9,'Euro Age Table'!G$9,E86='Euro Age Table'!C$10,'Euro Age Table'!G$10,E86='Euro Age Table'!C$11,'Euro Age Table'!G$11)</f>
        <v>18</v>
      </c>
      <c r="Y86" s="46">
        <f>X86*'Eilat Car Data'!F$15</f>
        <v>263979.2537925379</v>
      </c>
      <c r="Z86" s="46">
        <f>'T3 N2O PC-Diesel LPG'!B5</f>
        <v>4</v>
      </c>
      <c r="AA86" s="124">
        <f t="shared" si="6"/>
        <v>20948.77948590423</v>
      </c>
    </row>
    <row r="87" spans="1:27" ht="12.5">
      <c r="A87" s="48" t="s">
        <v>51</v>
      </c>
      <c r="B87" s="49" t="s">
        <v>22</v>
      </c>
      <c r="C87" s="49" t="s">
        <v>65</v>
      </c>
      <c r="D87" s="49" t="s">
        <v>66</v>
      </c>
      <c r="E87" s="50" t="s">
        <v>57</v>
      </c>
      <c r="F87" s="97">
        <v>4.2995283882172006E-5</v>
      </c>
      <c r="G87" s="99">
        <f t="shared" si="0"/>
        <v>0.94378947649755773</v>
      </c>
      <c r="H87" s="76" t="s">
        <v>167</v>
      </c>
      <c r="I87" s="46">
        <f>G87*'Eilat Car Data'!F$15</f>
        <v>13841.157874615294</v>
      </c>
      <c r="J87" s="46">
        <f>I87*'Tier 1 Coefficients'!I$4</f>
        <v>830469.47247691767</v>
      </c>
      <c r="K87" s="46">
        <f t="shared" si="4"/>
        <v>830.46947247691764</v>
      </c>
      <c r="L87" s="46">
        <f>K87*'Tier 1 Coefficients'!D$4</f>
        <v>2631.7577582793519</v>
      </c>
      <c r="M87" s="46">
        <f>K87*'Tier 1 Coefficients'!C$17</f>
        <v>7258.3031894482601</v>
      </c>
      <c r="N87" s="46">
        <f>K87*'Tier 1 Coefficients'!C$41</f>
        <v>72.250844105491836</v>
      </c>
      <c r="O87" s="46">
        <f>I87*'Tier 2 FC'!D$13</f>
        <v>1010404.5248469164</v>
      </c>
      <c r="P87" s="46">
        <f t="shared" si="5"/>
        <v>1010.4045248469164</v>
      </c>
      <c r="Q87" s="46">
        <f>P87*'Tier 1 Coefficients'!D$4</f>
        <v>3201.9719392398779</v>
      </c>
      <c r="R87" s="46">
        <f>$I87*'T2 PC'!C65</f>
        <v>138.41157874615294</v>
      </c>
      <c r="S87" s="46">
        <f>$I87*'T2 PC'!D65</f>
        <v>6422.2972538214963</v>
      </c>
      <c r="T87" s="46">
        <f>44.011*(P87/(12.011+1.008*'Tier 3 CO2 Tables'!B$4+16*'Tier 3 CO2 Tables'!C$4))</f>
        <v>3202.4555550701602</v>
      </c>
      <c r="U87" s="46">
        <f>I87*'Tier 3 CO2 Tables'!H$5/10000</f>
        <v>2.0623325233176786</v>
      </c>
      <c r="V87" s="46">
        <f>44.011*(U87/(12.011+1.008*'Tier 3 CO2 Tables'!B$6+16*'Tier 3 CO2 Tables'!C$6))</f>
        <v>6.4337704026849538</v>
      </c>
      <c r="W87" s="46">
        <f>I87*'T3 Methane'!D10</f>
        <v>41523.473623845879</v>
      </c>
      <c r="X87" s="46" cm="1">
        <f t="array" ref="X87">_xlfn.IFS(E87='Euro Age Table'!C$5,'Euro Age Table'!G$5,E87='Euro Age Table'!C$6,'Euro Age Table'!G$6,E87='Euro Age Table'!C$7,'Euro Age Table'!G$7,E87='Euro Age Table'!C$8,'Euro Age Table'!G$8,E87='Euro Age Table'!C$9,'Euro Age Table'!G$9,E87='Euro Age Table'!C$10,'Euro Age Table'!G$10,E87='Euro Age Table'!C$11,'Euro Age Table'!G$11)</f>
        <v>16</v>
      </c>
      <c r="Y87" s="46">
        <f>X87*'Eilat Car Data'!F$15</f>
        <v>234648.22559336704</v>
      </c>
      <c r="Z87" s="46">
        <f>'T3 N2O PC-Diesel LPG'!B6</f>
        <v>9</v>
      </c>
      <c r="AA87" s="124">
        <f t="shared" si="6"/>
        <v>124570.42087153764</v>
      </c>
    </row>
    <row r="88" spans="1:27" ht="12.5">
      <c r="A88" s="48" t="s">
        <v>51</v>
      </c>
      <c r="B88" s="49" t="s">
        <v>22</v>
      </c>
      <c r="C88" s="49" t="s">
        <v>65</v>
      </c>
      <c r="D88" s="49" t="s">
        <v>66</v>
      </c>
      <c r="E88" s="50" t="s">
        <v>58</v>
      </c>
      <c r="F88" s="97">
        <v>5.4325122202474091E-5</v>
      </c>
      <c r="G88" s="99">
        <f t="shared" si="0"/>
        <v>1.1924907574665087</v>
      </c>
      <c r="H88" s="76" t="s">
        <v>167</v>
      </c>
      <c r="I88" s="46">
        <f>G88*'Eilat Car Data'!F$15</f>
        <v>17488.490017250406</v>
      </c>
      <c r="J88" s="46">
        <f>I88*'Tier 1 Coefficients'!I$4</f>
        <v>1049309.4010350243</v>
      </c>
      <c r="K88" s="46">
        <f t="shared" si="4"/>
        <v>1049.3094010350244</v>
      </c>
      <c r="L88" s="46">
        <f>K88*'Tier 1 Coefficients'!D$4</f>
        <v>3325.2614918799923</v>
      </c>
      <c r="M88" s="46">
        <f>K88*'Tier 1 Coefficients'!C$17</f>
        <v>9170.9641650461126</v>
      </c>
      <c r="N88" s="46">
        <f>K88*'Tier 1 Coefficients'!C$41</f>
        <v>91.289917890047121</v>
      </c>
      <c r="O88" s="46">
        <f>I88*'Tier 2 FC'!D$13</f>
        <v>1276659.7712592797</v>
      </c>
      <c r="P88" s="46">
        <f t="shared" si="5"/>
        <v>1276.6597712592798</v>
      </c>
      <c r="Q88" s="46">
        <f>P88*'Tier 1 Coefficients'!D$4</f>
        <v>4045.7348151206575</v>
      </c>
      <c r="R88" s="46">
        <f>$I88*'T2 PC'!C66</f>
        <v>174.88490017250408</v>
      </c>
      <c r="S88" s="46">
        <f>$I88*'T2 PC'!D66</f>
        <v>6960.4190268656621</v>
      </c>
      <c r="T88" s="46">
        <f>44.011*(P88/(12.011+1.008*'Tier 3 CO2 Tables'!B$4+16*'Tier 3 CO2 Tables'!C$4))</f>
        <v>4046.3458702575685</v>
      </c>
      <c r="U88" s="46">
        <f>I88*'Tier 3 CO2 Tables'!H$5/10000</f>
        <v>2.6057850125703106</v>
      </c>
      <c r="V88" s="46">
        <f>44.011*(U88/(12.011+1.008*'Tier 3 CO2 Tables'!B$6+16*'Tier 3 CO2 Tables'!C$6))</f>
        <v>8.1291558466357188</v>
      </c>
      <c r="W88" s="46">
        <f>I88*'T3 Methane'!D11</f>
        <v>19237.339018975446</v>
      </c>
      <c r="X88" s="46" cm="1">
        <f t="array" ref="X88">_xlfn.IFS(E88='Euro Age Table'!C$5,'Euro Age Table'!G$5,E88='Euro Age Table'!C$6,'Euro Age Table'!G$6,E88='Euro Age Table'!C$7,'Euro Age Table'!G$7,E88='Euro Age Table'!C$8,'Euro Age Table'!G$8,E88='Euro Age Table'!C$9,'Euro Age Table'!G$9,E88='Euro Age Table'!C$10,'Euro Age Table'!G$10,E88='Euro Age Table'!C$11,'Euro Age Table'!G$11)</f>
        <v>13</v>
      </c>
      <c r="Y88" s="46">
        <f>X88*'Eilat Car Data'!F$15</f>
        <v>190651.68329461073</v>
      </c>
      <c r="Z88" s="46">
        <f>'T3 N2O PC-Diesel LPG'!B6</f>
        <v>9</v>
      </c>
      <c r="AA88" s="124">
        <f t="shared" si="6"/>
        <v>157396.41015525366</v>
      </c>
    </row>
    <row r="89" spans="1:27" ht="12.5">
      <c r="A89" s="48" t="s">
        <v>51</v>
      </c>
      <c r="B89" s="49" t="s">
        <v>22</v>
      </c>
      <c r="C89" s="49" t="s">
        <v>65</v>
      </c>
      <c r="D89" s="49" t="s">
        <v>66</v>
      </c>
      <c r="E89" s="50" t="s">
        <v>59</v>
      </c>
      <c r="F89" s="97">
        <v>2.077137025388715E-4</v>
      </c>
      <c r="G89" s="99">
        <f t="shared" si="0"/>
        <v>4.5595234844307679</v>
      </c>
      <c r="H89" s="76" t="s">
        <v>167</v>
      </c>
      <c r="I89" s="46">
        <f>G89*'Eilat Car Data'!F$15</f>
        <v>66867.755948310354</v>
      </c>
      <c r="J89" s="46">
        <f>I89*'Tier 1 Coefficients'!I$4</f>
        <v>4012065.3568986212</v>
      </c>
      <c r="K89" s="46">
        <f t="shared" si="4"/>
        <v>4012.0653568986213</v>
      </c>
      <c r="L89" s="46">
        <f>K89*'Tier 1 Coefficients'!D$4</f>
        <v>12714.23511601173</v>
      </c>
      <c r="M89" s="46">
        <f>K89*'Tier 1 Coefficients'!C$17</f>
        <v>35065.451219293951</v>
      </c>
      <c r="N89" s="46">
        <f>K89*'Tier 1 Coefficients'!C$41</f>
        <v>349.04968605018001</v>
      </c>
      <c r="O89" s="46">
        <f>I89*'Tier 2 FC'!D$13</f>
        <v>4881346.1842266554</v>
      </c>
      <c r="P89" s="46">
        <f t="shared" si="5"/>
        <v>4881.3461842266552</v>
      </c>
      <c r="Q89" s="46">
        <f>P89*'Tier 1 Coefficients'!D$4</f>
        <v>15468.986057814271</v>
      </c>
      <c r="R89" s="46">
        <f>$I89*'T2 PC'!C67</f>
        <v>267.47102379324144</v>
      </c>
      <c r="S89" s="46">
        <f>$I89*'T2 PC'!D67</f>
        <v>26613.366867427521</v>
      </c>
      <c r="T89" s="46">
        <f>44.011*(P89/(12.011+1.008*'Tier 3 CO2 Tables'!B$4+16*'Tier 3 CO2 Tables'!C$4))</f>
        <v>15471.32244510246</v>
      </c>
      <c r="U89" s="46">
        <f>I89*'Tier 3 CO2 Tables'!H$5/10000</f>
        <v>9.963295636298243</v>
      </c>
      <c r="V89" s="46">
        <f>44.011*(U89/(12.011+1.008*'Tier 3 CO2 Tables'!B$6+16*'Tier 3 CO2 Tables'!C$6))</f>
        <v>31.082066472430682</v>
      </c>
      <c r="W89" s="46">
        <f>I89*'T3 Methane'!D12</f>
        <v>5015.0816961232767</v>
      </c>
      <c r="X89" s="46" cm="1">
        <f t="array" ref="X89">_xlfn.IFS(E89='Euro Age Table'!C$5,'Euro Age Table'!G$5,E89='Euro Age Table'!C$6,'Euro Age Table'!G$6,E89='Euro Age Table'!C$7,'Euro Age Table'!G$7,E89='Euro Age Table'!C$8,'Euro Age Table'!G$8,E89='Euro Age Table'!C$9,'Euro Age Table'!G$9,E89='Euro Age Table'!C$10,'Euro Age Table'!G$10,E89='Euro Age Table'!C$11,'Euro Age Table'!G$11)</f>
        <v>9</v>
      </c>
      <c r="Y89" s="46">
        <f>X89*'Eilat Car Data'!F$15</f>
        <v>131989.62689626895</v>
      </c>
      <c r="Z89" s="46">
        <f>'T3 N2O PC-Diesel LPG'!B6</f>
        <v>9</v>
      </c>
      <c r="AA89" s="124">
        <f t="shared" si="6"/>
        <v>601809.8035347932</v>
      </c>
    </row>
    <row r="90" spans="1:27" ht="12.5">
      <c r="A90" s="48" t="s">
        <v>51</v>
      </c>
      <c r="B90" s="51" t="s">
        <v>22</v>
      </c>
      <c r="C90" s="49" t="s">
        <v>65</v>
      </c>
      <c r="D90" s="49" t="s">
        <v>66</v>
      </c>
      <c r="E90" s="50" t="s">
        <v>60</v>
      </c>
      <c r="F90" s="97">
        <v>2.4577033894809136E-4</v>
      </c>
      <c r="G90" s="99">
        <f t="shared" si="0"/>
        <v>5.3949047102495538</v>
      </c>
      <c r="H90" s="76" t="s">
        <v>167</v>
      </c>
      <c r="I90" s="46">
        <f>G90*'Eilat Car Data'!F$15</f>
        <v>79119.051094084731</v>
      </c>
      <c r="J90" s="46">
        <f>I90*'Tier 1 Coefficients'!I$4</f>
        <v>4747143.0656450838</v>
      </c>
      <c r="K90" s="46">
        <f t="shared" si="4"/>
        <v>4747.1430656450839</v>
      </c>
      <c r="L90" s="46">
        <f>K90*'Tier 1 Coefficients'!D$4</f>
        <v>15043.696375029271</v>
      </c>
      <c r="M90" s="46">
        <f>K90*'Tier 1 Coefficients'!C$17</f>
        <v>41490.030393738038</v>
      </c>
      <c r="N90" s="46">
        <f>K90*'Tier 1 Coefficients'!C$41</f>
        <v>413.00144671112224</v>
      </c>
      <c r="O90" s="46">
        <f>I90*'Tier 2 FC'!D$13</f>
        <v>5775690.7298681857</v>
      </c>
      <c r="P90" s="46">
        <f t="shared" si="5"/>
        <v>5775.6907298681854</v>
      </c>
      <c r="Q90" s="46">
        <f>P90*'Tier 1 Coefficients'!D$4</f>
        <v>18303.163922952281</v>
      </c>
      <c r="R90" s="46">
        <f>$I90*'T2 PC'!C68</f>
        <v>316.47620437633896</v>
      </c>
      <c r="S90" s="46">
        <f>$I90*'T2 PC'!D68</f>
        <v>31489.382335445724</v>
      </c>
      <c r="T90" s="46">
        <f>44.011*(P90/(12.011+1.008*'Tier 3 CO2 Tables'!B$4+16*'Tier 3 CO2 Tables'!C$4))</f>
        <v>18305.928375603758</v>
      </c>
      <c r="U90" s="46">
        <f>I90*'Tier 3 CO2 Tables'!H$6/10000</f>
        <v>10.127238540042844</v>
      </c>
      <c r="V90" s="46">
        <f>44.011*(U90/(12.011+1.008*'Tier 3 CO2 Tables'!B$6+16*'Tier 3 CO2 Tables'!C$6))</f>
        <v>31.593512124340119</v>
      </c>
      <c r="W90" s="46">
        <f>I90*'T3 Methane'!D12</f>
        <v>5933.9288320563546</v>
      </c>
      <c r="X90" s="46" cm="1">
        <f t="array" ref="X90">_xlfn.IFS(E90='Euro Age Table'!C$5,'Euro Age Table'!G$5,E90='Euro Age Table'!C$6,'Euro Age Table'!G$6,E90='Euro Age Table'!C$7,'Euro Age Table'!G$7,E90='Euro Age Table'!C$8,'Euro Age Table'!G$8,E90='Euro Age Table'!C$9,'Euro Age Table'!G$9,E90='Euro Age Table'!C$10,'Euro Age Table'!G$10,E90='Euro Age Table'!C$11,'Euro Age Table'!G$11)</f>
        <v>3</v>
      </c>
      <c r="Y90" s="46">
        <f>X90*'Eilat Car Data'!F$15</f>
        <v>43996.542298756322</v>
      </c>
      <c r="Z90" s="46">
        <f>'T3 N2O PC-Diesel LPG'!B7</f>
        <v>11</v>
      </c>
      <c r="AA90" s="124">
        <f t="shared" si="6"/>
        <v>870309.56203493208</v>
      </c>
    </row>
    <row r="91" spans="1:27" ht="12.5">
      <c r="A91" s="48" t="s">
        <v>51</v>
      </c>
      <c r="B91" s="49" t="s">
        <v>23</v>
      </c>
      <c r="C91" s="49" t="s">
        <v>65</v>
      </c>
      <c r="D91" s="49" t="s">
        <v>66</v>
      </c>
      <c r="E91" s="50" t="s">
        <v>57</v>
      </c>
      <c r="F91" s="97">
        <v>8.7152602463862176E-7</v>
      </c>
      <c r="G91" s="99">
        <f t="shared" si="0"/>
        <v>1.9130867766842388E-2</v>
      </c>
      <c r="H91" s="76" t="s">
        <v>167</v>
      </c>
      <c r="I91" s="46">
        <f>G91*'Eilat Car Data'!F$15</f>
        <v>280.56401097193168</v>
      </c>
      <c r="J91" s="46">
        <f>I91*'Tier 1 Coefficients'!I$5</f>
        <v>16132.430630886072</v>
      </c>
      <c r="K91" s="46">
        <f t="shared" si="4"/>
        <v>16.132430630886073</v>
      </c>
      <c r="L91" s="46">
        <f>K91*'Tier 1 Coefficients'!D$5</f>
        <v>48.784470227799488</v>
      </c>
      <c r="M91" s="46">
        <f>K91*'Tier 1 Coefficients'!C$17</f>
        <v>140.99744371394428</v>
      </c>
      <c r="N91" s="46">
        <f>K91*'Tier 1 Coefficients'!C$42</f>
        <v>1.4357863261488604</v>
      </c>
      <c r="O91" s="46">
        <f>I91*'Tier 2 FC'!D$15</f>
        <v>15992.148625400107</v>
      </c>
      <c r="P91" s="46">
        <f t="shared" si="5"/>
        <v>15.992148625400107</v>
      </c>
      <c r="Q91" s="46">
        <f>P91*'Tier 1 Coefficients'!D$5</f>
        <v>48.360257443209925</v>
      </c>
      <c r="R91" s="46">
        <f>$I91*'T2 PC'!C74</f>
        <v>1.1222560438877267</v>
      </c>
      <c r="S91" s="46">
        <f>$I91*'T2 PC'!D74</f>
        <v>130.1817010909763</v>
      </c>
      <c r="T91" s="46">
        <f>44.011*(P91/(12.011+1.008*'Tier 3 CO2 Tables'!B$5+16*'Tier 3 CO2 Tables'!C$5))</f>
        <v>48.352623153878369</v>
      </c>
      <c r="U91" s="46">
        <f>I91*'Tier 3 CO2 Tables'!H3/10000</f>
        <v>4.068178159093009E-2</v>
      </c>
      <c r="V91" s="46">
        <f>44.011*(U91/(12.011+1.008*'Tier 3 CO2 Tables'!B$6+16*'Tier 3 CO2 Tables'!C$6))</f>
        <v>0.12691321082749663</v>
      </c>
      <c r="W91" s="46">
        <f>I91*'T3 Methane'!D$13</f>
        <v>22445.120877754533</v>
      </c>
      <c r="X91" s="46" cm="1">
        <f t="array" ref="X91">_xlfn.IFS(E91='Euro Age Table'!C$5,'Euro Age Table'!G$5,E91='Euro Age Table'!C$6,'Euro Age Table'!G$6,E91='Euro Age Table'!C$7,'Euro Age Table'!G$7,E91='Euro Age Table'!C$8,'Euro Age Table'!G$8,E91='Euro Age Table'!C$9,'Euro Age Table'!G$9,E91='Euro Age Table'!C$10,'Euro Age Table'!G$10,E91='Euro Age Table'!C$11,'Euro Age Table'!G$11)</f>
        <v>16</v>
      </c>
      <c r="Y91" s="46">
        <f>X91*'Eilat Car Data'!F$15</f>
        <v>234648.22559336704</v>
      </c>
      <c r="Z91" s="121">
        <f>'T3 N2O PC-Diesel LPG'!B12</f>
        <v>5</v>
      </c>
      <c r="AA91" s="124">
        <f t="shared" si="6"/>
        <v>1402.8200548596583</v>
      </c>
    </row>
    <row r="92" spans="1:27" ht="12.5">
      <c r="A92" s="48" t="s">
        <v>51</v>
      </c>
      <c r="B92" s="51" t="s">
        <v>23</v>
      </c>
      <c r="C92" s="51" t="s">
        <v>65</v>
      </c>
      <c r="D92" s="49" t="s">
        <v>66</v>
      </c>
      <c r="E92" s="51" t="s">
        <v>60</v>
      </c>
      <c r="F92" s="97">
        <v>0</v>
      </c>
      <c r="G92" s="99">
        <f t="shared" si="0"/>
        <v>0</v>
      </c>
      <c r="H92" s="102" t="s">
        <v>167</v>
      </c>
      <c r="I92" s="46">
        <f>G92*'Eilat Car Data'!F$15</f>
        <v>0</v>
      </c>
      <c r="J92" s="46">
        <f>I92*'Tier 1 Coefficients'!I$5</f>
        <v>0</v>
      </c>
      <c r="K92" s="46">
        <f t="shared" si="4"/>
        <v>0</v>
      </c>
      <c r="L92" s="46">
        <f>K92*'Tier 1 Coefficients'!D$5</f>
        <v>0</v>
      </c>
      <c r="M92" s="46">
        <f>K92*'Tier 1 Coefficients'!C$18</f>
        <v>0</v>
      </c>
      <c r="N92" s="46">
        <f>K92*'Tier 1 Coefficients'!C$42</f>
        <v>0</v>
      </c>
      <c r="O92" s="46">
        <f>I92*'Tier 2 FC'!D$15</f>
        <v>0</v>
      </c>
      <c r="P92" s="46">
        <f t="shared" si="5"/>
        <v>0</v>
      </c>
      <c r="Q92" s="46">
        <f>P92*'Tier 1 Coefficients'!D$5</f>
        <v>0</v>
      </c>
      <c r="R92" s="46">
        <f>$I92*'T2 PC'!C77</f>
        <v>0</v>
      </c>
      <c r="S92" s="46">
        <f>$I92*'T2 PC'!D77</f>
        <v>0</v>
      </c>
      <c r="T92" s="46">
        <f>44.011*(P92/(12.011+1.008*'Tier 3 CO2 Tables'!B$5+16*'Tier 3 CO2 Tables'!C$5))</f>
        <v>0</v>
      </c>
      <c r="U92" s="46">
        <f>I92*'Tier 3 CO2 Tables'!H4/10000</f>
        <v>0</v>
      </c>
      <c r="V92" s="46">
        <f>44.011*(U92/(12.011+1.008*'Tier 3 CO2 Tables'!B$6+16*'Tier 3 CO2 Tables'!C$6))</f>
        <v>0</v>
      </c>
      <c r="W92" s="46">
        <f>I92*'T3 Methane'!D$13</f>
        <v>0</v>
      </c>
      <c r="X92" s="46" cm="1">
        <f t="array" ref="X92">_xlfn.IFS(E92='Euro Age Table'!C$5,'Euro Age Table'!G$5,E92='Euro Age Table'!C$6,'Euro Age Table'!G$6,E92='Euro Age Table'!C$7,'Euro Age Table'!G$7,E92='Euro Age Table'!C$8,'Euro Age Table'!G$8,E92='Euro Age Table'!C$9,'Euro Age Table'!G$9,E92='Euro Age Table'!C$10,'Euro Age Table'!G$10,E92='Euro Age Table'!C$11,'Euro Age Table'!G$11)</f>
        <v>3</v>
      </c>
      <c r="Y92" s="46">
        <f>X92*'Eilat Car Data'!F$15</f>
        <v>43996.542298756322</v>
      </c>
      <c r="Z92" s="111">
        <f>'T3 N2O PC-Diesel LPG'!B15</f>
        <v>2.1</v>
      </c>
      <c r="AA92" s="124">
        <f t="shared" si="6"/>
        <v>0</v>
      </c>
    </row>
    <row r="93" spans="1:27" ht="12.5">
      <c r="A93" s="48" t="s">
        <v>51</v>
      </c>
      <c r="B93" s="49" t="s">
        <v>22</v>
      </c>
      <c r="C93" s="49" t="s">
        <v>67</v>
      </c>
      <c r="D93" s="49" t="s">
        <v>66</v>
      </c>
      <c r="E93" s="50" t="s">
        <v>57</v>
      </c>
      <c r="F93" s="97">
        <v>0</v>
      </c>
      <c r="G93" s="99">
        <f t="shared" si="0"/>
        <v>0</v>
      </c>
      <c r="H93" s="76" t="s">
        <v>167</v>
      </c>
      <c r="I93" s="46">
        <f>G93*'Eilat Car Data'!F$15</f>
        <v>0</v>
      </c>
      <c r="J93" s="46">
        <f>I93*'Tier 1 Coefficients'!I$4</f>
        <v>0</v>
      </c>
      <c r="K93" s="46">
        <f t="shared" si="4"/>
        <v>0</v>
      </c>
      <c r="L93" s="46">
        <f>K93*'Tier 1 Coefficients'!D$4</f>
        <v>0</v>
      </c>
      <c r="M93" s="46">
        <f>K93*'Tier 1 Coefficients'!C$18</f>
        <v>0</v>
      </c>
      <c r="N93" s="46">
        <f>K93*'Tier 1 Coefficients'!C$41</f>
        <v>0</v>
      </c>
      <c r="O93" s="46">
        <f>I93*'Tier 2 FC'!D$13</f>
        <v>0</v>
      </c>
      <c r="P93" s="46">
        <f t="shared" si="5"/>
        <v>0</v>
      </c>
      <c r="Q93" s="46">
        <f>P93*'Tier 1 Coefficients'!D$4</f>
        <v>0</v>
      </c>
      <c r="R93" s="46">
        <f>$I93*'T2 PC'!C65</f>
        <v>0</v>
      </c>
      <c r="S93" s="46">
        <f>$I93*'T2 PC'!D65</f>
        <v>0</v>
      </c>
      <c r="T93" s="46">
        <f>44.011*(P93/(12.011+1.008*'Tier 3 CO2 Tables'!B$4+16*'Tier 3 CO2 Tables'!C$4))</f>
        <v>0</v>
      </c>
      <c r="U93" s="46">
        <f>I93*'Tier 3 CO2 Tables'!H$5/10000</f>
        <v>0</v>
      </c>
      <c r="V93" s="46">
        <f>44.011*(U93/(12.011+1.008*'Tier 3 CO2 Tables'!B$6+16*'Tier 3 CO2 Tables'!C$6))</f>
        <v>0</v>
      </c>
      <c r="W93" s="46">
        <f>G93*'T3 Methane'!D10</f>
        <v>0</v>
      </c>
      <c r="X93" s="46" cm="1">
        <f t="array" ref="X93">_xlfn.IFS(E93='Euro Age Table'!C$5,'Euro Age Table'!G$5,E93='Euro Age Table'!C$6,'Euro Age Table'!G$6,E93='Euro Age Table'!C$7,'Euro Age Table'!G$7,E93='Euro Age Table'!C$8,'Euro Age Table'!G$8,E93='Euro Age Table'!C$9,'Euro Age Table'!G$9,E93='Euro Age Table'!C$10,'Euro Age Table'!G$10,E93='Euro Age Table'!C$11,'Euro Age Table'!G$11)</f>
        <v>16</v>
      </c>
      <c r="Y93" s="46">
        <f>X93*'Eilat Car Data'!F$15</f>
        <v>234648.22559336704</v>
      </c>
      <c r="Z93" s="121">
        <f>'T3 N2O PC-Diesel LPG'!B6</f>
        <v>9</v>
      </c>
      <c r="AA93" s="124">
        <f t="shared" si="6"/>
        <v>0</v>
      </c>
    </row>
    <row r="94" spans="1:27" ht="12.5">
      <c r="A94" s="82" t="s">
        <v>51</v>
      </c>
      <c r="B94" s="82" t="s">
        <v>22</v>
      </c>
      <c r="C94" s="82" t="s">
        <v>67</v>
      </c>
      <c r="D94" s="82" t="s">
        <v>66</v>
      </c>
      <c r="E94" s="83" t="s">
        <v>60</v>
      </c>
      <c r="F94" s="84">
        <v>5.7811226301028575E-5</v>
      </c>
      <c r="G94" s="104">
        <f t="shared" si="0"/>
        <v>1.2690142285338784</v>
      </c>
      <c r="H94" s="76" t="s">
        <v>167</v>
      </c>
      <c r="I94" s="46">
        <f>G94*'Eilat Car Data'!F$15</f>
        <v>18610.746061138132</v>
      </c>
      <c r="J94" s="46">
        <f>I94*'Tier 1 Coefficients'!I$4</f>
        <v>1116644.763668288</v>
      </c>
      <c r="K94" s="46">
        <f t="shared" si="4"/>
        <v>1116.6447636682881</v>
      </c>
      <c r="L94" s="46">
        <f>K94*'Tier 1 Coefficients'!D$4</f>
        <v>3538.6472560648049</v>
      </c>
      <c r="M94" s="46">
        <f>K94*'Tier 1 Coefficients'!C$17</f>
        <v>9759.4752344608387</v>
      </c>
      <c r="N94" s="46">
        <f>K94*'Tier 1 Coefficients'!C$41</f>
        <v>97.148094439141062</v>
      </c>
      <c r="O94" s="46">
        <f>I94*'Tier 2 FC'!D$13</f>
        <v>1358584.4624630837</v>
      </c>
      <c r="P94" s="46">
        <f t="shared" si="5"/>
        <v>1358.5844624630836</v>
      </c>
      <c r="Q94" s="46">
        <f>P94*'Tier 1 Coefficients'!D$4</f>
        <v>4305.3541615455115</v>
      </c>
      <c r="R94" s="46">
        <f>$I94*'T2 PC'!C68</f>
        <v>74.442984244552534</v>
      </c>
      <c r="S94" s="46">
        <f>$I94*'T2 PC'!D68</f>
        <v>7407.0769323329769</v>
      </c>
      <c r="T94" s="46">
        <f>44.011*(P94/(12.011+1.008*'Tier 3 CO2 Tables'!B$4+16*'Tier 3 CO2 Tables'!C$4))</f>
        <v>4306.0044287767696</v>
      </c>
      <c r="U94" s="46">
        <f>I94*'Tier 3 CO2 Tables'!H$6/10000</f>
        <v>2.3821754958256811</v>
      </c>
      <c r="V94" s="46">
        <f>44.011*(U94/(12.011+1.008*'Tier 3 CO2 Tables'!B$6+16*'Tier 3 CO2 Tables'!C$6))</f>
        <v>7.4315708188459633</v>
      </c>
      <c r="W94" s="46">
        <f>I94*'T3 Methane'!D12</f>
        <v>1395.8059545853598</v>
      </c>
      <c r="X94" s="46" cm="1">
        <f t="array" ref="X94">_xlfn.IFS(E94='Euro Age Table'!C$5,'Euro Age Table'!G$5,E94='Euro Age Table'!C$6,'Euro Age Table'!G$6,E94='Euro Age Table'!C$7,'Euro Age Table'!G$7,E94='Euro Age Table'!C$8,'Euro Age Table'!G$8,E94='Euro Age Table'!C$9,'Euro Age Table'!G$9,E94='Euro Age Table'!C$10,'Euro Age Table'!G$10,E94='Euro Age Table'!C$11,'Euro Age Table'!G$11)</f>
        <v>3</v>
      </c>
      <c r="Y94" s="46">
        <f>X94*'Eilat Car Data'!F$15</f>
        <v>43996.542298756322</v>
      </c>
      <c r="Z94" s="121">
        <f>'T3 N2O PC-Diesel LPG'!B7</f>
        <v>11</v>
      </c>
      <c r="AA94" s="124">
        <f t="shared" si="6"/>
        <v>204718.20667251945</v>
      </c>
    </row>
    <row r="95" spans="1:27" ht="12.5">
      <c r="A95" s="92" t="s">
        <v>29</v>
      </c>
      <c r="B95" s="53"/>
      <c r="C95" s="53"/>
      <c r="D95" s="53"/>
      <c r="E95" s="47"/>
      <c r="F95" s="85"/>
      <c r="G95" s="87">
        <f>'Eilat Car Data'!B16</f>
        <v>1098</v>
      </c>
      <c r="H95" s="46">
        <f>SUM(G98:G124)</f>
        <v>1094.9515309323631</v>
      </c>
      <c r="I95" s="46"/>
      <c r="J95" s="46"/>
      <c r="K95" s="46">
        <f t="shared" si="4"/>
        <v>0</v>
      </c>
      <c r="L95" s="46"/>
      <c r="M95" s="46"/>
      <c r="N95" s="46"/>
      <c r="O95" s="46"/>
      <c r="P95" s="46">
        <f t="shared" si="5"/>
        <v>0</v>
      </c>
      <c r="Q95" s="46"/>
      <c r="R95" s="46"/>
      <c r="S95" s="46"/>
      <c r="T95" s="46"/>
      <c r="U95" s="46"/>
      <c r="V95" s="46">
        <f>44.011*(U95/(12.011+1.008*'Tier 3 CO2 Tables'!B$6+16*'Tier 3 CO2 Tables'!C$6))</f>
        <v>0</v>
      </c>
      <c r="W95" s="46"/>
      <c r="X95" s="46" t="e" cm="1">
        <f t="array" ref="X95">_xlfn.IFS(E95='Euro Age Table'!C$5,'Euro Age Table'!G$5,E95='Euro Age Table'!C$6,'Euro Age Table'!G$6,E95='Euro Age Table'!C$7,'Euro Age Table'!G$7,E95='Euro Age Table'!C$8,'Euro Age Table'!G$8,E95='Euro Age Table'!C$9,'Euro Age Table'!G$9,E95='Euro Age Table'!C$10,'Euro Age Table'!G$10,E95='Euro Age Table'!C$11,'Euro Age Table'!G$11)</f>
        <v>#N/A</v>
      </c>
      <c r="Y95" s="46"/>
      <c r="Z95" s="46"/>
      <c r="AA95" s="124">
        <f t="shared" si="6"/>
        <v>0</v>
      </c>
    </row>
    <row r="96" spans="1:27" ht="12.5">
      <c r="A96" s="49" t="s">
        <v>29</v>
      </c>
      <c r="B96" s="49" t="s">
        <v>20</v>
      </c>
      <c r="C96" s="49" t="s">
        <v>68</v>
      </c>
      <c r="D96" s="49" t="s">
        <v>69</v>
      </c>
      <c r="E96" s="50" t="s">
        <v>54</v>
      </c>
      <c r="F96" s="80">
        <v>5.4900238423892581E-5</v>
      </c>
      <c r="G96" s="103">
        <f t="shared" ref="G96:G133" si="7">F96*$G$95</f>
        <v>6.0280461789434053E-2</v>
      </c>
      <c r="H96" s="46"/>
      <c r="I96" s="46">
        <f>G96*'Eilat Car Data'!F$16</f>
        <v>1651.8493537457648</v>
      </c>
      <c r="J96" s="46">
        <f>I96*'Tier 1 Coefficients'!I$8</f>
        <v>165184.93537457648</v>
      </c>
      <c r="K96" s="46">
        <f t="shared" si="4"/>
        <v>165.18493537457647</v>
      </c>
      <c r="L96" s="46">
        <f>K96*'Tier 1 Coefficients'!D$3</f>
        <v>523.47106020203285</v>
      </c>
      <c r="M96" s="46">
        <f>K96*'Tier 1 Coefficients'!C$19</f>
        <v>1002.6725577236792</v>
      </c>
      <c r="N96" s="46">
        <f>K96*'Tier 1 Coefficients'!C$43</f>
        <v>30.724397979671224</v>
      </c>
      <c r="O96" s="46">
        <f>I96*'Tier 2 FC'!D26</f>
        <v>140407.19506839002</v>
      </c>
      <c r="P96" s="46">
        <f t="shared" si="5"/>
        <v>140.40719506839002</v>
      </c>
      <c r="Q96" s="46">
        <f>P96*'Tier 1 Coefficients'!D$3</f>
        <v>444.950401171728</v>
      </c>
      <c r="R96" s="46">
        <f>$I96*'T2 LPG'!C2</f>
        <v>16.518493537457648</v>
      </c>
      <c r="S96" s="121">
        <f>$I96*'T2 LPG'!D2</f>
        <v>1095.176121533442</v>
      </c>
      <c r="T96" s="46">
        <f>44.011*(P96/(12.011+1.008*'Tier 3 CO2 Tables'!B$3+16*'Tier 3 CO2 Tables'!C$3))</f>
        <v>445.01760508912031</v>
      </c>
      <c r="U96" s="46">
        <f>I96*'Tier 3 CO2 Tables'!H$7/10000</f>
        <v>0.23951815629313586</v>
      </c>
      <c r="V96" s="46">
        <f>44.011*(U96/(12.011+1.008*'Tier 3 CO2 Tables'!B$6+16*'Tier 3 CO2 Tables'!C$6))</f>
        <v>0.74721452890896012</v>
      </c>
      <c r="W96" s="46">
        <f>I96*'T3 Methane'!D17</f>
        <v>216392.26534069519</v>
      </c>
      <c r="X96" s="46" cm="1">
        <f t="array" ref="X96">_xlfn.IFS(E96='Euro Age Table'!C$5,'Euro Age Table'!G$5,E96='Euro Age Table'!C$6,'Euro Age Table'!G$6,E96='Euro Age Table'!C$7,'Euro Age Table'!G$7,E96='Euro Age Table'!C$8,'Euro Age Table'!G$8,E96='Euro Age Table'!C$9,'Euro Age Table'!G$9,E96='Euro Age Table'!C$10,'Euro Age Table'!G$10,E96='Euro Age Table'!C$11,'Euro Age Table'!G$11)</f>
        <v>27</v>
      </c>
      <c r="Y96" s="46">
        <f>X96*'Eilat Car Data'!F$16</f>
        <v>739873.7704918033</v>
      </c>
      <c r="Z96" s="46">
        <f>('T3 N2O LCV-Petrol'!D2*Y96+'T3 N2O LCV-Petrol'!E2)*'T3 N2O LCV-Petrol'!C2</f>
        <v>10</v>
      </c>
      <c r="AA96" s="124">
        <f t="shared" si="6"/>
        <v>16518.493537457649</v>
      </c>
    </row>
    <row r="97" spans="1:27" ht="12.5">
      <c r="A97" s="49" t="s">
        <v>29</v>
      </c>
      <c r="B97" s="49" t="s">
        <v>20</v>
      </c>
      <c r="C97" s="49" t="s">
        <v>68</v>
      </c>
      <c r="D97" s="51" t="s">
        <v>70</v>
      </c>
      <c r="E97" s="51" t="s">
        <v>60</v>
      </c>
      <c r="F97" s="97">
        <v>0</v>
      </c>
      <c r="G97" s="99">
        <f t="shared" si="7"/>
        <v>0</v>
      </c>
      <c r="H97" s="46"/>
      <c r="I97" s="46">
        <f>G97*'Eilat Car Data'!F$16</f>
        <v>0</v>
      </c>
      <c r="J97" s="46">
        <f>I97*'Tier 1 Coefficients'!I$8</f>
        <v>0</v>
      </c>
      <c r="K97" s="46">
        <f t="shared" si="4"/>
        <v>0</v>
      </c>
      <c r="L97" s="46">
        <f>K97*'Tier 1 Coefficients'!D$3</f>
        <v>0</v>
      </c>
      <c r="M97" s="46">
        <f>K97*'Tier 1 Coefficients'!C$19</f>
        <v>0</v>
      </c>
      <c r="N97" s="46">
        <f>K97*'Tier 1 Coefficients'!C$43</f>
        <v>0</v>
      </c>
      <c r="O97" s="46">
        <f>I97*'Tier 2 FC'!D27</f>
        <v>0</v>
      </c>
      <c r="P97" s="46">
        <f t="shared" si="5"/>
        <v>0</v>
      </c>
      <c r="Q97" s="46">
        <f>P97*'Tier 1 Coefficients'!D$3</f>
        <v>0</v>
      </c>
      <c r="R97" s="46">
        <f>$I97*'T2 LPG'!C8</f>
        <v>0</v>
      </c>
      <c r="S97" s="121">
        <f>$I97*'T2 LPG'!D8</f>
        <v>0</v>
      </c>
      <c r="T97" s="46">
        <f>44.011*(P97/(12.011+1.008*'Tier 3 CO2 Tables'!B$3+16*'Tier 3 CO2 Tables'!C$3))</f>
        <v>0</v>
      </c>
      <c r="U97" s="46">
        <f>I97*'Tier 3 CO2 Tables'!H$8/10000</f>
        <v>0</v>
      </c>
      <c r="V97" s="46">
        <f>44.011*(U97/(12.011+1.008*'Tier 3 CO2 Tables'!B$6+16*'Tier 3 CO2 Tables'!C$6))</f>
        <v>0</v>
      </c>
      <c r="W97" s="46">
        <f>I97*'T3 Methane'!D21</f>
        <v>0</v>
      </c>
      <c r="X97" s="46" cm="1">
        <f t="array" ref="X97">_xlfn.IFS(E97='Euro Age Table'!C$5,'Euro Age Table'!G$5,E97='Euro Age Table'!C$6,'Euro Age Table'!G$6,E97='Euro Age Table'!C$7,'Euro Age Table'!G$7,E97='Euro Age Table'!C$8,'Euro Age Table'!G$8,E97='Euro Age Table'!C$9,'Euro Age Table'!G$9,E97='Euro Age Table'!C$10,'Euro Age Table'!G$10,E97='Euro Age Table'!C$11,'Euro Age Table'!G$11)</f>
        <v>3</v>
      </c>
      <c r="Y97" s="46">
        <f>X97*'Eilat Car Data'!F$16</f>
        <v>82208.196721311484</v>
      </c>
      <c r="Z97" s="121">
        <f>('T3 N2O LCV-Petrol'!D8*Y97+'T3 N2O LCV-Petrol'!E8)*'T3 N2O LCV-Petrol'!C8</f>
        <v>2.2208856432786885</v>
      </c>
      <c r="AA97" s="124">
        <f t="shared" si="6"/>
        <v>0</v>
      </c>
    </row>
    <row r="98" spans="1:27" ht="12.5">
      <c r="A98" s="49" t="s">
        <v>29</v>
      </c>
      <c r="B98" s="49" t="s">
        <v>20</v>
      </c>
      <c r="C98" s="49" t="s">
        <v>68</v>
      </c>
      <c r="D98" s="49" t="s">
        <v>71</v>
      </c>
      <c r="E98" s="50" t="s">
        <v>54</v>
      </c>
      <c r="F98" s="97">
        <v>9.1604969255866479E-3</v>
      </c>
      <c r="G98" s="99">
        <f t="shared" si="7"/>
        <v>10.05822562429414</v>
      </c>
      <c r="H98" s="46"/>
      <c r="I98" s="46">
        <f>G98*'Eilat Car Data'!F$16</f>
        <v>275622.86359643622</v>
      </c>
      <c r="J98" s="46">
        <f>I98*'Tier 1 Coefficients'!I$8</f>
        <v>27562286.359643623</v>
      </c>
      <c r="K98" s="46">
        <f t="shared" si="4"/>
        <v>27562.286359643622</v>
      </c>
      <c r="L98" s="46">
        <f>K98*'Tier 1 Coefficients'!D$3</f>
        <v>87344.885473710645</v>
      </c>
      <c r="M98" s="46">
        <f>K98*'Tier 1 Coefficients'!C$19</f>
        <v>167303.0782030368</v>
      </c>
      <c r="N98" s="46">
        <f>K98*'Tier 1 Coefficients'!C$43</f>
        <v>5126.5852628937137</v>
      </c>
      <c r="O98" s="46">
        <f>I98*'Tier 2 FC'!D26</f>
        <v>23427943.405697078</v>
      </c>
      <c r="P98" s="46">
        <f t="shared" si="5"/>
        <v>23427.943405697079</v>
      </c>
      <c r="Q98" s="46">
        <f>P98*'Tier 1 Coefficients'!D$3</f>
        <v>74243.15265265404</v>
      </c>
      <c r="R98" s="46">
        <f>$I98*'T2 LPG'!C2</f>
        <v>2756.2286359643622</v>
      </c>
      <c r="S98" s="121">
        <f>$I98*'T2 LPG'!D2</f>
        <v>182737.95856443723</v>
      </c>
      <c r="T98" s="46">
        <f>44.011*(P98/(12.011+1.008*'Tier 3 CO2 Tables'!B$3+16*'Tier 3 CO2 Tables'!C$3))</f>
        <v>74254.366106298927</v>
      </c>
      <c r="U98" s="46">
        <f>I98*'Tier 3 CO2 Tables'!H$7/10000</f>
        <v>39.965315221483252</v>
      </c>
      <c r="V98" s="46">
        <f>44.011*(U98/(12.011+1.008*'Tier 3 CO2 Tables'!B$6+16*'Tier 3 CO2 Tables'!C$6))</f>
        <v>124.67808139509512</v>
      </c>
      <c r="W98" s="46">
        <f>I98*'T3 Methane'!D17</f>
        <v>36106595.131133147</v>
      </c>
      <c r="X98" s="46" cm="1">
        <f t="array" ref="X98">_xlfn.IFS(E98='Euro Age Table'!C$5,'Euro Age Table'!G$5,E98='Euro Age Table'!C$6,'Euro Age Table'!G$6,E98='Euro Age Table'!C$7,'Euro Age Table'!G$7,E98='Euro Age Table'!C$8,'Euro Age Table'!G$8,E98='Euro Age Table'!C$9,'Euro Age Table'!G$9,E98='Euro Age Table'!C$10,'Euro Age Table'!G$10,E98='Euro Age Table'!C$11,'Euro Age Table'!G$11)</f>
        <v>27</v>
      </c>
      <c r="Y98" s="46">
        <f>X98*'Eilat Car Data'!F$16</f>
        <v>739873.7704918033</v>
      </c>
      <c r="Z98" s="46">
        <f>('T3 N2O LCV-Petrol'!D2*Y98+'T3 N2O LCV-Petrol'!E2)*'T3 N2O LCV-Petrol'!C2</f>
        <v>10</v>
      </c>
      <c r="AA98" s="124">
        <f t="shared" si="6"/>
        <v>2756228.635964362</v>
      </c>
    </row>
    <row r="99" spans="1:27" ht="12.5">
      <c r="A99" s="49" t="s">
        <v>29</v>
      </c>
      <c r="B99" s="49" t="s">
        <v>20</v>
      </c>
      <c r="C99" s="49" t="s">
        <v>68</v>
      </c>
      <c r="D99" s="49" t="s">
        <v>71</v>
      </c>
      <c r="E99" s="50" t="s">
        <v>55</v>
      </c>
      <c r="F99" s="97">
        <v>6.5880286108671105E-4</v>
      </c>
      <c r="G99" s="99">
        <f t="shared" si="7"/>
        <v>0.72336554147320875</v>
      </c>
      <c r="H99" s="46"/>
      <c r="I99" s="46">
        <f>G99*'Eilat Car Data'!F$16</f>
        <v>19822.192244949179</v>
      </c>
      <c r="J99" s="46">
        <f>I99*'Tier 1 Coefficients'!I$8</f>
        <v>1982219.224494918</v>
      </c>
      <c r="K99" s="46">
        <f t="shared" si="4"/>
        <v>1982.2192244949181</v>
      </c>
      <c r="L99" s="46">
        <f>K99*'Tier 1 Coefficients'!D$3</f>
        <v>6281.6527224243955</v>
      </c>
      <c r="M99" s="46">
        <f>K99*'Tier 1 Coefficients'!C$19</f>
        <v>12032.070692684154</v>
      </c>
      <c r="N99" s="46">
        <f>K99*'Tier 1 Coefficients'!C$43</f>
        <v>368.69277575605474</v>
      </c>
      <c r="O99" s="46">
        <f>I99*'Tier 2 FC'!D$27</f>
        <v>1387553.4571464425</v>
      </c>
      <c r="P99" s="46">
        <f t="shared" si="5"/>
        <v>1387.5534571464425</v>
      </c>
      <c r="Q99" s="46">
        <f>P99*'Tier 1 Coefficients'!D$3</f>
        <v>4397.1569056970766</v>
      </c>
      <c r="R99" s="46">
        <f>$I99*'T2 LPG'!C3</f>
        <v>495.55480612372952</v>
      </c>
      <c r="S99" s="121">
        <f>$I99*'T2 LPG'!D3</f>
        <v>11814.026577989711</v>
      </c>
      <c r="T99" s="46">
        <f>44.011*(P99/(12.011+1.008*'Tier 3 CO2 Tables'!B$3+16*'Tier 3 CO2 Tables'!C$3))</f>
        <v>4397.8210385277762</v>
      </c>
      <c r="U99" s="46">
        <f>I99*'Tier 3 CO2 Tables'!H$7/10000</f>
        <v>2.8742178755176306</v>
      </c>
      <c r="V99" s="46">
        <f>44.011*(U99/(12.011+1.008*'Tier 3 CO2 Tables'!B$6+16*'Tier 3 CO2 Tables'!C$6))</f>
        <v>8.9665743469075228</v>
      </c>
      <c r="W99" s="46">
        <f>I99*'T3 Methane'!D18</f>
        <v>515376.99836867867</v>
      </c>
      <c r="X99" s="46" cm="1">
        <f t="array" ref="X99">_xlfn.IFS(E99='Euro Age Table'!C$5,'Euro Age Table'!G$5,E99='Euro Age Table'!C$6,'Euro Age Table'!G$6,E99='Euro Age Table'!C$7,'Euro Age Table'!G$7,E99='Euro Age Table'!C$8,'Euro Age Table'!G$8,E99='Euro Age Table'!C$9,'Euro Age Table'!G$9,E99='Euro Age Table'!C$10,'Euro Age Table'!G$10,E99='Euro Age Table'!C$11,'Euro Age Table'!G$11)</f>
        <v>23</v>
      </c>
      <c r="Y99" s="46">
        <f>X99*'Eilat Car Data'!F$16</f>
        <v>630262.84153005469</v>
      </c>
      <c r="Z99" s="46">
        <f>('T3 N2O LCV-Petrol'!D3*Y99+'T3 N2O LCV-Petrol'!E3)*'T3 N2O LCV-Petrol'!C3</f>
        <v>82.938265461748642</v>
      </c>
      <c r="AA99" s="124">
        <f t="shared" si="6"/>
        <v>1644018.2424454102</v>
      </c>
    </row>
    <row r="100" spans="1:27" ht="12.5">
      <c r="A100" s="49" t="s">
        <v>29</v>
      </c>
      <c r="B100" s="49" t="s">
        <v>20</v>
      </c>
      <c r="C100" s="49" t="s">
        <v>68</v>
      </c>
      <c r="D100" s="49" t="s">
        <v>71</v>
      </c>
      <c r="E100" s="50" t="s">
        <v>56</v>
      </c>
      <c r="F100" s="97">
        <v>3.921445601706613E-5</v>
      </c>
      <c r="G100" s="99">
        <f t="shared" si="7"/>
        <v>4.3057472706738611E-2</v>
      </c>
      <c r="H100" s="46"/>
      <c r="I100" s="46">
        <f>G100*'Eilat Car Data'!F$16</f>
        <v>1179.8923955326891</v>
      </c>
      <c r="J100" s="46">
        <f>I100*'Tier 1 Coefficients'!I$8</f>
        <v>117989.23955326891</v>
      </c>
      <c r="K100" s="46">
        <f t="shared" si="4"/>
        <v>117.98923955326892</v>
      </c>
      <c r="L100" s="46">
        <f>K100*'Tier 1 Coefficients'!D$3</f>
        <v>373.90790014430922</v>
      </c>
      <c r="M100" s="46">
        <f>K100*'Tier 1 Coefficients'!C$19</f>
        <v>716.19468408834234</v>
      </c>
      <c r="N100" s="46">
        <f>K100*'Tier 1 Coefficients'!C$43</f>
        <v>21.94599855690802</v>
      </c>
      <c r="O100" s="46">
        <f>I100*'Tier 2 FC'!D$27</f>
        <v>82592.467687288241</v>
      </c>
      <c r="P100" s="46">
        <f t="shared" si="5"/>
        <v>82.592467687288234</v>
      </c>
      <c r="Q100" s="46">
        <f>P100*'Tier 1 Coefficients'!D$3</f>
        <v>261.73553010101642</v>
      </c>
      <c r="R100" s="46">
        <f>$I100*'T2 LPG'!C4</f>
        <v>29.497309888317229</v>
      </c>
      <c r="S100" s="121">
        <f>$I100*'T2 LPG'!D4</f>
        <v>625.34296963232521</v>
      </c>
      <c r="T100" s="46">
        <f>44.011*(P100/(12.011+1.008*'Tier 3 CO2 Tables'!B$3+16*'Tier 3 CO2 Tables'!C$3))</f>
        <v>261.77506181712954</v>
      </c>
      <c r="U100" s="46">
        <f>I100*'Tier 3 CO2 Tables'!H$7/10000</f>
        <v>0.17108439735223993</v>
      </c>
      <c r="V100" s="46">
        <f>44.011*(U100/(12.011+1.008*'Tier 3 CO2 Tables'!B$6+16*'Tier 3 CO2 Tables'!C$6))</f>
        <v>0.53372466350640024</v>
      </c>
      <c r="W100" s="46">
        <f>I100*'T3 Methane'!D19</f>
        <v>20058.170724055715</v>
      </c>
      <c r="X100" s="46" cm="1">
        <f t="array" ref="X100">_xlfn.IFS(E100='Euro Age Table'!C$5,'Euro Age Table'!G$5,E100='Euro Age Table'!C$6,'Euro Age Table'!G$6,E100='Euro Age Table'!C$7,'Euro Age Table'!G$7,E100='Euro Age Table'!C$8,'Euro Age Table'!G$8,E100='Euro Age Table'!C$9,'Euro Age Table'!G$9,E100='Euro Age Table'!C$10,'Euro Age Table'!G$10,E100='Euro Age Table'!C$11,'Euro Age Table'!G$11)</f>
        <v>18</v>
      </c>
      <c r="Y100" s="46">
        <f>X100*'Eilat Car Data'!F$16</f>
        <v>493249.18032786885</v>
      </c>
      <c r="Z100" s="46">
        <f>('T3 N2O LCV-Petrol'!D4*Y100+'T3 N2O LCV-Petrol'!E4)*'T3 N2O LCV-Petrol'!C4</f>
        <v>44.544772983606556</v>
      </c>
      <c r="AA100" s="124">
        <f t="shared" si="6"/>
        <v>52558.038904087349</v>
      </c>
    </row>
    <row r="101" spans="1:27" ht="12.5">
      <c r="A101" s="49" t="s">
        <v>29</v>
      </c>
      <c r="B101" s="49" t="s">
        <v>20</v>
      </c>
      <c r="C101" s="49" t="s">
        <v>68</v>
      </c>
      <c r="D101" s="49" t="s">
        <v>72</v>
      </c>
      <c r="E101" s="50" t="s">
        <v>57</v>
      </c>
      <c r="F101" s="97">
        <v>0</v>
      </c>
      <c r="G101" s="99">
        <f t="shared" si="7"/>
        <v>0</v>
      </c>
      <c r="H101" s="46"/>
      <c r="I101" s="46">
        <f>G101*'Eilat Car Data'!F$16</f>
        <v>0</v>
      </c>
      <c r="J101" s="46">
        <f>I101*'Tier 1 Coefficients'!I$8</f>
        <v>0</v>
      </c>
      <c r="K101" s="46">
        <f t="shared" si="4"/>
        <v>0</v>
      </c>
      <c r="L101" s="46">
        <f>K101*'Tier 1 Coefficients'!D$3</f>
        <v>0</v>
      </c>
      <c r="M101" s="46">
        <f>K101*'Tier 1 Coefficients'!C$19</f>
        <v>0</v>
      </c>
      <c r="N101" s="46">
        <f>K101*'Tier 1 Coefficients'!C$43</f>
        <v>0</v>
      </c>
      <c r="O101" s="46">
        <f>I101*'Tier 2 FC'!D$27</f>
        <v>0</v>
      </c>
      <c r="P101" s="46">
        <f t="shared" si="5"/>
        <v>0</v>
      </c>
      <c r="Q101" s="46">
        <f>P101*'Tier 1 Coefficients'!D$3</f>
        <v>0</v>
      </c>
      <c r="R101" s="46">
        <f>$I101*'T2 LPG'!C5</f>
        <v>0</v>
      </c>
      <c r="S101" s="121">
        <f>$I101*'T2 LPG'!D5</f>
        <v>0</v>
      </c>
      <c r="T101" s="46">
        <f>44.011*(P101/(12.011+1.008*'Tier 3 CO2 Tables'!B$3+16*'Tier 3 CO2 Tables'!C$3))</f>
        <v>0</v>
      </c>
      <c r="U101" s="46">
        <f>I101*'Tier 3 CO2 Tables'!H$7/10000</f>
        <v>0</v>
      </c>
      <c r="V101" s="46">
        <f>44.011*(U101/(12.011+1.008*'Tier 3 CO2 Tables'!B$6+16*'Tier 3 CO2 Tables'!C$6))</f>
        <v>0</v>
      </c>
      <c r="W101" s="46">
        <f>I101*'T3 Methane'!D20</f>
        <v>0</v>
      </c>
      <c r="X101" s="46" cm="1">
        <f t="array" ref="X101">_xlfn.IFS(E101='Euro Age Table'!C$5,'Euro Age Table'!G$5,E101='Euro Age Table'!C$6,'Euro Age Table'!G$6,E101='Euro Age Table'!C$7,'Euro Age Table'!G$7,E101='Euro Age Table'!C$8,'Euro Age Table'!G$8,E101='Euro Age Table'!C$9,'Euro Age Table'!G$9,E101='Euro Age Table'!C$10,'Euro Age Table'!G$10,E101='Euro Age Table'!C$11,'Euro Age Table'!G$11)</f>
        <v>16</v>
      </c>
      <c r="Y101" s="46">
        <f>X101*'Eilat Car Data'!F$16</f>
        <v>438443.71584699454</v>
      </c>
      <c r="Z101" s="46">
        <f>('T3 N2O LCV-Petrol'!D5*Y101+'T3 N2O LCV-Petrol'!E5)*'T3 N2O LCV-Petrol'!C5</f>
        <v>13.852998627322407</v>
      </c>
      <c r="AA101" s="124">
        <f t="shared" si="6"/>
        <v>0</v>
      </c>
    </row>
    <row r="102" spans="1:27" ht="12.5">
      <c r="A102" s="49" t="s">
        <v>29</v>
      </c>
      <c r="B102" s="49" t="s">
        <v>20</v>
      </c>
      <c r="C102" s="49" t="s">
        <v>68</v>
      </c>
      <c r="D102" s="49" t="s">
        <v>72</v>
      </c>
      <c r="E102" s="50" t="s">
        <v>58</v>
      </c>
      <c r="F102" s="97">
        <v>5.6468816664575225E-4</v>
      </c>
      <c r="G102" s="99">
        <f t="shared" si="7"/>
        <v>0.62002760697703596</v>
      </c>
      <c r="H102" s="46"/>
      <c r="I102" s="46">
        <f>G102*'Eilat Car Data'!F$16</f>
        <v>16990.450495670724</v>
      </c>
      <c r="J102" s="46">
        <f>I102*'Tier 1 Coefficients'!I$8</f>
        <v>1699045.0495670724</v>
      </c>
      <c r="K102" s="46">
        <f t="shared" si="4"/>
        <v>1699.0450495670725</v>
      </c>
      <c r="L102" s="46">
        <f>K102*'Tier 1 Coefficients'!D$3</f>
        <v>5384.2737620780526</v>
      </c>
      <c r="M102" s="46">
        <f>K102*'Tier 1 Coefficients'!C$19</f>
        <v>10313.20345087213</v>
      </c>
      <c r="N102" s="46">
        <f>K102*'Tier 1 Coefficients'!C$43</f>
        <v>316.02237921947551</v>
      </c>
      <c r="O102" s="46">
        <f>I102*'Tier 2 FC'!D$27</f>
        <v>1189331.5346969506</v>
      </c>
      <c r="P102" s="46">
        <f t="shared" si="5"/>
        <v>1189.3315346969505</v>
      </c>
      <c r="Q102" s="46">
        <f>P102*'Tier 1 Coefficients'!D$3</f>
        <v>3768.991633454636</v>
      </c>
      <c r="R102" s="46">
        <f>$I102*'T2 LPG'!C6</f>
        <v>220.87585644371941</v>
      </c>
      <c r="S102" s="121">
        <f>$I102*'T2 LPG'!D6</f>
        <v>6762.1992972769485</v>
      </c>
      <c r="T102" s="46">
        <f>44.011*(P102/(12.011+1.008*'Tier 3 CO2 Tables'!B$3+16*'Tier 3 CO2 Tables'!C$3))</f>
        <v>3769.5608901666651</v>
      </c>
      <c r="U102" s="46">
        <f>I102*'Tier 3 CO2 Tables'!H$7/10000</f>
        <v>2.463615321872255</v>
      </c>
      <c r="V102" s="46">
        <f>44.011*(U102/(12.011+1.008*'Tier 3 CO2 Tables'!B$6+16*'Tier 3 CO2 Tables'!C$6))</f>
        <v>7.6856351544921635</v>
      </c>
      <c r="W102" s="46">
        <f>I102*'T3 Methane'!D$21</f>
        <v>33980.900991341448</v>
      </c>
      <c r="X102" s="46" cm="1">
        <f t="array" ref="X102">_xlfn.IFS(E102='Euro Age Table'!C$5,'Euro Age Table'!G$5,E102='Euro Age Table'!C$6,'Euro Age Table'!G$6,E102='Euro Age Table'!C$7,'Euro Age Table'!G$7,E102='Euro Age Table'!C$8,'Euro Age Table'!G$8,E102='Euro Age Table'!C$9,'Euro Age Table'!G$9,E102='Euro Age Table'!C$10,'Euro Age Table'!G$10,E102='Euro Age Table'!C$11,'Euro Age Table'!G$11)</f>
        <v>13</v>
      </c>
      <c r="Y102" s="46">
        <f>X102*'Eilat Car Data'!F$16</f>
        <v>356235.51912568306</v>
      </c>
      <c r="Z102" s="46">
        <f>('T3 N2O LCV-Petrol'!D6*Y102+'T3 N2O LCV-Petrol'!E6)*'T3 N2O LCV-Petrol'!C6</f>
        <v>1.3908560832786885</v>
      </c>
      <c r="AA102" s="124">
        <f t="shared" si="6"/>
        <v>23631.271429549033</v>
      </c>
    </row>
    <row r="103" spans="1:27" ht="12.5">
      <c r="A103" s="49" t="s">
        <v>29</v>
      </c>
      <c r="B103" s="49" t="s">
        <v>20</v>
      </c>
      <c r="C103" s="49" t="s">
        <v>68</v>
      </c>
      <c r="D103" s="49" t="s">
        <v>72</v>
      </c>
      <c r="E103" s="50" t="s">
        <v>59</v>
      </c>
      <c r="F103" s="97">
        <v>2.2744384489898356E-4</v>
      </c>
      <c r="G103" s="99">
        <f t="shared" si="7"/>
        <v>0.24973334169908395</v>
      </c>
      <c r="H103" s="46"/>
      <c r="I103" s="46">
        <f>G103*'Eilat Car Data'!F$16</f>
        <v>6843.3758940895978</v>
      </c>
      <c r="J103" s="46">
        <f>I103*'Tier 1 Coefficients'!I$8</f>
        <v>684337.58940895973</v>
      </c>
      <c r="K103" s="46">
        <f t="shared" si="4"/>
        <v>684.33758940895973</v>
      </c>
      <c r="L103" s="46">
        <f>K103*'Tier 1 Coefficients'!D$3</f>
        <v>2168.6658208369936</v>
      </c>
      <c r="M103" s="46">
        <f>K103*'Tier 1 Coefficients'!C$19</f>
        <v>4153.9291677123856</v>
      </c>
      <c r="N103" s="46">
        <f>K103*'Tier 1 Coefficients'!C$43</f>
        <v>127.2867916300665</v>
      </c>
      <c r="O103" s="46">
        <f>I103*'Tier 2 FC'!D$27</f>
        <v>479036.31258627184</v>
      </c>
      <c r="P103" s="46">
        <f t="shared" si="5"/>
        <v>479.03631258627183</v>
      </c>
      <c r="Q103" s="46">
        <f>P103*'Tier 1 Coefficients'!D$3</f>
        <v>1518.0660745858954</v>
      </c>
      <c r="R103" s="46">
        <f>$I103*'T2 LPG'!C7</f>
        <v>8.8963886623164772</v>
      </c>
      <c r="S103" s="121">
        <f>$I103*'T2 LPG'!D7</f>
        <v>2723.6636058476602</v>
      </c>
      <c r="T103" s="46">
        <f>44.011*(P103/(12.011+1.008*'Tier 3 CO2 Tables'!B$3+16*'Tier 3 CO2 Tables'!C$3))</f>
        <v>1518.2953585393516</v>
      </c>
      <c r="U103" s="46">
        <f>I103*'Tier 3 CO2 Tables'!H$7/10000</f>
        <v>0.99228950464299159</v>
      </c>
      <c r="V103" s="46">
        <f>44.011*(U103/(12.011+1.008*'Tier 3 CO2 Tables'!B$6+16*'Tier 3 CO2 Tables'!C$6))</f>
        <v>3.0956030483371211</v>
      </c>
      <c r="W103" s="46">
        <f>I103*'T3 Methane'!D$21</f>
        <v>13686.751788179196</v>
      </c>
      <c r="X103" s="46" cm="1">
        <f t="array" ref="X103">_xlfn.IFS(E103='Euro Age Table'!C$5,'Euro Age Table'!G$5,E103='Euro Age Table'!C$6,'Euro Age Table'!G$6,E103='Euro Age Table'!C$7,'Euro Age Table'!G$7,E103='Euro Age Table'!C$8,'Euro Age Table'!G$8,E103='Euro Age Table'!C$9,'Euro Age Table'!G$9,E103='Euro Age Table'!C$10,'Euro Age Table'!G$10,E103='Euro Age Table'!C$11,'Euro Age Table'!G$11)</f>
        <v>9</v>
      </c>
      <c r="Y103" s="46">
        <f>X103*'Eilat Car Data'!F$16</f>
        <v>246624.59016393442</v>
      </c>
      <c r="Z103" s="46">
        <f>('T3 N2O LCV-Petrol'!D7*Y103+'T3 N2O LCV-Petrol'!E7)*'T3 N2O LCV-Petrol'!C7</f>
        <v>2.5298569298360651</v>
      </c>
      <c r="AA103" s="124">
        <f t="shared" si="6"/>
        <v>17312.761929135646</v>
      </c>
    </row>
    <row r="104" spans="1:27" ht="12.5">
      <c r="A104" s="49" t="s">
        <v>29</v>
      </c>
      <c r="B104" s="49" t="s">
        <v>20</v>
      </c>
      <c r="C104" s="49" t="s">
        <v>68</v>
      </c>
      <c r="D104" s="51" t="s">
        <v>72</v>
      </c>
      <c r="E104" s="51" t="s">
        <v>60</v>
      </c>
      <c r="F104" s="97">
        <v>0</v>
      </c>
      <c r="G104" s="99">
        <f t="shared" si="7"/>
        <v>0</v>
      </c>
      <c r="H104" s="46"/>
      <c r="I104" s="46">
        <f>G104*'Eilat Car Data'!F$16</f>
        <v>0</v>
      </c>
      <c r="J104" s="46">
        <f>I104*'Tier 1 Coefficients'!I$8</f>
        <v>0</v>
      </c>
      <c r="K104" s="46">
        <f t="shared" si="4"/>
        <v>0</v>
      </c>
      <c r="L104" s="46">
        <f>K104*'Tier 1 Coefficients'!D$3</f>
        <v>0</v>
      </c>
      <c r="M104" s="46">
        <f>K104*'Tier 1 Coefficients'!C$19</f>
        <v>0</v>
      </c>
      <c r="N104" s="46">
        <f>K104*'Tier 1 Coefficients'!C$43</f>
        <v>0</v>
      </c>
      <c r="O104" s="46">
        <f>I104*'Tier 2 FC'!D$27</f>
        <v>0</v>
      </c>
      <c r="P104" s="46">
        <f t="shared" si="5"/>
        <v>0</v>
      </c>
      <c r="Q104" s="46">
        <f>P104*'Tier 1 Coefficients'!D$3</f>
        <v>0</v>
      </c>
      <c r="R104" s="46">
        <f>$I104*'T2 LPG'!C8</f>
        <v>0</v>
      </c>
      <c r="S104" s="121">
        <f>$I104*'T2 LPG'!D8</f>
        <v>0</v>
      </c>
      <c r="T104" s="46">
        <f>44.011*(P104/(12.011+1.008*'Tier 3 CO2 Tables'!B$3+16*'Tier 3 CO2 Tables'!C$3))</f>
        <v>0</v>
      </c>
      <c r="U104" s="46">
        <f>I104*'Tier 3 CO2 Tables'!H$8/10000</f>
        <v>0</v>
      </c>
      <c r="V104" s="46">
        <f>44.011*(U104/(12.011+1.008*'Tier 3 CO2 Tables'!B$6+16*'Tier 3 CO2 Tables'!C$6))</f>
        <v>0</v>
      </c>
      <c r="W104" s="46">
        <f>I104*'T3 Methane'!D$21</f>
        <v>0</v>
      </c>
      <c r="X104" s="46" cm="1">
        <f t="array" ref="X104">_xlfn.IFS(E104='Euro Age Table'!C$5,'Euro Age Table'!G$5,E104='Euro Age Table'!C$6,'Euro Age Table'!G$6,E104='Euro Age Table'!C$7,'Euro Age Table'!G$7,E104='Euro Age Table'!C$8,'Euro Age Table'!G$8,E104='Euro Age Table'!C$9,'Euro Age Table'!G$9,E104='Euro Age Table'!C$10,'Euro Age Table'!G$10,E104='Euro Age Table'!C$11,'Euro Age Table'!G$11)</f>
        <v>3</v>
      </c>
      <c r="Y104" s="46">
        <f>X104*'Eilat Car Data'!F$16</f>
        <v>82208.196721311484</v>
      </c>
      <c r="Z104" s="46">
        <f>('T3 N2O LCV-Petrol'!D8*Y104+'T3 N2O LCV-Petrol'!E8)*'T3 N2O LCV-Petrol'!C8</f>
        <v>2.2208856432786885</v>
      </c>
      <c r="AA104" s="124">
        <f t="shared" si="6"/>
        <v>0</v>
      </c>
    </row>
    <row r="105" spans="1:27" ht="12.5">
      <c r="A105" s="49" t="s">
        <v>29</v>
      </c>
      <c r="B105" s="49" t="s">
        <v>20</v>
      </c>
      <c r="C105" s="49" t="s">
        <v>68</v>
      </c>
      <c r="D105" s="49" t="s">
        <v>73</v>
      </c>
      <c r="E105" s="50" t="s">
        <v>54</v>
      </c>
      <c r="F105" s="97">
        <v>1.2195695821307567E-2</v>
      </c>
      <c r="G105" s="99">
        <f t="shared" si="7"/>
        <v>13.390874011795708</v>
      </c>
      <c r="H105" s="46"/>
      <c r="I105" s="46">
        <f>G105*'Eilat Car Data'!F$16</f>
        <v>366946.5350106663</v>
      </c>
      <c r="J105" s="46">
        <f>I105*'Tier 1 Coefficients'!I$8</f>
        <v>36694653.501066633</v>
      </c>
      <c r="K105" s="46">
        <f t="shared" si="4"/>
        <v>36694.653501066634</v>
      </c>
      <c r="L105" s="46">
        <f>K105*'Tier 1 Coefficients'!D$3</f>
        <v>116285.35694488016</v>
      </c>
      <c r="M105" s="46">
        <f>K105*'Tier 1 Coefficients'!C$19</f>
        <v>222736.54675147447</v>
      </c>
      <c r="N105" s="46">
        <f>K105*'Tier 1 Coefficients'!C$43</f>
        <v>6825.2055511983936</v>
      </c>
      <c r="O105" s="46">
        <f>I105*'Tier 2 FC'!D26</f>
        <v>31190455.475906637</v>
      </c>
      <c r="P105" s="46">
        <f t="shared" si="5"/>
        <v>31190.455475906638</v>
      </c>
      <c r="Q105" s="46">
        <f>P105*'Tier 1 Coefficients'!D$3</f>
        <v>98842.553403148137</v>
      </c>
      <c r="R105" s="46">
        <f>$I105*'T2 LPG'!C2</f>
        <v>3669.4653501066632</v>
      </c>
      <c r="S105" s="121">
        <f>$I105*'T2 LPG'!D2</f>
        <v>243285.55271207177</v>
      </c>
      <c r="T105" s="46">
        <f>44.011*(P105/(12.011+1.008*'Tier 3 CO2 Tables'!B$3+16*'Tier 3 CO2 Tables'!C$3))</f>
        <v>98857.482273368849</v>
      </c>
      <c r="U105" s="46">
        <f>I105*'Tier 3 CO2 Tables'!H$7/10000</f>
        <v>53.207247576546614</v>
      </c>
      <c r="V105" s="46">
        <f>44.011*(U105/(12.011+1.008*'Tier 3 CO2 Tables'!B$6+16*'Tier 3 CO2 Tables'!C$6))</f>
        <v>165.98837035049047</v>
      </c>
      <c r="W105" s="46">
        <f>I105*'T3 Methane'!D17</f>
        <v>48069996.086397283</v>
      </c>
      <c r="X105" s="46" cm="1">
        <f t="array" ref="X105">_xlfn.IFS(E105='Euro Age Table'!C$5,'Euro Age Table'!G$5,E105='Euro Age Table'!C$6,'Euro Age Table'!G$6,E105='Euro Age Table'!C$7,'Euro Age Table'!G$7,E105='Euro Age Table'!C$8,'Euro Age Table'!G$8,E105='Euro Age Table'!C$9,'Euro Age Table'!G$9,E105='Euro Age Table'!C$10,'Euro Age Table'!G$10,E105='Euro Age Table'!C$11,'Euro Age Table'!G$11)</f>
        <v>27</v>
      </c>
      <c r="Y105" s="46">
        <f>X105*'Eilat Car Data'!F$16</f>
        <v>739873.7704918033</v>
      </c>
      <c r="Z105" s="46">
        <f>('T3 N2O LCV-Petrol'!D2*Y105+'T3 N2O LCV-Petrol'!E2)*'T3 N2O LCV-Petrol'!C2</f>
        <v>10</v>
      </c>
      <c r="AA105" s="124">
        <f t="shared" si="6"/>
        <v>3669465.3501066631</v>
      </c>
    </row>
    <row r="106" spans="1:27" ht="12.5">
      <c r="A106" s="49" t="s">
        <v>29</v>
      </c>
      <c r="B106" s="49" t="s">
        <v>20</v>
      </c>
      <c r="C106" s="49" t="s">
        <v>68</v>
      </c>
      <c r="D106" s="49" t="s">
        <v>73</v>
      </c>
      <c r="E106" s="50" t="s">
        <v>55</v>
      </c>
      <c r="F106" s="97">
        <v>4.1253607729953568E-3</v>
      </c>
      <c r="G106" s="99">
        <f t="shared" si="7"/>
        <v>4.5296461287489018</v>
      </c>
      <c r="H106" s="46"/>
      <c r="I106" s="46">
        <f>G106*'Eilat Car Data'!F$16</f>
        <v>124124.68001003889</v>
      </c>
      <c r="J106" s="46">
        <f>I106*'Tier 1 Coefficients'!I$8</f>
        <v>12412468.001003889</v>
      </c>
      <c r="K106" s="46">
        <f t="shared" si="4"/>
        <v>12412.46800100389</v>
      </c>
      <c r="L106" s="46">
        <f>K106*'Tier 1 Coefficients'!D$3</f>
        <v>39335.111095181332</v>
      </c>
      <c r="M106" s="46">
        <f>K106*'Tier 1 Coefficients'!C$19</f>
        <v>75343.680766093617</v>
      </c>
      <c r="N106" s="46">
        <f>K106*'Tier 1 Coefficients'!C$43</f>
        <v>2308.7190481867237</v>
      </c>
      <c r="O106" s="46">
        <f>I106*'Tier 2 FC'!D$27</f>
        <v>8688727.6007027216</v>
      </c>
      <c r="P106" s="46">
        <f t="shared" si="5"/>
        <v>8688.7276007027212</v>
      </c>
      <c r="Q106" s="46">
        <f>P106*'Tier 1 Coefficients'!D$3</f>
        <v>27534.577766626924</v>
      </c>
      <c r="R106" s="46">
        <f>$I106*'T2 LPG'!C3</f>
        <v>3103.1170002509725</v>
      </c>
      <c r="S106" s="121">
        <f>$I106*'T2 LPG'!D3</f>
        <v>73978.309285983181</v>
      </c>
      <c r="T106" s="46">
        <f>44.011*(P106/(12.011+1.008*'Tier 3 CO2 Tables'!B$3+16*'Tier 3 CO2 Tables'!C$3))</f>
        <v>27538.736503162025</v>
      </c>
      <c r="U106" s="46">
        <f>I106*'Tier 3 CO2 Tables'!H$7/10000</f>
        <v>17.998078601455639</v>
      </c>
      <c r="V106" s="46">
        <f>44.011*(U106/(12.011+1.008*'Tier 3 CO2 Tables'!B$6+16*'Tier 3 CO2 Tables'!C$6))</f>
        <v>56.147834600873296</v>
      </c>
      <c r="W106" s="46">
        <f>I106*'T3 Methane'!D18</f>
        <v>3227241.6802610112</v>
      </c>
      <c r="X106" s="46" cm="1">
        <f t="array" ref="X106">_xlfn.IFS(E106='Euro Age Table'!C$5,'Euro Age Table'!G$5,E106='Euro Age Table'!C$6,'Euro Age Table'!G$6,E106='Euro Age Table'!C$7,'Euro Age Table'!G$7,E106='Euro Age Table'!C$8,'Euro Age Table'!G$8,E106='Euro Age Table'!C$9,'Euro Age Table'!G$9,E106='Euro Age Table'!C$10,'Euro Age Table'!G$10,E106='Euro Age Table'!C$11,'Euro Age Table'!G$11)</f>
        <v>23</v>
      </c>
      <c r="Y106" s="46">
        <f>X106*'Eilat Car Data'!F$16</f>
        <v>630262.84153005469</v>
      </c>
      <c r="Z106" s="46">
        <f>('T3 N2O LCV-Petrol'!D3*Y106+'T3 N2O LCV-Petrol'!E3)*'T3 N2O LCV-Petrol'!C3</f>
        <v>82.938265461748642</v>
      </c>
      <c r="AA106" s="124">
        <f t="shared" si="6"/>
        <v>10294685.661027212</v>
      </c>
    </row>
    <row r="107" spans="1:27" ht="12.5">
      <c r="A107" s="49" t="s">
        <v>29</v>
      </c>
      <c r="B107" s="49" t="s">
        <v>20</v>
      </c>
      <c r="C107" s="49" t="s">
        <v>68</v>
      </c>
      <c r="D107" s="49" t="s">
        <v>73</v>
      </c>
      <c r="E107" s="50" t="s">
        <v>56</v>
      </c>
      <c r="F107" s="97">
        <v>5.0194503701844653E-4</v>
      </c>
      <c r="G107" s="99">
        <f t="shared" si="7"/>
        <v>0.55113565064625425</v>
      </c>
      <c r="H107" s="46"/>
      <c r="I107" s="46">
        <f>G107*'Eilat Car Data'!F$16</f>
        <v>15102.622662818421</v>
      </c>
      <c r="J107" s="46">
        <f>I107*'Tier 1 Coefficients'!I$8</f>
        <v>1510262.266281842</v>
      </c>
      <c r="K107" s="46">
        <f t="shared" si="4"/>
        <v>1510.2622662818421</v>
      </c>
      <c r="L107" s="46">
        <f>K107*'Tier 1 Coefficients'!D$3</f>
        <v>4786.0211218471577</v>
      </c>
      <c r="M107" s="46">
        <f>K107*'Tier 1 Coefficients'!C$19</f>
        <v>9167.2919563307823</v>
      </c>
      <c r="N107" s="46">
        <f>K107*'Tier 1 Coefficients'!C$43</f>
        <v>280.90878152842265</v>
      </c>
      <c r="O107" s="46">
        <f>I107*'Tier 2 FC'!D$27</f>
        <v>1057183.5863972895</v>
      </c>
      <c r="P107" s="46">
        <f t="shared" si="5"/>
        <v>1057.1835863972894</v>
      </c>
      <c r="Q107" s="46">
        <f>P107*'Tier 1 Coefficients'!D$3</f>
        <v>3350.2147852930102</v>
      </c>
      <c r="R107" s="46">
        <f>$I107*'T2 LPG'!C4</f>
        <v>377.56556657046053</v>
      </c>
      <c r="S107" s="121">
        <f>$I107*'T2 LPG'!D4</f>
        <v>8004.3900112937636</v>
      </c>
      <c r="T107" s="46">
        <f>44.011*(P107/(12.011+1.008*'Tier 3 CO2 Tables'!B$3+16*'Tier 3 CO2 Tables'!C$3))</f>
        <v>3350.720791259258</v>
      </c>
      <c r="U107" s="46">
        <f>I107*'Tier 3 CO2 Tables'!H$7/10000</f>
        <v>2.189880286108671</v>
      </c>
      <c r="V107" s="46">
        <f>44.011*(U107/(12.011+1.008*'Tier 3 CO2 Tables'!B$6+16*'Tier 3 CO2 Tables'!C$6))</f>
        <v>6.8316756928819222</v>
      </c>
      <c r="W107" s="46">
        <f>I107*'T3 Methane'!D19</f>
        <v>256744.58526791315</v>
      </c>
      <c r="X107" s="46" cm="1">
        <f t="array" ref="X107">_xlfn.IFS(E107='Euro Age Table'!C$5,'Euro Age Table'!G$5,E107='Euro Age Table'!C$6,'Euro Age Table'!G$6,E107='Euro Age Table'!C$7,'Euro Age Table'!G$7,E107='Euro Age Table'!C$8,'Euro Age Table'!G$8,E107='Euro Age Table'!C$9,'Euro Age Table'!G$9,E107='Euro Age Table'!C$10,'Euro Age Table'!G$10,E107='Euro Age Table'!C$11,'Euro Age Table'!G$11)</f>
        <v>18</v>
      </c>
      <c r="Y107" s="46">
        <f>X107*'Eilat Car Data'!F$16</f>
        <v>493249.18032786885</v>
      </c>
      <c r="Z107" s="46">
        <f>('T3 N2O LCV-Petrol'!D4*Y107+'T3 N2O LCV-Petrol'!E4)*'T3 N2O LCV-Petrol'!C4</f>
        <v>44.544772983606556</v>
      </c>
      <c r="AA107" s="124">
        <f t="shared" si="6"/>
        <v>672742.89797231811</v>
      </c>
    </row>
    <row r="108" spans="1:27" ht="12.5">
      <c r="A108" s="49" t="s">
        <v>29</v>
      </c>
      <c r="B108" s="49" t="s">
        <v>20</v>
      </c>
      <c r="C108" s="49" t="s">
        <v>68</v>
      </c>
      <c r="D108" s="49" t="s">
        <v>74</v>
      </c>
      <c r="E108" s="50" t="s">
        <v>57</v>
      </c>
      <c r="F108" s="97">
        <v>1.3646630693939013E-3</v>
      </c>
      <c r="G108" s="99">
        <f t="shared" si="7"/>
        <v>1.4984000501945036</v>
      </c>
      <c r="H108" s="46"/>
      <c r="I108" s="46">
        <f>G108*'Eilat Car Data'!F$16</f>
        <v>41060.255364537581</v>
      </c>
      <c r="J108" s="46">
        <f>I108*'Tier 1 Coefficients'!I$8</f>
        <v>4106025.5364537579</v>
      </c>
      <c r="K108" s="46">
        <f t="shared" si="4"/>
        <v>4106.0255364537579</v>
      </c>
      <c r="L108" s="46">
        <f>K108*'Tier 1 Coefficients'!D$3</f>
        <v>13011.99492502196</v>
      </c>
      <c r="M108" s="46">
        <f>K108*'Tier 1 Coefficients'!C$19</f>
        <v>24923.57500627431</v>
      </c>
      <c r="N108" s="46">
        <f>K108*'Tier 1 Coefficients'!C$43</f>
        <v>763.72074978039893</v>
      </c>
      <c r="O108" s="46">
        <f>I108*'Tier 2 FC'!D$27</f>
        <v>2874217.8755176305</v>
      </c>
      <c r="P108" s="46">
        <f t="shared" si="5"/>
        <v>2874.2178755176305</v>
      </c>
      <c r="Q108" s="46">
        <f>P108*'Tier 1 Coefficients'!D$3</f>
        <v>9108.3964475153716</v>
      </c>
      <c r="R108" s="46">
        <f>$I108*'T2 LPG'!C5</f>
        <v>1149.6871502070524</v>
      </c>
      <c r="S108" s="121">
        <f>$I108*'T2 LPG'!D5</f>
        <v>19051.95848914544</v>
      </c>
      <c r="T108" s="46">
        <f>44.011*(P108/(12.011+1.008*'Tier 3 CO2 Tables'!B$3+16*'Tier 3 CO2 Tables'!C$3))</f>
        <v>9109.7721512361077</v>
      </c>
      <c r="U108" s="46">
        <f>I108*'Tier 3 CO2 Tables'!H$7/10000</f>
        <v>5.9537370278579491</v>
      </c>
      <c r="V108" s="46">
        <f>44.011*(U108/(12.011+1.008*'Tier 3 CO2 Tables'!B$6+16*'Tier 3 CO2 Tables'!C$6))</f>
        <v>18.573618290022726</v>
      </c>
      <c r="W108" s="46">
        <f>I108*'T3 Methane'!D20</f>
        <v>123180.76609361274</v>
      </c>
      <c r="X108" s="46" cm="1">
        <f t="array" ref="X108">_xlfn.IFS(E108='Euro Age Table'!C$5,'Euro Age Table'!G$5,E108='Euro Age Table'!C$6,'Euro Age Table'!G$6,E108='Euro Age Table'!C$7,'Euro Age Table'!G$7,E108='Euro Age Table'!C$8,'Euro Age Table'!G$8,E108='Euro Age Table'!C$9,'Euro Age Table'!G$9,E108='Euro Age Table'!C$10,'Euro Age Table'!G$10,E108='Euro Age Table'!C$11,'Euro Age Table'!G$11)</f>
        <v>16</v>
      </c>
      <c r="Y108" s="46">
        <f>X108*'Eilat Car Data'!F$16</f>
        <v>438443.71584699454</v>
      </c>
      <c r="Z108" s="46">
        <f>('T3 N2O LCV-Petrol'!D5*Y108+'T3 N2O LCV-Petrol'!E5)*'T3 N2O LCV-Petrol'!C5</f>
        <v>13.852998627322407</v>
      </c>
      <c r="AA108" s="124">
        <f t="shared" si="6"/>
        <v>568807.66120244656</v>
      </c>
    </row>
    <row r="109" spans="1:27" ht="12.5">
      <c r="A109" s="49" t="s">
        <v>29</v>
      </c>
      <c r="B109" s="49" t="s">
        <v>20</v>
      </c>
      <c r="C109" s="49" t="s">
        <v>68</v>
      </c>
      <c r="D109" s="49" t="s">
        <v>74</v>
      </c>
      <c r="E109" s="50" t="s">
        <v>58</v>
      </c>
      <c r="F109" s="97">
        <v>1.4289747772618898E-2</v>
      </c>
      <c r="G109" s="99">
        <f t="shared" si="7"/>
        <v>15.69014305433555</v>
      </c>
      <c r="H109" s="46"/>
      <c r="I109" s="46">
        <f>G109*'Eilat Car Data'!F$16</f>
        <v>429952.78893211193</v>
      </c>
      <c r="J109" s="46">
        <f>I109*'Tier 1 Coefficients'!I$8</f>
        <v>42995278.893211193</v>
      </c>
      <c r="K109" s="46">
        <f t="shared" si="4"/>
        <v>42995.278893211194</v>
      </c>
      <c r="L109" s="46">
        <f>K109*'Tier 1 Coefficients'!D$3</f>
        <v>136252.03881258628</v>
      </c>
      <c r="M109" s="46">
        <f>K109*'Tier 1 Coefficients'!C$19</f>
        <v>260981.34288179196</v>
      </c>
      <c r="N109" s="46">
        <f>K109*'Tier 1 Coefficients'!C$43</f>
        <v>7997.1218741372822</v>
      </c>
      <c r="O109" s="46">
        <f>I109*'Tier 2 FC'!D$27</f>
        <v>30096695.225247834</v>
      </c>
      <c r="P109" s="46">
        <f t="shared" si="5"/>
        <v>30096.695225247833</v>
      </c>
      <c r="Q109" s="46">
        <f>P109*'Tier 1 Coefficients'!D$3</f>
        <v>95376.427168810391</v>
      </c>
      <c r="R109" s="46">
        <f>$I109*'T2 LPG'!C6</f>
        <v>5589.3862561174546</v>
      </c>
      <c r="S109" s="121">
        <f>$I109*'T2 LPG'!D6</f>
        <v>171121.20999498057</v>
      </c>
      <c r="T109" s="46">
        <f>44.011*(P109/(12.011+1.008*'Tier 3 CO2 Tables'!B$3+16*'Tier 3 CO2 Tables'!C$3))</f>
        <v>95390.832526162005</v>
      </c>
      <c r="U109" s="46">
        <f>I109*'Tier 3 CO2 Tables'!H$7/10000</f>
        <v>62.343154395156226</v>
      </c>
      <c r="V109" s="46">
        <f>44.011*(U109/(12.011+1.008*'Tier 3 CO2 Tables'!B$6+16*'Tier 3 CO2 Tables'!C$6))</f>
        <v>194.48926738173222</v>
      </c>
      <c r="W109" s="46">
        <f>I109*'T3 Methane'!D$21</f>
        <v>859905.57786422386</v>
      </c>
      <c r="X109" s="46" cm="1">
        <f t="array" ref="X109">_xlfn.IFS(E109='Euro Age Table'!C$5,'Euro Age Table'!G$5,E109='Euro Age Table'!C$6,'Euro Age Table'!G$6,E109='Euro Age Table'!C$7,'Euro Age Table'!G$7,E109='Euro Age Table'!C$8,'Euro Age Table'!G$8,E109='Euro Age Table'!C$9,'Euro Age Table'!G$9,E109='Euro Age Table'!C$10,'Euro Age Table'!G$10,E109='Euro Age Table'!C$11,'Euro Age Table'!G$11)</f>
        <v>13</v>
      </c>
      <c r="Y109" s="46">
        <f>X109*'Eilat Car Data'!F$16</f>
        <v>356235.51912568306</v>
      </c>
      <c r="Z109" s="46">
        <f>('T3 N2O LCV-Petrol'!D6*Y109+'T3 N2O LCV-Petrol'!E6)*'T3 N2O LCV-Petrol'!C6</f>
        <v>1.3908560832786885</v>
      </c>
      <c r="AA109" s="124">
        <f t="shared" si="6"/>
        <v>598002.45200886589</v>
      </c>
    </row>
    <row r="110" spans="1:27" ht="12.5">
      <c r="A110" s="49" t="s">
        <v>29</v>
      </c>
      <c r="B110" s="49" t="s">
        <v>20</v>
      </c>
      <c r="C110" s="49" t="s">
        <v>68</v>
      </c>
      <c r="D110" s="49" t="s">
        <v>74</v>
      </c>
      <c r="E110" s="50" t="s">
        <v>59</v>
      </c>
      <c r="F110" s="97">
        <v>1.4917179068891956E-2</v>
      </c>
      <c r="G110" s="99">
        <f t="shared" si="7"/>
        <v>16.379062617643367</v>
      </c>
      <c r="H110" s="46"/>
      <c r="I110" s="46">
        <f>G110*'Eilat Car Data'!F$16</f>
        <v>448831.06726063491</v>
      </c>
      <c r="J110" s="46">
        <f>I110*'Tier 1 Coefficients'!I$8</f>
        <v>44883106.72606349</v>
      </c>
      <c r="K110" s="46">
        <f t="shared" si="4"/>
        <v>44883.106726063488</v>
      </c>
      <c r="L110" s="46">
        <f>K110*'Tier 1 Coefficients'!D$3</f>
        <v>142234.56521489521</v>
      </c>
      <c r="M110" s="46">
        <f>K110*'Tier 1 Coefficients'!C$19</f>
        <v>272440.45782720536</v>
      </c>
      <c r="N110" s="46">
        <f>K110*'Tier 1 Coefficients'!C$43</f>
        <v>8348.2578510478088</v>
      </c>
      <c r="O110" s="46">
        <f>I110*'Tier 2 FC'!D$27</f>
        <v>31418174.708244443</v>
      </c>
      <c r="P110" s="46">
        <f t="shared" si="5"/>
        <v>31418.174708244442</v>
      </c>
      <c r="Q110" s="46">
        <f>P110*'Tier 1 Coefficients'!D$3</f>
        <v>99564.195650426642</v>
      </c>
      <c r="R110" s="46">
        <f>$I110*'T2 LPG'!C7</f>
        <v>583.48038743882535</v>
      </c>
      <c r="S110" s="121">
        <f>$I110*'T2 LPG'!D7</f>
        <v>178634.76476973269</v>
      </c>
      <c r="T110" s="46">
        <f>44.011*(P110/(12.011+1.008*'Tier 3 CO2 Tables'!B$3+16*'Tier 3 CO2 Tables'!C$3))</f>
        <v>99579.233515236061</v>
      </c>
      <c r="U110" s="46">
        <f>I110*'Tier 3 CO2 Tables'!H$7/10000</f>
        <v>65.080504752792052</v>
      </c>
      <c r="V110" s="46">
        <f>44.011*(U110/(12.011+1.008*'Tier 3 CO2 Tables'!B$6+16*'Tier 3 CO2 Tables'!C$6))</f>
        <v>203.02886199783458</v>
      </c>
      <c r="W110" s="46">
        <f>I110*'T3 Methane'!D$21</f>
        <v>897662.13452126982</v>
      </c>
      <c r="X110" s="46" cm="1">
        <f t="array" ref="X110">_xlfn.IFS(E110='Euro Age Table'!C$5,'Euro Age Table'!G$5,E110='Euro Age Table'!C$6,'Euro Age Table'!G$6,E110='Euro Age Table'!C$7,'Euro Age Table'!G$7,E110='Euro Age Table'!C$8,'Euro Age Table'!G$8,E110='Euro Age Table'!C$9,'Euro Age Table'!G$9,E110='Euro Age Table'!C$10,'Euro Age Table'!G$10,E110='Euro Age Table'!C$11,'Euro Age Table'!G$11)</f>
        <v>9</v>
      </c>
      <c r="Y110" s="46">
        <f>X110*'Eilat Car Data'!F$16</f>
        <v>246624.59016393442</v>
      </c>
      <c r="Z110" s="46">
        <f>('T3 N2O LCV-Petrol'!D7*Y110+'T3 N2O LCV-Petrol'!E7)*'T3 N2O LCV-Petrol'!C7</f>
        <v>2.5298569298360651</v>
      </c>
      <c r="AA110" s="124">
        <f t="shared" si="6"/>
        <v>1135478.3858350343</v>
      </c>
    </row>
    <row r="111" spans="1:27" ht="12.5">
      <c r="A111" s="49" t="s">
        <v>29</v>
      </c>
      <c r="B111" s="51" t="s">
        <v>20</v>
      </c>
      <c r="C111" s="49" t="s">
        <v>68</v>
      </c>
      <c r="D111" s="51" t="s">
        <v>74</v>
      </c>
      <c r="E111" s="51" t="s">
        <v>60</v>
      </c>
      <c r="F111" s="97">
        <v>1.7724934119713891E-3</v>
      </c>
      <c r="G111" s="99">
        <f t="shared" si="7"/>
        <v>1.9461977663445853</v>
      </c>
      <c r="H111" s="46"/>
      <c r="I111" s="46">
        <f>G111*'Eilat Car Data'!F$16</f>
        <v>53331.136278077553</v>
      </c>
      <c r="J111" s="46">
        <f>I111*'Tier 1 Coefficients'!I$8</f>
        <v>5333113.627807755</v>
      </c>
      <c r="K111" s="46">
        <f t="shared" si="4"/>
        <v>5333.1136278077547</v>
      </c>
      <c r="L111" s="46">
        <f>K111*'Tier 1 Coefficients'!D$3</f>
        <v>16900.637086522776</v>
      </c>
      <c r="M111" s="46">
        <f>K111*'Tier 1 Coefficients'!C$19</f>
        <v>32371.999720793072</v>
      </c>
      <c r="N111" s="46">
        <f>K111*'Tier 1 Coefficients'!C$43</f>
        <v>991.95913477224235</v>
      </c>
      <c r="O111" s="46">
        <f>I111*'Tier 2 FC'!D$27</f>
        <v>3733179.5394654288</v>
      </c>
      <c r="P111" s="46">
        <f t="shared" si="5"/>
        <v>3733.1795394654287</v>
      </c>
      <c r="Q111" s="46">
        <f>P111*'Tier 1 Coefficients'!D$3</f>
        <v>11830.445960565943</v>
      </c>
      <c r="R111" s="46">
        <f>$I111*'T2 LPG'!C8</f>
        <v>69.330477161500809</v>
      </c>
      <c r="S111" s="121">
        <f>$I111*'T2 LPG'!D8</f>
        <v>21225.792238674869</v>
      </c>
      <c r="T111" s="46">
        <f>44.011*(P111/(12.011+1.008*'Tier 3 CO2 Tables'!B$3+16*'Tier 3 CO2 Tables'!C$3))</f>
        <v>11832.232794134256</v>
      </c>
      <c r="U111" s="46">
        <f>I111*'Tier 3 CO2 Tables'!H$8/10000</f>
        <v>6.8263854435939271</v>
      </c>
      <c r="V111" s="46">
        <f>44.011*(U111/(12.011+1.008*'Tier 3 CO2 Tables'!B$6+16*'Tier 3 CO2 Tables'!C$6))</f>
        <v>21.295982159880204</v>
      </c>
      <c r="W111" s="46">
        <f>I111*'T3 Methane'!D$21</f>
        <v>106662.27255615511</v>
      </c>
      <c r="X111" s="46" cm="1">
        <f t="array" ref="X111">_xlfn.IFS(E111='Euro Age Table'!C$5,'Euro Age Table'!G$5,E111='Euro Age Table'!C$6,'Euro Age Table'!G$6,E111='Euro Age Table'!C$7,'Euro Age Table'!G$7,E111='Euro Age Table'!C$8,'Euro Age Table'!G$8,E111='Euro Age Table'!C$9,'Euro Age Table'!G$9,E111='Euro Age Table'!C$10,'Euro Age Table'!G$10,E111='Euro Age Table'!C$11,'Euro Age Table'!G$11)</f>
        <v>3</v>
      </c>
      <c r="Y111" s="46">
        <f>X111*'Eilat Car Data'!F$16</f>
        <v>82208.196721311484</v>
      </c>
      <c r="Z111" s="46">
        <f>('T3 N2O LCV-Petrol'!D8*Y111+'T3 N2O LCV-Petrol'!E8)*'T3 N2O LCV-Petrol'!C8</f>
        <v>2.2208856432786885</v>
      </c>
      <c r="AA111" s="124">
        <f t="shared" si="6"/>
        <v>118442.35489972167</v>
      </c>
    </row>
    <row r="112" spans="1:27" ht="12.5">
      <c r="A112" s="49" t="s">
        <v>29</v>
      </c>
      <c r="B112" s="49" t="s">
        <v>22</v>
      </c>
      <c r="C112" s="49" t="s">
        <v>68</v>
      </c>
      <c r="D112" s="49" t="s">
        <v>71</v>
      </c>
      <c r="E112" s="50" t="s">
        <v>55</v>
      </c>
      <c r="F112" s="97">
        <v>1.490149328648513E-4</v>
      </c>
      <c r="G112" s="99">
        <f t="shared" si="7"/>
        <v>0.16361839628560673</v>
      </c>
      <c r="H112" s="46"/>
      <c r="I112" s="46">
        <f>G112*'Eilat Car Data'!F$16</f>
        <v>4483.5911030242187</v>
      </c>
      <c r="J112" s="46">
        <f>I112*'Tier 1 Coefficients'!I$9</f>
        <v>358687.28824193752</v>
      </c>
      <c r="K112" s="46">
        <f t="shared" si="4"/>
        <v>358.68728824193755</v>
      </c>
      <c r="L112" s="46">
        <f>K112*'Tier 1 Coefficients'!D$4</f>
        <v>1136.6800164387</v>
      </c>
      <c r="M112" s="46">
        <f>K112*'Tier 1 Coefficients'!C$20</f>
        <v>2299.18551763082</v>
      </c>
      <c r="N112" s="46">
        <f>K112*'Tier 1 Coefficients'!C$44</f>
        <v>20.086488141548504</v>
      </c>
      <c r="O112" s="46">
        <f>I112*'Tier 2 FC'!D$29</f>
        <v>358687.28824193752</v>
      </c>
      <c r="P112" s="46">
        <f t="shared" si="5"/>
        <v>358.68728824193755</v>
      </c>
      <c r="Q112" s="46">
        <f>P112*'Tier 1 Coefficients'!D$4</f>
        <v>1136.6800164387</v>
      </c>
      <c r="R112" s="46">
        <f>$I112*'T2 LPG'!C12</f>
        <v>13.450773309072657</v>
      </c>
      <c r="S112" s="121">
        <f>$I112*'T2 LPG'!D12</f>
        <v>2672.2202974024344</v>
      </c>
      <c r="T112" s="46">
        <f>44.011*(P112/(12.011+1.008*'Tier 3 CO2 Tables'!B$4+16*'Tier 3 CO2 Tables'!C$4))</f>
        <v>1136.8516970343912</v>
      </c>
      <c r="U112" s="46">
        <f>I112*'Tier 3 CO2 Tables'!H$9/10000</f>
        <v>0.66805507435060851</v>
      </c>
      <c r="V112" s="46">
        <f>44.011*(U112/(12.011+1.008*'Tier 3 CO2 Tables'!B$6+16*'Tier 3 CO2 Tables'!C$6))</f>
        <v>2.0841027894987847</v>
      </c>
      <c r="W112" s="46">
        <f>I112*'T3 Methane'!D23</f>
        <v>49319.502133266404</v>
      </c>
      <c r="X112" s="46" cm="1">
        <f t="array" ref="X112">_xlfn.IFS(E112='Euro Age Table'!C$5,'Euro Age Table'!G$5,E112='Euro Age Table'!C$6,'Euro Age Table'!G$6,E112='Euro Age Table'!C$7,'Euro Age Table'!G$7,E112='Euro Age Table'!C$8,'Euro Age Table'!G$8,E112='Euro Age Table'!C$9,'Euro Age Table'!G$9,E112='Euro Age Table'!C$10,'Euro Age Table'!G$10,E112='Euro Age Table'!C$11,'Euro Age Table'!G$11)</f>
        <v>23</v>
      </c>
      <c r="Y112" s="46">
        <f>X112*'Eilat Car Data'!F$16</f>
        <v>630262.84153005469</v>
      </c>
      <c r="Z112" s="121">
        <f>'T3 N2O PC-Diesel LPG'!B4</f>
        <v>2</v>
      </c>
      <c r="AA112" s="124">
        <f t="shared" si="6"/>
        <v>8967.1822060484374</v>
      </c>
    </row>
    <row r="113" spans="1:27" ht="12.5">
      <c r="A113" s="49" t="s">
        <v>29</v>
      </c>
      <c r="B113" s="49" t="s">
        <v>22</v>
      </c>
      <c r="C113" s="49" t="s">
        <v>68</v>
      </c>
      <c r="D113" s="49" t="s">
        <v>71</v>
      </c>
      <c r="E113" s="50" t="s">
        <v>56</v>
      </c>
      <c r="F113" s="97">
        <v>5.0978792822185966E-4</v>
      </c>
      <c r="G113" s="99">
        <f t="shared" si="7"/>
        <v>0.55974714518760194</v>
      </c>
      <c r="H113" s="46"/>
      <c r="I113" s="46">
        <f>G113*'Eilat Car Data'!F$16</f>
        <v>15338.601141924959</v>
      </c>
      <c r="J113" s="46">
        <f>I113*'Tier 1 Coefficients'!I$9</f>
        <v>1227088.0913539967</v>
      </c>
      <c r="K113" s="46">
        <f t="shared" si="4"/>
        <v>1227.0880913539966</v>
      </c>
      <c r="L113" s="46">
        <f>K113*'Tier 1 Coefficients'!D$4</f>
        <v>3888.6421615008153</v>
      </c>
      <c r="M113" s="46">
        <f>K113*'Tier 1 Coefficients'!C$20</f>
        <v>7865.6346655791185</v>
      </c>
      <c r="N113" s="46">
        <f>K113*'Tier 1 Coefficients'!C$44</f>
        <v>68.716933115823807</v>
      </c>
      <c r="O113" s="46">
        <f>I113*'Tier 2 FC'!D$29</f>
        <v>1227088.0913539967</v>
      </c>
      <c r="P113" s="46">
        <f t="shared" si="5"/>
        <v>1227.0880913539966</v>
      </c>
      <c r="Q113" s="46">
        <f>P113*'Tier 1 Coefficients'!D$4</f>
        <v>3888.6421615008153</v>
      </c>
      <c r="R113" s="46">
        <f>$I113*'T2 LPG'!C13</f>
        <v>92.031606851549753</v>
      </c>
      <c r="S113" s="121">
        <f>$I113*'T2 LPG'!D13</f>
        <v>8129.4586052202285</v>
      </c>
      <c r="T113" s="46">
        <f>44.011*(P113/(12.011+1.008*'Tier 3 CO2 Tables'!B$4+16*'Tier 3 CO2 Tables'!C$4))</f>
        <v>3889.2294898544956</v>
      </c>
      <c r="U113" s="46">
        <f>I113*'Tier 3 CO2 Tables'!H$9/10000</f>
        <v>2.2854515701468192</v>
      </c>
      <c r="V113" s="46">
        <f>44.011*(U113/(12.011+1.008*'Tier 3 CO2 Tables'!B$6+16*'Tier 3 CO2 Tables'!C$6))</f>
        <v>7.1298253324958445</v>
      </c>
      <c r="W113" s="46">
        <f>I113*'T3 Methane'!D24</f>
        <v>107370.20799347472</v>
      </c>
      <c r="X113" s="46" cm="1">
        <f t="array" ref="X113">_xlfn.IFS(E113='Euro Age Table'!C$5,'Euro Age Table'!G$5,E113='Euro Age Table'!C$6,'Euro Age Table'!G$6,E113='Euro Age Table'!C$7,'Euro Age Table'!G$7,E113='Euro Age Table'!C$8,'Euro Age Table'!G$8,E113='Euro Age Table'!C$9,'Euro Age Table'!G$9,E113='Euro Age Table'!C$10,'Euro Age Table'!G$10,E113='Euro Age Table'!C$11,'Euro Age Table'!G$11)</f>
        <v>18</v>
      </c>
      <c r="Y113" s="46">
        <f>X113*'Eilat Car Data'!F$16</f>
        <v>493249.18032786885</v>
      </c>
      <c r="Z113" s="121">
        <f>'T3 N2O PC-Diesel LPG'!B5</f>
        <v>4</v>
      </c>
      <c r="AA113" s="124">
        <f t="shared" si="6"/>
        <v>61354.404567699836</v>
      </c>
    </row>
    <row r="114" spans="1:27" ht="12.5">
      <c r="A114" s="49" t="s">
        <v>29</v>
      </c>
      <c r="B114" s="49" t="s">
        <v>22</v>
      </c>
      <c r="C114" s="49" t="s">
        <v>68</v>
      </c>
      <c r="D114" s="49" t="s">
        <v>72</v>
      </c>
      <c r="E114" s="50" t="s">
        <v>57</v>
      </c>
      <c r="F114" s="97">
        <v>3.529301041535952E-4</v>
      </c>
      <c r="G114" s="99">
        <f t="shared" si="7"/>
        <v>0.38751725436064755</v>
      </c>
      <c r="H114" s="46"/>
      <c r="I114" s="46">
        <f>G114*'Eilat Car Data'!F$16</f>
        <v>10619.031559794204</v>
      </c>
      <c r="J114" s="46">
        <f>I114*'Tier 1 Coefficients'!I$9</f>
        <v>849522.52478353633</v>
      </c>
      <c r="K114" s="46">
        <f t="shared" si="4"/>
        <v>849.52252478353637</v>
      </c>
      <c r="L114" s="46">
        <f>K114*'Tier 1 Coefficients'!D$4</f>
        <v>2692.1368810390268</v>
      </c>
      <c r="M114" s="46">
        <f>K114*'Tier 1 Coefficients'!C$20</f>
        <v>5445.4393838624683</v>
      </c>
      <c r="N114" s="46">
        <f>K114*'Tier 1 Coefficients'!C$44</f>
        <v>47.573261387878034</v>
      </c>
      <c r="O114" s="46">
        <f>I114*'Tier 2 FC'!D$29</f>
        <v>849522.52478353633</v>
      </c>
      <c r="P114" s="46">
        <f t="shared" si="5"/>
        <v>849.52252478353637</v>
      </c>
      <c r="Q114" s="46">
        <f>P114*'Tier 1 Coefficients'!D$4</f>
        <v>2692.1368810390268</v>
      </c>
      <c r="R114" s="46">
        <f>$I114*'T2 LPG'!C14</f>
        <v>95.571284038147837</v>
      </c>
      <c r="S114" s="121">
        <f>$I114*'T2 LPG'!D14</f>
        <v>4927.2306437445113</v>
      </c>
      <c r="T114" s="46">
        <f>44.011*(P114/(12.011+1.008*'Tier 3 CO2 Tables'!B$4+16*'Tier 3 CO2 Tables'!C$4))</f>
        <v>2692.5434929761905</v>
      </c>
      <c r="U114" s="46">
        <f>I114*'Tier 3 CO2 Tables'!H$9/10000</f>
        <v>1.5822357024093363</v>
      </c>
      <c r="V114" s="46">
        <f>44.011*(U114/(12.011+1.008*'Tier 3 CO2 Tables'!B$6+16*'Tier 3 CO2 Tables'!C$6))</f>
        <v>4.9360329224971222</v>
      </c>
      <c r="W114" s="46">
        <f>I114*'T3 Methane'!D25</f>
        <v>31857.094679382615</v>
      </c>
      <c r="X114" s="46" cm="1">
        <f t="array" ref="X114">_xlfn.IFS(E114='Euro Age Table'!C$5,'Euro Age Table'!G$5,E114='Euro Age Table'!C$6,'Euro Age Table'!G$6,E114='Euro Age Table'!C$7,'Euro Age Table'!G$7,E114='Euro Age Table'!C$8,'Euro Age Table'!G$8,E114='Euro Age Table'!C$9,'Euro Age Table'!G$9,E114='Euro Age Table'!C$10,'Euro Age Table'!G$10,E114='Euro Age Table'!C$11,'Euro Age Table'!G$11)</f>
        <v>16</v>
      </c>
      <c r="Y114" s="46">
        <f>X114*'Eilat Car Data'!F$16</f>
        <v>438443.71584699454</v>
      </c>
      <c r="Z114" s="121">
        <f>'T3 N2O PC-Diesel LPG'!B6</f>
        <v>9</v>
      </c>
      <c r="AA114" s="124">
        <f t="shared" si="6"/>
        <v>95571.284038147845</v>
      </c>
    </row>
    <row r="115" spans="1:27" ht="12.5">
      <c r="A115" s="49" t="s">
        <v>29</v>
      </c>
      <c r="B115" s="49" t="s">
        <v>22</v>
      </c>
      <c r="C115" s="49" t="s">
        <v>68</v>
      </c>
      <c r="D115" s="49" t="s">
        <v>72</v>
      </c>
      <c r="E115" s="50" t="s">
        <v>58</v>
      </c>
      <c r="F115" s="97">
        <v>9.4114694440958717E-5</v>
      </c>
      <c r="G115" s="99">
        <f t="shared" si="7"/>
        <v>0.10333793449617266</v>
      </c>
      <c r="H115" s="46"/>
      <c r="I115" s="46">
        <f>G115*'Eilat Car Data'!F$16</f>
        <v>2831.7417492784539</v>
      </c>
      <c r="J115" s="46">
        <f>I115*'Tier 1 Coefficients'!I$9</f>
        <v>226539.3399422763</v>
      </c>
      <c r="K115" s="46">
        <f t="shared" si="4"/>
        <v>226.53933994227631</v>
      </c>
      <c r="L115" s="46">
        <f>K115*'Tier 1 Coefficients'!D$4</f>
        <v>717.90316827707363</v>
      </c>
      <c r="M115" s="46">
        <f>K115*'Tier 1 Coefficients'!C$20</f>
        <v>1452.1171690299911</v>
      </c>
      <c r="N115" s="46">
        <f>K115*'Tier 1 Coefficients'!C$44</f>
        <v>12.686203036767473</v>
      </c>
      <c r="O115" s="46">
        <f>I115*'Tier 2 FC'!D$29</f>
        <v>226539.3399422763</v>
      </c>
      <c r="P115" s="46">
        <f t="shared" si="5"/>
        <v>226.53933994227631</v>
      </c>
      <c r="Q115" s="46">
        <f>P115*'Tier 1 Coefficients'!D$4</f>
        <v>717.90316827707363</v>
      </c>
      <c r="R115" s="46">
        <f>$I115*'T2 LPG'!C15</f>
        <v>25.485675743506082</v>
      </c>
      <c r="S115" s="121">
        <f>$I115*'T2 LPG'!D15</f>
        <v>1127.0332162128248</v>
      </c>
      <c r="T115" s="46">
        <f>44.011*(P115/(12.011+1.008*'Tier 3 CO2 Tables'!B$4+16*'Tier 3 CO2 Tables'!C$4))</f>
        <v>718.01159812698393</v>
      </c>
      <c r="U115" s="46">
        <f>I115*'Tier 3 CO2 Tables'!H$9/10000</f>
        <v>0.42192952064248967</v>
      </c>
      <c r="V115" s="46">
        <f>44.011*(U115/(12.011+1.008*'Tier 3 CO2 Tables'!B$6+16*'Tier 3 CO2 Tables'!C$6))</f>
        <v>1.3162754459992325</v>
      </c>
      <c r="W115" s="46">
        <f>I115*'T3 Methane'!D26</f>
        <v>3114.9159242062997</v>
      </c>
      <c r="X115" s="46" cm="1">
        <f t="array" ref="X115">_xlfn.IFS(E115='Euro Age Table'!C$5,'Euro Age Table'!G$5,E115='Euro Age Table'!C$6,'Euro Age Table'!G$6,E115='Euro Age Table'!C$7,'Euro Age Table'!G$7,E115='Euro Age Table'!C$8,'Euro Age Table'!G$8,E115='Euro Age Table'!C$9,'Euro Age Table'!G$9,E115='Euro Age Table'!C$10,'Euro Age Table'!G$10,E115='Euro Age Table'!C$11,'Euro Age Table'!G$11)</f>
        <v>13</v>
      </c>
      <c r="Y115" s="46">
        <f>X115*'Eilat Car Data'!F$16</f>
        <v>356235.51912568306</v>
      </c>
      <c r="Z115" s="121">
        <f>'T3 N2O PC-Diesel LPG'!B6</f>
        <v>9</v>
      </c>
      <c r="AA115" s="124">
        <f t="shared" si="6"/>
        <v>25485.675743506086</v>
      </c>
    </row>
    <row r="116" spans="1:27" ht="12.5">
      <c r="A116" s="49" t="s">
        <v>29</v>
      </c>
      <c r="B116" s="49" t="s">
        <v>22</v>
      </c>
      <c r="C116" s="49" t="s">
        <v>68</v>
      </c>
      <c r="D116" s="49" t="s">
        <v>72</v>
      </c>
      <c r="E116" s="50" t="s">
        <v>59</v>
      </c>
      <c r="F116" s="97">
        <v>1.3332915045802485E-4</v>
      </c>
      <c r="G116" s="99">
        <f t="shared" si="7"/>
        <v>0.14639540720291128</v>
      </c>
      <c r="H116" s="46"/>
      <c r="I116" s="46">
        <f>G116*'Eilat Car Data'!F$16</f>
        <v>4011.634144811143</v>
      </c>
      <c r="J116" s="46">
        <f>I116*'Tier 1 Coefficients'!I$9</f>
        <v>320930.73158489144</v>
      </c>
      <c r="K116" s="46">
        <f t="shared" si="4"/>
        <v>320.93073158489142</v>
      </c>
      <c r="L116" s="46">
        <f>K116*'Tier 1 Coefficients'!D$4</f>
        <v>1017.0294883925209</v>
      </c>
      <c r="M116" s="46">
        <f>K116*'Tier 1 Coefficients'!C$20</f>
        <v>2057.1659894591539</v>
      </c>
      <c r="N116" s="46">
        <f>K116*'Tier 1 Coefficients'!C$44</f>
        <v>17.97212096875392</v>
      </c>
      <c r="O116" s="46">
        <f>I116*'Tier 2 FC'!D$29</f>
        <v>320930.73158489144</v>
      </c>
      <c r="P116" s="46">
        <f t="shared" si="5"/>
        <v>320.93073158489142</v>
      </c>
      <c r="Q116" s="46">
        <f>P116*'Tier 1 Coefficients'!D$4</f>
        <v>1017.0294883925209</v>
      </c>
      <c r="R116" s="46">
        <f>$I116*'T2 LPG'!C16</f>
        <v>16.046536579244574</v>
      </c>
      <c r="S116" s="121">
        <f>$I116*'T2 LPG'!D16</f>
        <v>1596.630389634835</v>
      </c>
      <c r="T116" s="46">
        <f>44.011*(P116/(12.011+1.008*'Tier 3 CO2 Tables'!B$4+16*'Tier 3 CO2 Tables'!C$4))</f>
        <v>1017.1830973465604</v>
      </c>
      <c r="U116" s="46">
        <f>I116*'Tier 3 CO2 Tables'!H$9/10000</f>
        <v>0.59773348757686029</v>
      </c>
      <c r="V116" s="46">
        <f>44.011*(U116/(12.011+1.008*'Tier 3 CO2 Tables'!B$6+16*'Tier 3 CO2 Tables'!C$6))</f>
        <v>1.8647235484989129</v>
      </c>
      <c r="W116" s="46">
        <f>I116*'T3 Methane'!D27</f>
        <v>30.08725608608357</v>
      </c>
      <c r="X116" s="46" cm="1">
        <f t="array" ref="X116">_xlfn.IFS(E116='Euro Age Table'!C$5,'Euro Age Table'!G$5,E116='Euro Age Table'!C$6,'Euro Age Table'!G$6,E116='Euro Age Table'!C$7,'Euro Age Table'!G$7,E116='Euro Age Table'!C$8,'Euro Age Table'!G$8,E116='Euro Age Table'!C$9,'Euro Age Table'!G$9,E116='Euro Age Table'!C$10,'Euro Age Table'!G$10,E116='Euro Age Table'!C$11,'Euro Age Table'!G$11)</f>
        <v>9</v>
      </c>
      <c r="Y116" s="46">
        <f>X116*'Eilat Car Data'!F$16</f>
        <v>246624.59016393442</v>
      </c>
      <c r="Z116" s="121">
        <f>'T3 N2O PC-Diesel LPG'!B6</f>
        <v>9</v>
      </c>
      <c r="AA116" s="124">
        <f t="shared" si="6"/>
        <v>36104.707303300289</v>
      </c>
    </row>
    <row r="117" spans="1:27" ht="12.5">
      <c r="A117" s="49" t="s">
        <v>29</v>
      </c>
      <c r="B117" s="49" t="s">
        <v>22</v>
      </c>
      <c r="C117" s="49" t="s">
        <v>68</v>
      </c>
      <c r="D117" s="51" t="s">
        <v>72</v>
      </c>
      <c r="E117" s="51" t="s">
        <v>60</v>
      </c>
      <c r="F117" s="97">
        <v>7.842891203413227E-6</v>
      </c>
      <c r="G117" s="99">
        <f t="shared" si="7"/>
        <v>8.6114945413477226E-3</v>
      </c>
      <c r="H117" s="46"/>
      <c r="I117" s="46">
        <f>G117*'Eilat Car Data'!F$16</f>
        <v>235.97847910653783</v>
      </c>
      <c r="J117" s="46">
        <f>I117*'Tier 1 Coefficients'!I$9</f>
        <v>18878.278328523025</v>
      </c>
      <c r="K117" s="46">
        <f t="shared" si="4"/>
        <v>18.878278328523024</v>
      </c>
      <c r="L117" s="46">
        <f>K117*'Tier 1 Coefficients'!D$4</f>
        <v>59.82526402308946</v>
      </c>
      <c r="M117" s="46">
        <f>K117*'Tier 1 Coefficients'!C$20</f>
        <v>121.00976408583259</v>
      </c>
      <c r="N117" s="46">
        <f>K117*'Tier 1 Coefficients'!C$44</f>
        <v>1.0571835863972894</v>
      </c>
      <c r="O117" s="46">
        <f>I117*'Tier 2 FC'!D$29</f>
        <v>18878.278328523025</v>
      </c>
      <c r="P117" s="46">
        <f t="shared" si="5"/>
        <v>18.878278328523024</v>
      </c>
      <c r="Q117" s="46">
        <f>P117*'Tier 1 Coefficients'!D$4</f>
        <v>59.82526402308946</v>
      </c>
      <c r="R117" s="46">
        <f>$I117*'T2 LPG'!C17</f>
        <v>0.9439139164261513</v>
      </c>
      <c r="S117" s="121">
        <f>$I117*'T2 LPG'!D17</f>
        <v>93.919434684402063</v>
      </c>
      <c r="T117" s="46">
        <f>44.011*(P117/(12.011+1.008*'Tier 3 CO2 Tables'!B$4+16*'Tier 3 CO2 Tables'!C$4))</f>
        <v>59.834299843915325</v>
      </c>
      <c r="U117" s="46">
        <f>I117*'Tier 3 CO2 Tables'!H$10/10000</f>
        <v>3.0205245325636843E-2</v>
      </c>
      <c r="V117" s="46">
        <f>44.011*(U117/(12.011+1.008*'Tier 3 CO2 Tables'!B$6+16*'Tier 3 CO2 Tables'!C$6))</f>
        <v>9.4230009556992039E-2</v>
      </c>
      <c r="W117" s="46">
        <f>I117*'T3 Methane'!D27</f>
        <v>1.7698385932990337</v>
      </c>
      <c r="X117" s="46" cm="1">
        <f t="array" ref="X117">_xlfn.IFS(E117='Euro Age Table'!C$5,'Euro Age Table'!G$5,E117='Euro Age Table'!C$6,'Euro Age Table'!G$6,E117='Euro Age Table'!C$7,'Euro Age Table'!G$7,E117='Euro Age Table'!C$8,'Euro Age Table'!G$8,E117='Euro Age Table'!C$9,'Euro Age Table'!G$9,E117='Euro Age Table'!C$10,'Euro Age Table'!G$10,E117='Euro Age Table'!C$11,'Euro Age Table'!G$11)</f>
        <v>3</v>
      </c>
      <c r="Y117" s="46">
        <f>X117*'Eilat Car Data'!F$16</f>
        <v>82208.196721311484</v>
      </c>
      <c r="Z117" s="121">
        <f>'T3 N2O PC-Diesel LPG'!B7</f>
        <v>11</v>
      </c>
      <c r="AA117" s="124">
        <f t="shared" si="6"/>
        <v>2595.7632701719162</v>
      </c>
    </row>
    <row r="118" spans="1:27" ht="12.5">
      <c r="A118" s="49" t="s">
        <v>29</v>
      </c>
      <c r="B118" s="49" t="s">
        <v>22</v>
      </c>
      <c r="C118" s="49" t="s">
        <v>68</v>
      </c>
      <c r="D118" s="49" t="s">
        <v>73</v>
      </c>
      <c r="E118" s="50" t="s">
        <v>54</v>
      </c>
      <c r="F118" s="97">
        <v>2.948927092483373E-3</v>
      </c>
      <c r="G118" s="99">
        <f t="shared" si="7"/>
        <v>3.2379219475467438</v>
      </c>
      <c r="H118" s="46"/>
      <c r="I118" s="46">
        <f>G118*'Eilat Car Data'!F$16</f>
        <v>88727.908144058238</v>
      </c>
      <c r="J118" s="46">
        <f>I118*'Tier 1 Coefficients'!I$9</f>
        <v>7098232.6515246592</v>
      </c>
      <c r="K118" s="46">
        <f t="shared" si="4"/>
        <v>7098.2326515246596</v>
      </c>
      <c r="L118" s="46">
        <f>K118*'Tier 1 Coefficients'!D$4</f>
        <v>22494.299272681645</v>
      </c>
      <c r="M118" s="46">
        <f>K118*'Tier 1 Coefficients'!C$20</f>
        <v>45499.671296273067</v>
      </c>
      <c r="N118" s="46">
        <f>K118*'Tier 1 Coefficients'!C$44</f>
        <v>397.50102848538097</v>
      </c>
      <c r="O118" s="46">
        <f>I118*'Tier 2 FC'!D$28</f>
        <v>7896783.8248211835</v>
      </c>
      <c r="P118" s="46">
        <f t="shared" si="5"/>
        <v>7896.7838248211838</v>
      </c>
      <c r="Q118" s="46">
        <f>P118*'Tier 1 Coefficients'!D$4</f>
        <v>25024.907940858331</v>
      </c>
      <c r="R118" s="46">
        <f>$I118*'T2 LPG'!C11</f>
        <v>0</v>
      </c>
      <c r="S118" s="121">
        <f>$I118*'T2 LPG'!D11</f>
        <v>58826.603099510612</v>
      </c>
      <c r="T118" s="46">
        <f>44.011*(P118/(12.011+1.008*'Tier 3 CO2 Tables'!B$4+16*'Tier 3 CO2 Tables'!C$4))</f>
        <v>25028.68762470979</v>
      </c>
      <c r="U118" s="46">
        <f>I118*'Tier 3 CO2 Tables'!H$9/10000</f>
        <v>13.220458313464675</v>
      </c>
      <c r="V118" s="46">
        <f>44.011*(U118/(12.011+1.008*'Tier 3 CO2 Tables'!B$6+16*'Tier 3 CO2 Tables'!C$6))</f>
        <v>41.243297307975951</v>
      </c>
      <c r="W118" s="46">
        <f>I118*'T3 Methane'!D22</f>
        <v>2484381.4280336308</v>
      </c>
      <c r="X118" s="46" cm="1">
        <f t="array" ref="X118">_xlfn.IFS(E118='Euro Age Table'!C$5,'Euro Age Table'!G$5,E118='Euro Age Table'!C$6,'Euro Age Table'!G$6,E118='Euro Age Table'!C$7,'Euro Age Table'!G$7,E118='Euro Age Table'!C$8,'Euro Age Table'!G$8,E118='Euro Age Table'!C$9,'Euro Age Table'!G$9,E118='Euro Age Table'!C$10,'Euro Age Table'!G$10,E118='Euro Age Table'!C$11,'Euro Age Table'!G$11)</f>
        <v>27</v>
      </c>
      <c r="Y118" s="46">
        <f>X118*'Eilat Car Data'!F$16</f>
        <v>739873.7704918033</v>
      </c>
      <c r="Z118" s="46">
        <f>'T3 N2O PC-Diesel LPG'!B3</f>
        <v>0</v>
      </c>
      <c r="AA118" s="124">
        <f t="shared" si="6"/>
        <v>0</v>
      </c>
    </row>
    <row r="119" spans="1:27" ht="12.5">
      <c r="A119" s="49" t="s">
        <v>29</v>
      </c>
      <c r="B119" s="49" t="s">
        <v>22</v>
      </c>
      <c r="C119" s="49" t="s">
        <v>68</v>
      </c>
      <c r="D119" s="49" t="s">
        <v>73</v>
      </c>
      <c r="E119" s="50" t="s">
        <v>55</v>
      </c>
      <c r="F119" s="97">
        <v>3.9496800100389008E-2</v>
      </c>
      <c r="G119" s="99">
        <f t="shared" si="7"/>
        <v>43.367486510227131</v>
      </c>
      <c r="H119" s="46"/>
      <c r="I119" s="46">
        <f>G119*'Eilat Car Data'!F$16</f>
        <v>1188387.6207805246</v>
      </c>
      <c r="J119" s="46">
        <f>I119*'Tier 1 Coefficients'!I$9</f>
        <v>95071009.662441969</v>
      </c>
      <c r="K119" s="46">
        <f t="shared" si="4"/>
        <v>95071.009662441968</v>
      </c>
      <c r="L119" s="46">
        <f>K119*'Tier 1 Coefficients'!D$4</f>
        <v>301280.02962027863</v>
      </c>
      <c r="M119" s="46">
        <f>K119*'Tier 1 Coefficients'!C$20</f>
        <v>609405.17193625297</v>
      </c>
      <c r="N119" s="46">
        <f>K119*'Tier 1 Coefficients'!C$44</f>
        <v>5323.9765410967502</v>
      </c>
      <c r="O119" s="46">
        <f>I119*'Tier 2 FC'!D$29</f>
        <v>95071009.662441969</v>
      </c>
      <c r="P119" s="46">
        <f t="shared" si="5"/>
        <v>95071.009662441968</v>
      </c>
      <c r="Q119" s="46">
        <f>P119*'Tier 1 Coefficients'!D$4</f>
        <v>301280.02962027863</v>
      </c>
      <c r="R119" s="46">
        <f>$I119*'T2 LPG'!C12</f>
        <v>3565.1628623415736</v>
      </c>
      <c r="S119" s="121">
        <f>$I119*'T2 LPG'!D12</f>
        <v>708279.02198519267</v>
      </c>
      <c r="T119" s="46">
        <f>44.011*(P119/(12.011+1.008*'Tier 3 CO2 Tables'!B$4+16*'Tier 3 CO2 Tables'!C$4))</f>
        <v>301325.5340139576</v>
      </c>
      <c r="U119" s="46">
        <f>I119*'Tier 3 CO2 Tables'!H$9/10000</f>
        <v>177.06975549629814</v>
      </c>
      <c r="V119" s="46">
        <f>44.011*(U119/(12.011+1.008*'Tier 3 CO2 Tables'!B$6+16*'Tier 3 CO2 Tables'!C$6))</f>
        <v>552.39692883767782</v>
      </c>
      <c r="W119" s="46">
        <f>I119*'T3 Methane'!D23</f>
        <v>13072263.82858577</v>
      </c>
      <c r="X119" s="46" cm="1">
        <f t="array" ref="X119">_xlfn.IFS(E119='Euro Age Table'!C$5,'Euro Age Table'!G$5,E119='Euro Age Table'!C$6,'Euro Age Table'!G$6,E119='Euro Age Table'!C$7,'Euro Age Table'!G$7,E119='Euro Age Table'!C$8,'Euro Age Table'!G$8,E119='Euro Age Table'!C$9,'Euro Age Table'!G$9,E119='Euro Age Table'!C$10,'Euro Age Table'!G$10,E119='Euro Age Table'!C$11,'Euro Age Table'!G$11)</f>
        <v>23</v>
      </c>
      <c r="Y119" s="46">
        <f>X119*'Eilat Car Data'!F$16</f>
        <v>630262.84153005469</v>
      </c>
      <c r="Z119" s="46">
        <f>'T3 N2O PC-Diesel LPG'!B4</f>
        <v>2</v>
      </c>
      <c r="AA119" s="124">
        <f t="shared" si="6"/>
        <v>2376775.2415610491</v>
      </c>
    </row>
    <row r="120" spans="1:27" ht="12.5">
      <c r="A120" s="49" t="s">
        <v>29</v>
      </c>
      <c r="B120" s="49" t="s">
        <v>22</v>
      </c>
      <c r="C120" s="49" t="s">
        <v>68</v>
      </c>
      <c r="D120" s="49" t="s">
        <v>73</v>
      </c>
      <c r="E120" s="50" t="s">
        <v>56</v>
      </c>
      <c r="F120" s="97">
        <v>3.6053770862090599E-2</v>
      </c>
      <c r="G120" s="99">
        <f t="shared" si="7"/>
        <v>39.587040406575476</v>
      </c>
      <c r="H120" s="46"/>
      <c r="I120" s="46">
        <f>G120*'Eilat Car Data'!F$16</f>
        <v>1084793.0684527543</v>
      </c>
      <c r="J120" s="46">
        <f>I120*'Tier 1 Coefficients'!I$9</f>
        <v>86783445.47622034</v>
      </c>
      <c r="K120" s="46">
        <f t="shared" si="4"/>
        <v>86783.445476220339</v>
      </c>
      <c r="L120" s="46">
        <f>K120*'Tier 1 Coefficients'!D$4</f>
        <v>275016.73871414224</v>
      </c>
      <c r="M120" s="46">
        <f>K120*'Tier 1 Coefficients'!C$20</f>
        <v>556281.8855025724</v>
      </c>
      <c r="N120" s="46">
        <f>K120*'Tier 1 Coefficients'!C$44</f>
        <v>4859.872946668339</v>
      </c>
      <c r="O120" s="46">
        <f>I120*'Tier 2 FC'!D$29</f>
        <v>86783445.47622034</v>
      </c>
      <c r="P120" s="46">
        <f t="shared" si="5"/>
        <v>86783.445476220339</v>
      </c>
      <c r="Q120" s="46">
        <f>P120*'Tier 1 Coefficients'!D$4</f>
        <v>275016.73871414224</v>
      </c>
      <c r="R120" s="46">
        <f>$I120*'T2 LPG'!C13</f>
        <v>6508.7584107165258</v>
      </c>
      <c r="S120" s="121">
        <f>$I120*'T2 LPG'!D13</f>
        <v>574940.32627995976</v>
      </c>
      <c r="T120" s="46">
        <f>44.011*(P120/(12.011+1.008*'Tier 3 CO2 Tables'!B$4+16*'Tier 3 CO2 Tables'!C$4))</f>
        <v>275058.27638247871</v>
      </c>
      <c r="U120" s="46">
        <f>I120*'Tier 3 CO2 Tables'!H$9/10000</f>
        <v>161.63416719946039</v>
      </c>
      <c r="V120" s="46">
        <f>44.011*(U120/(12.011+1.008*'Tier 3 CO2 Tables'!B$6+16*'Tier 3 CO2 Tables'!C$6))</f>
        <v>504.2431854382059</v>
      </c>
      <c r="W120" s="46">
        <f>I120*'T3 Methane'!D24</f>
        <v>7593551.4791692803</v>
      </c>
      <c r="X120" s="46" cm="1">
        <f t="array" ref="X120">_xlfn.IFS(E120='Euro Age Table'!C$5,'Euro Age Table'!G$5,E120='Euro Age Table'!C$6,'Euro Age Table'!G$6,E120='Euro Age Table'!C$7,'Euro Age Table'!G$7,E120='Euro Age Table'!C$8,'Euro Age Table'!G$8,E120='Euro Age Table'!C$9,'Euro Age Table'!G$9,E120='Euro Age Table'!C$10,'Euro Age Table'!G$10,E120='Euro Age Table'!C$11,'Euro Age Table'!G$11)</f>
        <v>18</v>
      </c>
      <c r="Y120" s="46">
        <f>X120*'Eilat Car Data'!F$16</f>
        <v>493249.18032786885</v>
      </c>
      <c r="Z120" s="46">
        <f>'T3 N2O PC-Diesel LPG'!B5</f>
        <v>4</v>
      </c>
      <c r="AA120" s="124">
        <f t="shared" si="6"/>
        <v>4339172.2738110172</v>
      </c>
    </row>
    <row r="121" spans="1:27" ht="12.5">
      <c r="A121" s="49" t="s">
        <v>29</v>
      </c>
      <c r="B121" s="49" t="s">
        <v>22</v>
      </c>
      <c r="C121" s="49" t="s">
        <v>68</v>
      </c>
      <c r="D121" s="49" t="s">
        <v>74</v>
      </c>
      <c r="E121" s="50" t="s">
        <v>57</v>
      </c>
      <c r="F121" s="97">
        <v>0.11196511481992721</v>
      </c>
      <c r="G121" s="99">
        <f t="shared" si="7"/>
        <v>122.93769607228008</v>
      </c>
      <c r="H121" s="46"/>
      <c r="I121" s="46">
        <f>G121*'Eilat Car Data'!F$16</f>
        <v>3368828.767724934</v>
      </c>
      <c r="J121" s="46">
        <f>I121*'Tier 1 Coefficients'!I$9</f>
        <v>269506301.41799474</v>
      </c>
      <c r="K121" s="46">
        <f t="shared" si="4"/>
        <v>269506.30141799472</v>
      </c>
      <c r="L121" s="46">
        <f>K121*'Tier 1 Coefficients'!D$4</f>
        <v>854065.46919362526</v>
      </c>
      <c r="M121" s="46">
        <f>K121*'Tier 1 Coefficients'!C$20</f>
        <v>1727535.3920893462</v>
      </c>
      <c r="N121" s="46">
        <f>K121*'Tier 1 Coefficients'!C$44</f>
        <v>15092.352879407705</v>
      </c>
      <c r="O121" s="46">
        <f>I121*'Tier 2 FC'!D$29</f>
        <v>269506301.41799474</v>
      </c>
      <c r="P121" s="46">
        <f t="shared" si="5"/>
        <v>269506.30141799472</v>
      </c>
      <c r="Q121" s="46">
        <f>P121*'Tier 1 Coefficients'!D$4</f>
        <v>854065.46919362526</v>
      </c>
      <c r="R121" s="46">
        <f>$I121*'T2 LPG'!C14</f>
        <v>30319.458909524405</v>
      </c>
      <c r="S121" s="121">
        <f>$I121*'T2 LPG'!D14</f>
        <v>1563136.5482243695</v>
      </c>
      <c r="T121" s="46">
        <f>44.011*(P121/(12.011+1.008*'Tier 3 CO2 Tables'!B$4+16*'Tier 3 CO2 Tables'!C$4))</f>
        <v>854194.46457173512</v>
      </c>
      <c r="U121" s="46">
        <f>I121*'Tier 3 CO2 Tables'!H$9/10000</f>
        <v>501.95548639101514</v>
      </c>
      <c r="V121" s="46">
        <f>44.011*(U121/(12.011+1.008*'Tier 3 CO2 Tables'!B$6+16*'Tier 3 CO2 Tables'!C$6))</f>
        <v>1565.9290222570869</v>
      </c>
      <c r="W121" s="46">
        <f>I121*'T3 Methane'!D25</f>
        <v>10106486.303174801</v>
      </c>
      <c r="X121" s="46" cm="1">
        <f t="array" ref="X121">_xlfn.IFS(E121='Euro Age Table'!C$5,'Euro Age Table'!G$5,E121='Euro Age Table'!C$6,'Euro Age Table'!G$6,E121='Euro Age Table'!C$7,'Euro Age Table'!G$7,E121='Euro Age Table'!C$8,'Euro Age Table'!G$8,E121='Euro Age Table'!C$9,'Euro Age Table'!G$9,E121='Euro Age Table'!C$10,'Euro Age Table'!G$10,E121='Euro Age Table'!C$11,'Euro Age Table'!G$11)</f>
        <v>16</v>
      </c>
      <c r="Y121" s="46">
        <f>X121*'Eilat Car Data'!F$16</f>
        <v>438443.71584699454</v>
      </c>
      <c r="Z121" s="46">
        <f>'T3 N2O PC-Diesel LPG'!B6</f>
        <v>9</v>
      </c>
      <c r="AA121" s="124">
        <f t="shared" si="6"/>
        <v>30319458.909524407</v>
      </c>
    </row>
    <row r="122" spans="1:27" ht="12.5">
      <c r="A122" s="49" t="s">
        <v>29</v>
      </c>
      <c r="B122" s="49" t="s">
        <v>22</v>
      </c>
      <c r="C122" s="49" t="s">
        <v>68</v>
      </c>
      <c r="D122" s="49" t="s">
        <v>74</v>
      </c>
      <c r="E122" s="50" t="s">
        <v>58</v>
      </c>
      <c r="F122" s="97">
        <v>0.22988298406324509</v>
      </c>
      <c r="G122" s="99">
        <f t="shared" si="7"/>
        <v>252.41151650144312</v>
      </c>
      <c r="H122" s="46"/>
      <c r="I122" s="46">
        <f>G122*'Eilat Car Data'!F$16</f>
        <v>6916765.201091731</v>
      </c>
      <c r="J122" s="46">
        <f>I122*'Tier 1 Coefficients'!I$9</f>
        <v>553341216.08733845</v>
      </c>
      <c r="K122" s="46">
        <f t="shared" si="4"/>
        <v>553341.2160873384</v>
      </c>
      <c r="L122" s="46">
        <f>K122*'Tier 1 Coefficients'!D$4</f>
        <v>1753538.3137807753</v>
      </c>
      <c r="M122" s="46">
        <f>K122*'Tier 1 Coefficients'!C$20</f>
        <v>3546917.1951198392</v>
      </c>
      <c r="N122" s="46">
        <f>K122*'Tier 1 Coefficients'!C$44</f>
        <v>30987.10810089095</v>
      </c>
      <c r="O122" s="46">
        <f>I122*'Tier 2 FC'!D$29</f>
        <v>553341216.08733845</v>
      </c>
      <c r="P122" s="46">
        <f t="shared" si="5"/>
        <v>553341.2160873384</v>
      </c>
      <c r="Q122" s="46">
        <f>P122*'Tier 1 Coefficients'!D$4</f>
        <v>1753538.3137807753</v>
      </c>
      <c r="R122" s="46">
        <f>$I122*'T2 LPG'!C15</f>
        <v>62250.886809825577</v>
      </c>
      <c r="S122" s="121">
        <f>$I122*'T2 LPG'!D15</f>
        <v>2752872.550034509</v>
      </c>
      <c r="T122" s="46">
        <f>44.011*(P122/(12.011+1.008*'Tier 3 CO2 Tables'!B$4+16*'Tier 3 CO2 Tables'!C$4))</f>
        <v>1753803.1627250018</v>
      </c>
      <c r="U122" s="46">
        <f>I122*'Tier 3 CO2 Tables'!H$9/10000</f>
        <v>1030.598014962668</v>
      </c>
      <c r="V122" s="46">
        <f>44.011*(U122/(12.011+1.008*'Tier 3 CO2 Tables'!B$6+16*'Tier 3 CO2 Tables'!C$6))</f>
        <v>3215.1124664736258</v>
      </c>
      <c r="W122" s="46">
        <f>I122*'T3 Methane'!D26</f>
        <v>7608441.7212009048</v>
      </c>
      <c r="X122" s="46" cm="1">
        <f t="array" ref="X122">_xlfn.IFS(E122='Euro Age Table'!C$5,'Euro Age Table'!G$5,E122='Euro Age Table'!C$6,'Euro Age Table'!G$6,E122='Euro Age Table'!C$7,'Euro Age Table'!G$7,E122='Euro Age Table'!C$8,'Euro Age Table'!G$8,E122='Euro Age Table'!C$9,'Euro Age Table'!G$9,E122='Euro Age Table'!C$10,'Euro Age Table'!G$10,E122='Euro Age Table'!C$11,'Euro Age Table'!G$11)</f>
        <v>13</v>
      </c>
      <c r="Y122" s="46">
        <f>X122*'Eilat Car Data'!F$16</f>
        <v>356235.51912568306</v>
      </c>
      <c r="Z122" s="46">
        <f>'T3 N2O PC-Diesel LPG'!B6</f>
        <v>9</v>
      </c>
      <c r="AA122" s="124">
        <f t="shared" si="6"/>
        <v>62250886.809825577</v>
      </c>
    </row>
    <row r="123" spans="1:27" ht="12.5">
      <c r="A123" s="49" t="s">
        <v>29</v>
      </c>
      <c r="B123" s="49" t="s">
        <v>22</v>
      </c>
      <c r="C123" s="49" t="s">
        <v>68</v>
      </c>
      <c r="D123" s="49" t="s">
        <v>74</v>
      </c>
      <c r="E123" s="50" t="s">
        <v>59</v>
      </c>
      <c r="F123" s="97">
        <v>0.25872913790939894</v>
      </c>
      <c r="G123" s="99">
        <f t="shared" si="7"/>
        <v>284.08459342452005</v>
      </c>
      <c r="H123" s="46"/>
      <c r="I123" s="46">
        <f>G123*'Eilat Car Data'!F$16</f>
        <v>7784694.0472455779</v>
      </c>
      <c r="J123" s="46">
        <f>I123*'Tier 1 Coefficients'!I$9</f>
        <v>622775523.77964628</v>
      </c>
      <c r="K123" s="46">
        <f t="shared" si="4"/>
        <v>622775.52377964626</v>
      </c>
      <c r="L123" s="46">
        <f>K123*'Tier 1 Coefficients'!D$4</f>
        <v>1973575.634857699</v>
      </c>
      <c r="M123" s="46">
        <f>K123*'Tier 1 Coefficients'!C$20</f>
        <v>3991991.1074275328</v>
      </c>
      <c r="N123" s="46">
        <f>K123*'Tier 1 Coefficients'!C$44</f>
        <v>34875.429331660191</v>
      </c>
      <c r="O123" s="46">
        <f>I123*'Tier 2 FC'!D$29</f>
        <v>622775523.77964628</v>
      </c>
      <c r="P123" s="46">
        <f t="shared" si="5"/>
        <v>622775.52377964626</v>
      </c>
      <c r="Q123" s="46">
        <f>P123*'Tier 1 Coefficients'!D$4</f>
        <v>1973575.634857699</v>
      </c>
      <c r="R123" s="46">
        <f>$I123*'T2 LPG'!C16</f>
        <v>31138.776188982312</v>
      </c>
      <c r="S123" s="121">
        <f>$I123*'T2 LPG'!D16</f>
        <v>3098308.2308037402</v>
      </c>
      <c r="T123" s="46">
        <f>44.011*(P123/(12.011+1.008*'Tier 3 CO2 Tables'!B$4+16*'Tier 3 CO2 Tables'!C$4))</f>
        <v>1973873.7175509231</v>
      </c>
      <c r="U123" s="46">
        <f>I123*'Tier 3 CO2 Tables'!H$9/10000</f>
        <v>1159.9194130395911</v>
      </c>
      <c r="V123" s="46">
        <f>44.011*(U123/(12.011+1.008*'Tier 3 CO2 Tables'!B$6+16*'Tier 3 CO2 Tables'!C$6))</f>
        <v>3618.5508906723903</v>
      </c>
      <c r="W123" s="46">
        <f>I123*'T3 Methane'!D27</f>
        <v>58385.20535434183</v>
      </c>
      <c r="X123" s="46" cm="1">
        <f t="array" ref="X123">_xlfn.IFS(E123='Euro Age Table'!C$5,'Euro Age Table'!G$5,E123='Euro Age Table'!C$6,'Euro Age Table'!G$6,E123='Euro Age Table'!C$7,'Euro Age Table'!G$7,E123='Euro Age Table'!C$8,'Euro Age Table'!G$8,E123='Euro Age Table'!C$9,'Euro Age Table'!G$9,E123='Euro Age Table'!C$10,'Euro Age Table'!G$10,E123='Euro Age Table'!C$11,'Euro Age Table'!G$11)</f>
        <v>9</v>
      </c>
      <c r="Y123" s="46">
        <f>X123*'Eilat Car Data'!F$16</f>
        <v>246624.59016393442</v>
      </c>
      <c r="Z123" s="46">
        <f>'T3 N2O PC-Diesel LPG'!B6</f>
        <v>9</v>
      </c>
      <c r="AA123" s="124">
        <f t="shared" si="6"/>
        <v>70062246.425210208</v>
      </c>
    </row>
    <row r="124" spans="1:27" ht="12.5">
      <c r="A124" s="49" t="s">
        <v>29</v>
      </c>
      <c r="B124" s="49" t="s">
        <v>22</v>
      </c>
      <c r="C124" s="49" t="s">
        <v>68</v>
      </c>
      <c r="D124" s="51" t="s">
        <v>74</v>
      </c>
      <c r="E124" s="51" t="s">
        <v>60</v>
      </c>
      <c r="F124" s="97">
        <v>0.25708213075668213</v>
      </c>
      <c r="G124" s="99">
        <f t="shared" si="7"/>
        <v>282.27617957083697</v>
      </c>
      <c r="H124" s="46"/>
      <c r="I124" s="46">
        <f>G124*'Eilat Car Data'!F$16</f>
        <v>7735138.5666332031</v>
      </c>
      <c r="J124" s="46">
        <f>I124*'Tier 1 Coefficients'!I$9</f>
        <v>618811085.33065629</v>
      </c>
      <c r="K124" s="46">
        <f t="shared" si="4"/>
        <v>618811.08533065626</v>
      </c>
      <c r="L124" s="46">
        <f>K124*'Tier 1 Coefficients'!D$4</f>
        <v>1961012.3294128496</v>
      </c>
      <c r="M124" s="46">
        <f>K124*'Tier 1 Coefficients'!C$20</f>
        <v>3966579.0569695067</v>
      </c>
      <c r="N124" s="46">
        <f>K124*'Tier 1 Coefficients'!C$44</f>
        <v>34653.420778516753</v>
      </c>
      <c r="O124" s="46">
        <f>I124*'Tier 2 FC'!D$29</f>
        <v>618811085.33065629</v>
      </c>
      <c r="P124" s="46">
        <f t="shared" si="5"/>
        <v>618811.08533065626</v>
      </c>
      <c r="Q124" s="46">
        <f>P124*'Tier 1 Coefficients'!D$4</f>
        <v>1961012.3294128496</v>
      </c>
      <c r="R124" s="46">
        <f>$I124*'T2 LPG'!C17</f>
        <v>30940.554266532814</v>
      </c>
      <c r="S124" s="121">
        <f>$I124*'T2 LPG'!D17</f>
        <v>3078585.1495200149</v>
      </c>
      <c r="T124" s="46">
        <f>44.011*(P124/(12.011+1.008*'Tier 3 CO2 Tables'!B$4+16*'Tier 3 CO2 Tables'!C$4))</f>
        <v>1961308.5145837006</v>
      </c>
      <c r="U124" s="46">
        <f>I124*'Tier 3 CO2 Tables'!H$10/10000</f>
        <v>990.09773652905005</v>
      </c>
      <c r="V124" s="46">
        <f>44.011*(U124/(12.011+1.008*'Tier 3 CO2 Tables'!B$6+16*'Tier 3 CO2 Tables'!C$6))</f>
        <v>3088.7654832686417</v>
      </c>
      <c r="W124" s="46">
        <f>I124*'T3 Methane'!D27</f>
        <v>58013.539249749017</v>
      </c>
      <c r="X124" s="46" cm="1">
        <f t="array" ref="X124">_xlfn.IFS(E124='Euro Age Table'!C$5,'Euro Age Table'!G$5,E124='Euro Age Table'!C$6,'Euro Age Table'!G$6,E124='Euro Age Table'!C$7,'Euro Age Table'!G$7,E124='Euro Age Table'!C$8,'Euro Age Table'!G$8,E124='Euro Age Table'!C$9,'Euro Age Table'!G$9,E124='Euro Age Table'!C$10,'Euro Age Table'!G$10,E124='Euro Age Table'!C$11,'Euro Age Table'!G$11)</f>
        <v>3</v>
      </c>
      <c r="Y124" s="46">
        <f>X124*'Eilat Car Data'!F$16</f>
        <v>82208.196721311484</v>
      </c>
      <c r="Z124" s="46">
        <f>'T3 N2O PC-Diesel LPG'!B7</f>
        <v>11</v>
      </c>
      <c r="AA124" s="124">
        <f t="shared" si="6"/>
        <v>85086524.232965231</v>
      </c>
    </row>
    <row r="125" spans="1:27" ht="12.5">
      <c r="A125" s="49" t="s">
        <v>29</v>
      </c>
      <c r="B125" s="52" t="s">
        <v>23</v>
      </c>
      <c r="C125" s="49" t="s">
        <v>68</v>
      </c>
      <c r="D125" s="49" t="s">
        <v>72</v>
      </c>
      <c r="E125" s="50" t="s">
        <v>58</v>
      </c>
      <c r="F125" s="97">
        <v>1.5685782406826454E-5</v>
      </c>
      <c r="G125" s="99">
        <f t="shared" si="7"/>
        <v>1.7222989082695445E-2</v>
      </c>
      <c r="H125" s="76" t="s">
        <v>167</v>
      </c>
      <c r="I125" s="46">
        <f>G125*'Eilat Car Data'!F$16</f>
        <v>471.95695821307567</v>
      </c>
      <c r="J125" s="46">
        <f>I125*'Tier 1 Coefficients'!I$5/0.75</f>
        <v>36183.366796335802</v>
      </c>
      <c r="K125" s="46">
        <f t="shared" si="4"/>
        <v>36.183366796335804</v>
      </c>
      <c r="L125" s="46">
        <f>K125*'Tier 1 Coefficients'!D$5</f>
        <v>109.41850119211948</v>
      </c>
      <c r="M125" s="46">
        <f>K125*'Tier 1 Coefficients'!C$19</f>
        <v>219.63303645375834</v>
      </c>
      <c r="N125" s="46">
        <f>K125*'Tier 1 Coefficients'!C$44*1.02</f>
        <v>2.0667939114067009</v>
      </c>
      <c r="O125" s="46">
        <f>I125*'Tier 2 FC'!D$29*1.28</f>
        <v>48328.392521018948</v>
      </c>
      <c r="P125" s="46">
        <f t="shared" si="5"/>
        <v>48.328392521018948</v>
      </c>
      <c r="Q125" s="46">
        <f>P125*'Tier 1 Coefficients'!D$5</f>
        <v>146.14505898356131</v>
      </c>
      <c r="R125" s="46">
        <f>I125*'T2 LPG'!C15*1.02</f>
        <v>4.3325648763960336</v>
      </c>
      <c r="S125" s="121">
        <f>I125*'T2 LPG'!D6</f>
        <v>187.83886936880413</v>
      </c>
      <c r="T125" s="46">
        <f>44.011*(P125/(12.011+1.008*'Tier 3 CO2 Tables'!B$5+16*'Tier 3 CO2 Tables'!C$5))</f>
        <v>146.12198810421438</v>
      </c>
      <c r="U125" s="46">
        <f>I125*'Tier 3 CO2 Tables'!H$3/10000</f>
        <v>6.843375894089597E-2</v>
      </c>
      <c r="V125" s="46">
        <f>44.011*(U125/(12.011+1.008*'Tier 3 CO2 Tables'!B$6+16*'Tier 3 CO2 Tables'!C$6))</f>
        <v>0.21348986540256007</v>
      </c>
      <c r="W125" s="46">
        <f>I125*'T3 Methane'!D$13</f>
        <v>37756.556657046051</v>
      </c>
      <c r="X125" s="46" cm="1">
        <f t="array" ref="X125">_xlfn.IFS(E125='Euro Age Table'!C$5,'Euro Age Table'!G$5,E125='Euro Age Table'!C$6,'Euro Age Table'!G$6,E125='Euro Age Table'!C$7,'Euro Age Table'!G$7,E125='Euro Age Table'!C$8,'Euro Age Table'!G$8,E125='Euro Age Table'!C$9,'Euro Age Table'!G$9,E125='Euro Age Table'!C$10,'Euro Age Table'!G$10,E125='Euro Age Table'!C$11,'Euro Age Table'!G$11)</f>
        <v>13</v>
      </c>
      <c r="Y125" s="46">
        <f>X125*'Eilat Car Data'!F$16</f>
        <v>356235.51912568306</v>
      </c>
      <c r="Z125" s="121">
        <f>'T3 N2O PC-Diesel LPG'!B13</f>
        <v>5</v>
      </c>
      <c r="AA125" s="124">
        <f t="shared" si="6"/>
        <v>2359.7847910653782</v>
      </c>
    </row>
    <row r="126" spans="1:27" ht="12.5">
      <c r="A126" s="49" t="s">
        <v>29</v>
      </c>
      <c r="B126" s="49" t="s">
        <v>23</v>
      </c>
      <c r="C126" s="49" t="s">
        <v>68</v>
      </c>
      <c r="D126" s="51" t="s">
        <v>72</v>
      </c>
      <c r="E126" s="51" t="s">
        <v>60</v>
      </c>
      <c r="F126" s="97">
        <v>0</v>
      </c>
      <c r="G126" s="99">
        <f t="shared" si="7"/>
        <v>0</v>
      </c>
      <c r="H126" s="76" t="s">
        <v>167</v>
      </c>
      <c r="I126" s="46">
        <f>G126*'Eilat Car Data'!F$16</f>
        <v>0</v>
      </c>
      <c r="J126" s="46">
        <f>I126*'Tier 1 Coefficients'!I$5/0.75</f>
        <v>0</v>
      </c>
      <c r="K126" s="46">
        <f t="shared" si="4"/>
        <v>0</v>
      </c>
      <c r="L126" s="46">
        <f>K126*'Tier 1 Coefficients'!D$5</f>
        <v>0</v>
      </c>
      <c r="M126" s="46">
        <f>K126*'Tier 1 Coefficients'!C$19</f>
        <v>0</v>
      </c>
      <c r="N126" s="46">
        <f>K126*'Tier 1 Coefficients'!C$44*1.02</f>
        <v>0</v>
      </c>
      <c r="O126" s="46">
        <f>I126*'Tier 2 FC'!D$29*1.28</f>
        <v>0</v>
      </c>
      <c r="P126" s="46">
        <f t="shared" si="5"/>
        <v>0</v>
      </c>
      <c r="Q126" s="46">
        <f>P126*'Tier 1 Coefficients'!D$5</f>
        <v>0</v>
      </c>
      <c r="R126" s="46">
        <f>I126*'T2 LPG'!C17*1.02</f>
        <v>0</v>
      </c>
      <c r="S126" s="121">
        <f>I126*'T2 LPG'!D8</f>
        <v>0</v>
      </c>
      <c r="T126" s="46">
        <f>44.011*(P126/(12.011+1.008*'Tier 3 CO2 Tables'!B$5+16*'Tier 3 CO2 Tables'!C$5))</f>
        <v>0</v>
      </c>
      <c r="U126" s="46">
        <f>I126*'Tier 3 CO2 Tables'!H$4/10000</f>
        <v>0</v>
      </c>
      <c r="V126" s="46">
        <f>44.011*(U126/(12.011+1.008*'Tier 3 CO2 Tables'!B$6+16*'Tier 3 CO2 Tables'!C$6))</f>
        <v>0</v>
      </c>
      <c r="W126" s="46">
        <f>I126*'T3 Methane'!D$13</f>
        <v>0</v>
      </c>
      <c r="X126" s="46" cm="1">
        <f t="array" ref="X126">_xlfn.IFS(E126='Euro Age Table'!C$5,'Euro Age Table'!G$5,E126='Euro Age Table'!C$6,'Euro Age Table'!G$6,E126='Euro Age Table'!C$7,'Euro Age Table'!G$7,E126='Euro Age Table'!C$8,'Euro Age Table'!G$8,E126='Euro Age Table'!C$9,'Euro Age Table'!G$9,E126='Euro Age Table'!C$10,'Euro Age Table'!G$10,E126='Euro Age Table'!C$11,'Euro Age Table'!G$11)</f>
        <v>3</v>
      </c>
      <c r="Y126" s="46">
        <f>X126*'Eilat Car Data'!F$16</f>
        <v>82208.196721311484</v>
      </c>
      <c r="Z126" s="121">
        <f>'T3 N2O PC-Diesel LPG'!B15</f>
        <v>2.1</v>
      </c>
      <c r="AA126" s="124">
        <f t="shared" si="6"/>
        <v>0</v>
      </c>
    </row>
    <row r="127" spans="1:27" ht="12.5">
      <c r="A127" s="49" t="s">
        <v>29</v>
      </c>
      <c r="B127" s="49" t="s">
        <v>23</v>
      </c>
      <c r="C127" s="49" t="s">
        <v>68</v>
      </c>
      <c r="D127" s="49" t="s">
        <v>73</v>
      </c>
      <c r="E127" s="50" t="s">
        <v>54</v>
      </c>
      <c r="F127" s="97">
        <v>5.4900238423892581E-5</v>
      </c>
      <c r="G127" s="99">
        <f t="shared" si="7"/>
        <v>6.0280461789434053E-2</v>
      </c>
      <c r="H127" s="76" t="s">
        <v>167</v>
      </c>
      <c r="I127" s="46">
        <f>G127*'Eilat Car Data'!F$16</f>
        <v>1651.8493537457648</v>
      </c>
      <c r="J127" s="46">
        <f>I127*'Tier 1 Coefficients'!I$5/0.75</f>
        <v>126641.7837871753</v>
      </c>
      <c r="K127" s="46">
        <f t="shared" si="4"/>
        <v>126.6417837871753</v>
      </c>
      <c r="L127" s="46">
        <f>K127*'Tier 1 Coefficients'!D$5</f>
        <v>382.96475417241811</v>
      </c>
      <c r="M127" s="46">
        <f>K127*'Tier 1 Coefficients'!C$19</f>
        <v>768.71562758815412</v>
      </c>
      <c r="N127" s="46">
        <f>K127*'Tier 1 Coefficients'!C$44*1.02</f>
        <v>7.2337786899234535</v>
      </c>
      <c r="O127" s="46">
        <f>I127*'Tier 2 FC'!D$28*1.28</f>
        <v>188178.67837871754</v>
      </c>
      <c r="P127" s="46">
        <f t="shared" si="5"/>
        <v>188.17867837871754</v>
      </c>
      <c r="Q127" s="46">
        <f>P127*'Tier 1 Coefficients'!D$5</f>
        <v>569.05232341724184</v>
      </c>
      <c r="R127" s="46">
        <f>I127*'T2 LPG'!C11*1.02</f>
        <v>0</v>
      </c>
      <c r="S127" s="121">
        <f>I127*'T2 LPG'!D11</f>
        <v>1095.176121533442</v>
      </c>
      <c r="T127" s="46">
        <f>44.011*(P127/(12.011+1.008*'Tier 3 CO2 Tables'!B$5+16*'Tier 3 CO2 Tables'!C$5))</f>
        <v>568.9624911807847</v>
      </c>
      <c r="U127" s="46">
        <f>I127*'Tier 3 CO2 Tables'!H$3/10000</f>
        <v>0.23951815629313586</v>
      </c>
      <c r="V127" s="46">
        <f>44.011*(U127/(12.011+1.008*'Tier 3 CO2 Tables'!B$6+16*'Tier 3 CO2 Tables'!C$6))</f>
        <v>0.74721452890896012</v>
      </c>
      <c r="W127" s="46">
        <f>I127*'T3 Methane'!D$13</f>
        <v>132147.94829966119</v>
      </c>
      <c r="X127" s="46" cm="1">
        <f t="array" ref="X127">_xlfn.IFS(E127='Euro Age Table'!C$5,'Euro Age Table'!G$5,E127='Euro Age Table'!C$6,'Euro Age Table'!G$6,E127='Euro Age Table'!C$7,'Euro Age Table'!G$7,E127='Euro Age Table'!C$8,'Euro Age Table'!G$8,E127='Euro Age Table'!C$9,'Euro Age Table'!G$9,E127='Euro Age Table'!C$10,'Euro Age Table'!G$10,E127='Euro Age Table'!C$11,'Euro Age Table'!G$11)</f>
        <v>27</v>
      </c>
      <c r="Y127" s="46">
        <f>X127*'Eilat Car Data'!F$16</f>
        <v>739873.7704918033</v>
      </c>
      <c r="Z127" s="46">
        <f>'T3 N2O PC-Diesel LPG'!B9</f>
        <v>0</v>
      </c>
      <c r="AA127" s="124">
        <f t="shared" si="6"/>
        <v>0</v>
      </c>
    </row>
    <row r="128" spans="1:27" ht="12.5">
      <c r="A128" s="49" t="s">
        <v>29</v>
      </c>
      <c r="B128" s="49" t="s">
        <v>23</v>
      </c>
      <c r="C128" s="49" t="s">
        <v>68</v>
      </c>
      <c r="D128" s="49" t="s">
        <v>73</v>
      </c>
      <c r="E128" s="50" t="s">
        <v>55</v>
      </c>
      <c r="F128" s="97">
        <v>2.0391517128874389E-4</v>
      </c>
      <c r="G128" s="99">
        <f t="shared" si="7"/>
        <v>0.22389885807504079</v>
      </c>
      <c r="H128" s="76" t="s">
        <v>167</v>
      </c>
      <c r="I128" s="46">
        <f>G128*'Eilat Car Data'!F$16</f>
        <v>6135.4404567699839</v>
      </c>
      <c r="J128" s="46">
        <f>I128*'Tier 1 Coefficients'!I$5/0.75</f>
        <v>470383.76835236541</v>
      </c>
      <c r="K128" s="46">
        <f t="shared" si="4"/>
        <v>470.38376835236539</v>
      </c>
      <c r="L128" s="46">
        <f>K128*'Tier 1 Coefficients'!D$5</f>
        <v>1422.440515497553</v>
      </c>
      <c r="M128" s="46">
        <f>K128*'Tier 1 Coefficients'!C$19</f>
        <v>2855.229473898858</v>
      </c>
      <c r="N128" s="46">
        <f>K128*'Tier 1 Coefficients'!C$44*1.02</f>
        <v>26.868320848287112</v>
      </c>
      <c r="O128" s="46">
        <f>I128*'Tier 2 FC'!D$29*1.28</f>
        <v>628269.10277324636</v>
      </c>
      <c r="P128" s="46">
        <f t="shared" si="5"/>
        <v>628.26910277324635</v>
      </c>
      <c r="Q128" s="46">
        <f>P128*'Tier 1 Coefficients'!D$5</f>
        <v>1899.8857667862969</v>
      </c>
      <c r="R128" s="46">
        <f>I128*'T2 LPG'!C12*1.02</f>
        <v>18.774447797716153</v>
      </c>
      <c r="S128" s="121">
        <f>I128*'T2 LPG'!D12</f>
        <v>3656.7225122349105</v>
      </c>
      <c r="T128" s="46">
        <f>44.011*(P128/(12.011+1.008*'Tier 3 CO2 Tables'!B$5+16*'Tier 3 CO2 Tables'!C$5))</f>
        <v>1899.5858453547867</v>
      </c>
      <c r="U128" s="46">
        <f>I128*'Tier 3 CO2 Tables'!H$3/10000</f>
        <v>0.88963886623164767</v>
      </c>
      <c r="V128" s="46">
        <f>44.011*(U128/(12.011+1.008*'Tier 3 CO2 Tables'!B$6+16*'Tier 3 CO2 Tables'!C$6))</f>
        <v>2.775368250233281</v>
      </c>
      <c r="W128" s="46">
        <f>I128*'T3 Methane'!D$13</f>
        <v>490835.23654159869</v>
      </c>
      <c r="X128" s="46" cm="1">
        <f t="array" ref="X128">_xlfn.IFS(E128='Euro Age Table'!C$5,'Euro Age Table'!G$5,E128='Euro Age Table'!C$6,'Euro Age Table'!G$6,E128='Euro Age Table'!C$7,'Euro Age Table'!G$7,E128='Euro Age Table'!C$8,'Euro Age Table'!G$8,E128='Euro Age Table'!C$9,'Euro Age Table'!G$9,E128='Euro Age Table'!C$10,'Euro Age Table'!G$10,E128='Euro Age Table'!C$11,'Euro Age Table'!G$11)</f>
        <v>23</v>
      </c>
      <c r="Y128" s="46">
        <f>X128*'Eilat Car Data'!F$16</f>
        <v>630262.84153005469</v>
      </c>
      <c r="Z128" s="46">
        <f>'T3 N2O PC-Diesel LPG'!B10</f>
        <v>21</v>
      </c>
      <c r="AA128" s="124">
        <f t="shared" si="6"/>
        <v>128844.24959216967</v>
      </c>
    </row>
    <row r="129" spans="1:27" ht="12.5">
      <c r="A129" s="49" t="s">
        <v>29</v>
      </c>
      <c r="B129" s="49" t="s">
        <v>23</v>
      </c>
      <c r="C129" s="49" t="s">
        <v>68</v>
      </c>
      <c r="D129" s="49" t="s">
        <v>73</v>
      </c>
      <c r="E129" s="50" t="s">
        <v>56</v>
      </c>
      <c r="F129" s="97">
        <v>3.921445601706613E-5</v>
      </c>
      <c r="G129" s="99">
        <f t="shared" si="7"/>
        <v>4.3057472706738611E-2</v>
      </c>
      <c r="H129" s="76" t="s">
        <v>167</v>
      </c>
      <c r="I129" s="46">
        <f>G129*'Eilat Car Data'!F$16</f>
        <v>1179.8923955326891</v>
      </c>
      <c r="J129" s="46">
        <f>I129*'Tier 1 Coefficients'!I$5/0.75</f>
        <v>90458.416990839483</v>
      </c>
      <c r="K129" s="46">
        <f t="shared" si="4"/>
        <v>90.458416990839481</v>
      </c>
      <c r="L129" s="46">
        <f>K129*'Tier 1 Coefficients'!D$5</f>
        <v>273.54625298029862</v>
      </c>
      <c r="M129" s="46">
        <f>K129*'Tier 1 Coefficients'!C$19</f>
        <v>549.08259113439567</v>
      </c>
      <c r="N129" s="46">
        <f>K129*'Tier 1 Coefficients'!C$44*1.02</f>
        <v>5.1669847785167518</v>
      </c>
      <c r="O129" s="46">
        <f>I129*'Tier 2 FC'!D$29*1.28</f>
        <v>120820.98130254737</v>
      </c>
      <c r="P129" s="46">
        <f t="shared" si="5"/>
        <v>120.82098130254737</v>
      </c>
      <c r="Q129" s="46">
        <f>P129*'Tier 1 Coefficients'!D$5</f>
        <v>365.36264745890321</v>
      </c>
      <c r="R129" s="46">
        <f>I129*'T2 LPG'!C13*1.02</f>
        <v>7.2209414606600575</v>
      </c>
      <c r="S129" s="121">
        <f>I129*'T2 LPG'!D13</f>
        <v>625.34296963232521</v>
      </c>
      <c r="T129" s="46">
        <f>44.011*(P129/(12.011+1.008*'Tier 3 CO2 Tables'!B$5+16*'Tier 3 CO2 Tables'!C$5))</f>
        <v>365.30497026053592</v>
      </c>
      <c r="U129" s="46">
        <f>I129*'Tier 3 CO2 Tables'!H$3/10000</f>
        <v>0.17108439735223993</v>
      </c>
      <c r="V129" s="46">
        <f>44.011*(U129/(12.011+1.008*'Tier 3 CO2 Tables'!B$6+16*'Tier 3 CO2 Tables'!C$6))</f>
        <v>0.53372466350640024</v>
      </c>
      <c r="W129" s="46">
        <f>I129*'T3 Methane'!D$13</f>
        <v>94391.391642615126</v>
      </c>
      <c r="X129" s="46" cm="1">
        <f t="array" ref="X129">_xlfn.IFS(E129='Euro Age Table'!C$5,'Euro Age Table'!G$5,E129='Euro Age Table'!C$6,'Euro Age Table'!G$6,E129='Euro Age Table'!C$7,'Euro Age Table'!G$7,E129='Euro Age Table'!C$8,'Euro Age Table'!G$8,E129='Euro Age Table'!C$9,'Euro Age Table'!G$9,E129='Euro Age Table'!C$10,'Euro Age Table'!G$10,E129='Euro Age Table'!C$11,'Euro Age Table'!G$11)</f>
        <v>18</v>
      </c>
      <c r="Y129" s="46">
        <f>X129*'Eilat Car Data'!F$16</f>
        <v>493249.18032786885</v>
      </c>
      <c r="Z129" s="46">
        <f>'T3 N2O PC-Diesel LPG'!B11</f>
        <v>13</v>
      </c>
      <c r="AA129" s="124">
        <f t="shared" si="6"/>
        <v>15338.601141924959</v>
      </c>
    </row>
    <row r="130" spans="1:27" ht="12.5">
      <c r="A130" s="49" t="s">
        <v>29</v>
      </c>
      <c r="B130" s="49" t="s">
        <v>23</v>
      </c>
      <c r="C130" s="49" t="s">
        <v>68</v>
      </c>
      <c r="D130" s="49" t="s">
        <v>74</v>
      </c>
      <c r="E130" s="50" t="s">
        <v>57</v>
      </c>
      <c r="F130" s="97">
        <v>2.8234408332287612E-4</v>
      </c>
      <c r="G130" s="99">
        <f t="shared" si="7"/>
        <v>0.31001380348851798</v>
      </c>
      <c r="H130" s="76" t="s">
        <v>167</v>
      </c>
      <c r="I130" s="46">
        <f>G130*'Eilat Car Data'!F$16</f>
        <v>8495.2252478353621</v>
      </c>
      <c r="J130" s="46">
        <f>I130*'Tier 1 Coefficients'!I$5/0.75</f>
        <v>651300.60233404441</v>
      </c>
      <c r="K130" s="46">
        <f t="shared" si="4"/>
        <v>651.30060233404436</v>
      </c>
      <c r="L130" s="46">
        <f>K130*'Tier 1 Coefficients'!D$5</f>
        <v>1969.5330214581502</v>
      </c>
      <c r="M130" s="46">
        <f>K130*'Tier 1 Coefficients'!C$19</f>
        <v>3953.3946561676494</v>
      </c>
      <c r="N130" s="46">
        <f>K130*'Tier 1 Coefficients'!C$44*1.02</f>
        <v>37.20229040532061</v>
      </c>
      <c r="O130" s="46">
        <f>I130*'Tier 2 FC'!D$29*1.28</f>
        <v>869911.06537834113</v>
      </c>
      <c r="P130" s="46">
        <f t="shared" si="5"/>
        <v>869.91106537834116</v>
      </c>
      <c r="Q130" s="46">
        <f>P130*'Tier 1 Coefficients'!D$5</f>
        <v>2630.6110617041036</v>
      </c>
      <c r="R130" s="46">
        <f>I130*'T2 LPG'!C14*1.02</f>
        <v>77.986167775128621</v>
      </c>
      <c r="S130" s="121">
        <f>I130*'T2 LPG'!D14</f>
        <v>3941.7845149956083</v>
      </c>
      <c r="T130" s="46">
        <f>44.011*(P130/(12.011+1.008*'Tier 3 CO2 Tables'!B$5+16*'Tier 3 CO2 Tables'!C$5))</f>
        <v>2630.1957858758592</v>
      </c>
      <c r="U130" s="46">
        <f>I130*'Tier 3 CO2 Tables'!H$3/10000</f>
        <v>1.2318076609361275</v>
      </c>
      <c r="V130" s="46">
        <f>44.011*(U130/(12.011+1.008*'Tier 3 CO2 Tables'!B$6+16*'Tier 3 CO2 Tables'!C$6))</f>
        <v>3.8428175772460818</v>
      </c>
      <c r="W130" s="46">
        <f>I130*'T3 Methane'!D$13</f>
        <v>679618.01982682897</v>
      </c>
      <c r="X130" s="46" cm="1">
        <f t="array" ref="X130">_xlfn.IFS(E130='Euro Age Table'!C$5,'Euro Age Table'!G$5,E130='Euro Age Table'!C$6,'Euro Age Table'!G$6,E130='Euro Age Table'!C$7,'Euro Age Table'!G$7,E130='Euro Age Table'!C$8,'Euro Age Table'!G$8,E130='Euro Age Table'!C$9,'Euro Age Table'!G$9,E130='Euro Age Table'!C$10,'Euro Age Table'!G$10,E130='Euro Age Table'!C$11,'Euro Age Table'!G$11)</f>
        <v>16</v>
      </c>
      <c r="Y130" s="46">
        <f>X130*'Eilat Car Data'!F$16</f>
        <v>438443.71584699454</v>
      </c>
      <c r="Z130" s="46">
        <f>'T3 N2O PC-Diesel LPG'!B12</f>
        <v>5</v>
      </c>
      <c r="AA130" s="124">
        <f t="shared" si="6"/>
        <v>42476.12623917681</v>
      </c>
    </row>
    <row r="131" spans="1:27" ht="12.5">
      <c r="A131" s="49" t="s">
        <v>29</v>
      </c>
      <c r="B131" s="49" t="s">
        <v>23</v>
      </c>
      <c r="C131" s="49" t="s">
        <v>68</v>
      </c>
      <c r="D131" s="49" t="s">
        <v>74</v>
      </c>
      <c r="E131" s="50" t="s">
        <v>58</v>
      </c>
      <c r="F131" s="97">
        <v>7.5291755552766974E-4</v>
      </c>
      <c r="G131" s="99">
        <f t="shared" si="7"/>
        <v>0.82670347596938132</v>
      </c>
      <c r="H131" s="76" t="s">
        <v>167</v>
      </c>
      <c r="I131" s="46">
        <f>G131*'Eilat Car Data'!F$16</f>
        <v>22653.933994227631</v>
      </c>
      <c r="J131" s="46">
        <f>I131*'Tier 1 Coefficients'!I$5/0.75</f>
        <v>1736801.6062241185</v>
      </c>
      <c r="K131" s="46">
        <f t="shared" si="4"/>
        <v>1736.8016062241186</v>
      </c>
      <c r="L131" s="46">
        <f>K131*'Tier 1 Coefficients'!D$5</f>
        <v>5252.0880572217347</v>
      </c>
      <c r="M131" s="46">
        <f>K131*'Tier 1 Coefficients'!C$19</f>
        <v>10542.3857497804</v>
      </c>
      <c r="N131" s="46">
        <f>K131*'Tier 1 Coefficients'!C$44*1.02</f>
        <v>99.206107747521656</v>
      </c>
      <c r="O131" s="46">
        <f>I131*'Tier 2 FC'!D$29*1.28</f>
        <v>2319762.8410089095</v>
      </c>
      <c r="P131" s="46">
        <f t="shared" si="5"/>
        <v>2319.7628410089096</v>
      </c>
      <c r="Q131" s="46">
        <f>P131*'Tier 1 Coefficients'!D$5</f>
        <v>7014.9628312109426</v>
      </c>
      <c r="R131" s="46">
        <f>I131*'T2 LPG'!C15*1.02</f>
        <v>207.96311406700963</v>
      </c>
      <c r="S131" s="121">
        <f>I131*'T2 LPG'!D15</f>
        <v>9016.265729702598</v>
      </c>
      <c r="T131" s="46">
        <f>44.011*(P131/(12.011+1.008*'Tier 3 CO2 Tables'!B$5+16*'Tier 3 CO2 Tables'!C$5))</f>
        <v>7013.8554290022903</v>
      </c>
      <c r="U131" s="46">
        <f>I131*'Tier 3 CO2 Tables'!H$3/10000</f>
        <v>3.2848204291630063</v>
      </c>
      <c r="V131" s="46">
        <f>44.011*(U131/(12.011+1.008*'Tier 3 CO2 Tables'!B$6+16*'Tier 3 CO2 Tables'!C$6))</f>
        <v>10.247513539322883</v>
      </c>
      <c r="W131" s="46">
        <f>I131*'T3 Methane'!D$13</f>
        <v>1812314.7195382104</v>
      </c>
      <c r="X131" s="46" cm="1">
        <f t="array" ref="X131">_xlfn.IFS(E131='Euro Age Table'!C$5,'Euro Age Table'!G$5,E131='Euro Age Table'!C$6,'Euro Age Table'!G$6,E131='Euro Age Table'!C$7,'Euro Age Table'!G$7,E131='Euro Age Table'!C$8,'Euro Age Table'!G$8,E131='Euro Age Table'!C$9,'Euro Age Table'!G$9,E131='Euro Age Table'!C$10,'Euro Age Table'!G$10,E131='Euro Age Table'!C$11,'Euro Age Table'!G$11)</f>
        <v>13</v>
      </c>
      <c r="Y131" s="46">
        <f>X131*'Eilat Car Data'!F$16</f>
        <v>356235.51912568306</v>
      </c>
      <c r="Z131" s="46">
        <f>'T3 N2O PC-Diesel LPG'!B13</f>
        <v>5</v>
      </c>
      <c r="AA131" s="124">
        <f t="shared" si="6"/>
        <v>113269.66997113815</v>
      </c>
    </row>
    <row r="132" spans="1:27" ht="12.5">
      <c r="A132" s="49" t="s">
        <v>29</v>
      </c>
      <c r="B132" s="49" t="s">
        <v>23</v>
      </c>
      <c r="C132" s="49" t="s">
        <v>68</v>
      </c>
      <c r="D132" s="49" t="s">
        <v>74</v>
      </c>
      <c r="E132" s="50" t="s">
        <v>59</v>
      </c>
      <c r="F132" s="97">
        <v>1.3646630693939013E-3</v>
      </c>
      <c r="G132" s="99">
        <f t="shared" si="7"/>
        <v>1.4984000501945036</v>
      </c>
      <c r="H132" s="76" t="s">
        <v>167</v>
      </c>
      <c r="I132" s="46">
        <f>G132*'Eilat Car Data'!F$16</f>
        <v>41060.255364537581</v>
      </c>
      <c r="J132" s="46">
        <f>I132*'Tier 1 Coefficients'!I$5/0.75</f>
        <v>3147952.9112812146</v>
      </c>
      <c r="K132" s="46">
        <f t="shared" ref="K132:K195" si="8">J132/1000</f>
        <v>3147.9529112812147</v>
      </c>
      <c r="L132" s="46">
        <f>K132*'Tier 1 Coefficients'!D$5</f>
        <v>9519.4096037143936</v>
      </c>
      <c r="M132" s="46">
        <f>K132*'Tier 1 Coefficients'!C$19</f>
        <v>19108.074171476976</v>
      </c>
      <c r="N132" s="46">
        <f>K132*'Tier 1 Coefficients'!C$44*1.02</f>
        <v>179.81107029238299</v>
      </c>
      <c r="O132" s="46">
        <f>I132*'Tier 2 FC'!D$29*1.28</f>
        <v>4204570.1493286481</v>
      </c>
      <c r="P132" s="46">
        <f t="shared" ref="P132:P195" si="9">O132/1000</f>
        <v>4204.5701493286479</v>
      </c>
      <c r="Q132" s="46">
        <f>P132*'Tier 1 Coefficients'!D$5</f>
        <v>12714.620131569831</v>
      </c>
      <c r="R132" s="46">
        <f>I132*'T2 LPG'!C16*1.02</f>
        <v>167.52584188731333</v>
      </c>
      <c r="S132" s="121">
        <f>I132*'T2 LPG'!D16</f>
        <v>16341.981635085958</v>
      </c>
      <c r="T132" s="46">
        <f>44.011*(P132/(12.011+1.008*'Tier 3 CO2 Tables'!B$5+16*'Tier 3 CO2 Tables'!C$5))</f>
        <v>12712.612965066648</v>
      </c>
      <c r="U132" s="46">
        <f>I132*'Tier 3 CO2 Tables'!H$3/10000</f>
        <v>5.9537370278579491</v>
      </c>
      <c r="V132" s="46">
        <f>44.011*(U132/(12.011+1.008*'Tier 3 CO2 Tables'!B$6+16*'Tier 3 CO2 Tables'!C$6))</f>
        <v>18.573618290022726</v>
      </c>
      <c r="W132" s="46">
        <f>I132*'T3 Methane'!D$13</f>
        <v>3284820.4291630066</v>
      </c>
      <c r="X132" s="46" cm="1">
        <f t="array" ref="X132">_xlfn.IFS(E132='Euro Age Table'!C$5,'Euro Age Table'!G$5,E132='Euro Age Table'!C$6,'Euro Age Table'!G$6,E132='Euro Age Table'!C$7,'Euro Age Table'!G$7,E132='Euro Age Table'!C$8,'Euro Age Table'!G$8,E132='Euro Age Table'!C$9,'Euro Age Table'!G$9,E132='Euro Age Table'!C$10,'Euro Age Table'!G$10,E132='Euro Age Table'!C$11,'Euro Age Table'!G$11)</f>
        <v>9</v>
      </c>
      <c r="Y132" s="46">
        <f>X132*'Eilat Car Data'!F$16</f>
        <v>246624.59016393442</v>
      </c>
      <c r="Z132" s="46">
        <f>'T3 N2O PC-Diesel LPG'!B14</f>
        <v>2.1</v>
      </c>
      <c r="AA132" s="124">
        <f t="shared" ref="AA132:AA195" si="10">Z132*I132</f>
        <v>86226.536265528921</v>
      </c>
    </row>
    <row r="133" spans="1:27" ht="12.5">
      <c r="A133" s="49" t="s">
        <v>29</v>
      </c>
      <c r="B133" s="49" t="s">
        <v>23</v>
      </c>
      <c r="C133" s="49" t="s">
        <v>68</v>
      </c>
      <c r="D133" s="49" t="s">
        <v>74</v>
      </c>
      <c r="E133" s="49" t="s">
        <v>60</v>
      </c>
      <c r="F133" s="79">
        <v>7.842891203413227E-6</v>
      </c>
      <c r="G133" s="104">
        <f t="shared" si="7"/>
        <v>8.6114945413477226E-3</v>
      </c>
      <c r="H133" s="76" t="s">
        <v>167</v>
      </c>
      <c r="I133" s="46">
        <f>G133*'Eilat Car Data'!F$16</f>
        <v>235.97847910653783</v>
      </c>
      <c r="J133" s="46">
        <f>I133*'Tier 1 Coefficients'!I$5/0.75</f>
        <v>18091.683398167901</v>
      </c>
      <c r="K133" s="46">
        <f t="shared" si="8"/>
        <v>18.091683398167902</v>
      </c>
      <c r="L133" s="46">
        <f>K133*'Tier 1 Coefficients'!D$5</f>
        <v>54.709250596059739</v>
      </c>
      <c r="M133" s="46">
        <f>K133*'Tier 1 Coefficients'!C$19</f>
        <v>109.81651822687917</v>
      </c>
      <c r="N133" s="46">
        <f>K133*'Tier 1 Coefficients'!C$44*1.02</f>
        <v>1.0333969557033504</v>
      </c>
      <c r="O133" s="46">
        <f>I133*'Tier 2 FC'!D$29*1.28</f>
        <v>24164.196260509474</v>
      </c>
      <c r="P133" s="46">
        <f t="shared" si="9"/>
        <v>24.164196260509474</v>
      </c>
      <c r="Q133" s="46">
        <f>P133*'Tier 1 Coefficients'!D$5</f>
        <v>73.072529491780656</v>
      </c>
      <c r="R133" s="46">
        <f>I133*'T2 LPG'!C17*1.02</f>
        <v>0.96279219475467437</v>
      </c>
      <c r="S133" s="121">
        <f>I133*'T2 LPG'!D17</f>
        <v>93.919434684402063</v>
      </c>
      <c r="T133" s="46">
        <f>44.011*(P133/(12.011+1.008*'Tier 3 CO2 Tables'!B$5+16*'Tier 3 CO2 Tables'!C$5))</f>
        <v>73.060994052107191</v>
      </c>
      <c r="U133" s="46">
        <f>I133*'Tier 3 CO2 Tables'!H$4/10000</f>
        <v>3.0205245325636843E-2</v>
      </c>
      <c r="V133" s="46">
        <f>44.011*(U133/(12.011+1.008*'Tier 3 CO2 Tables'!B$6+16*'Tier 3 CO2 Tables'!C$6))</f>
        <v>9.4230009556992039E-2</v>
      </c>
      <c r="W133" s="46">
        <f>I133*'T3 Methane'!D$13</f>
        <v>18878.278328523025</v>
      </c>
      <c r="X133" s="46" cm="1">
        <f t="array" ref="X133">_xlfn.IFS(E133='Euro Age Table'!C$5,'Euro Age Table'!G$5,E133='Euro Age Table'!C$6,'Euro Age Table'!G$6,E133='Euro Age Table'!C$7,'Euro Age Table'!G$7,E133='Euro Age Table'!C$8,'Euro Age Table'!G$8,E133='Euro Age Table'!C$9,'Euro Age Table'!G$9,E133='Euro Age Table'!C$10,'Euro Age Table'!G$10,E133='Euro Age Table'!C$11,'Euro Age Table'!G$11)</f>
        <v>3</v>
      </c>
      <c r="Y133" s="46">
        <f>X133*'Eilat Car Data'!F$16</f>
        <v>82208.196721311484</v>
      </c>
      <c r="Z133" s="46">
        <f>'T3 N2O PC-Diesel LPG'!B15</f>
        <v>2.1</v>
      </c>
      <c r="AA133" s="124">
        <f t="shared" si="10"/>
        <v>495.55480612372946</v>
      </c>
    </row>
    <row r="134" spans="1:27" ht="12.5">
      <c r="A134" s="89" t="s">
        <v>7</v>
      </c>
      <c r="B134" s="53"/>
      <c r="C134" s="53"/>
      <c r="D134" s="53"/>
      <c r="E134" s="53"/>
      <c r="F134" s="96"/>
      <c r="G134" s="95">
        <f>'Eilat Car Data'!B7</f>
        <v>37</v>
      </c>
      <c r="H134" s="46">
        <f>SUM(G146:G165)</f>
        <v>36.922726409720902</v>
      </c>
      <c r="I134" s="46"/>
      <c r="J134" s="46"/>
      <c r="K134" s="46">
        <f t="shared" si="8"/>
        <v>0</v>
      </c>
      <c r="L134" s="46"/>
      <c r="M134" s="46"/>
      <c r="N134" s="46"/>
      <c r="O134" s="46"/>
      <c r="P134" s="46">
        <f t="shared" si="9"/>
        <v>0</v>
      </c>
      <c r="Q134" s="46"/>
      <c r="R134" s="46"/>
      <c r="S134" s="46"/>
      <c r="T134" s="46"/>
      <c r="U134" s="46"/>
      <c r="V134" s="46">
        <f>44.011*(U134/(12.011+1.008*'Tier 3 CO2 Tables'!B$6+16*'Tier 3 CO2 Tables'!C$6))</f>
        <v>0</v>
      </c>
      <c r="W134" s="46"/>
      <c r="X134" s="46" t="e" cm="1">
        <f t="array" ref="X134">_xlfn.IFS(E134='Euro Age Table'!C$5,'Euro Age Table'!G$5,E134='Euro Age Table'!C$6,'Euro Age Table'!G$6,E134='Euro Age Table'!C$7,'Euro Age Table'!G$7,E134='Euro Age Table'!C$8,'Euro Age Table'!G$8,E134='Euro Age Table'!C$9,'Euro Age Table'!G$9,E134='Euro Age Table'!C$10,'Euro Age Table'!G$10,E134='Euro Age Table'!C$11,'Euro Age Table'!G$11)</f>
        <v>#N/A</v>
      </c>
      <c r="Y134" s="46"/>
      <c r="Z134" s="46"/>
      <c r="AA134" s="124">
        <f t="shared" si="10"/>
        <v>0</v>
      </c>
    </row>
    <row r="135" spans="1:27" ht="12.5">
      <c r="A135" s="49" t="s">
        <v>7</v>
      </c>
      <c r="B135" s="49" t="s">
        <v>20</v>
      </c>
      <c r="C135" s="49" t="s">
        <v>52</v>
      </c>
      <c r="D135" s="49" t="s">
        <v>61</v>
      </c>
      <c r="E135" s="50" t="s">
        <v>55</v>
      </c>
      <c r="F135" s="80">
        <v>0</v>
      </c>
      <c r="G135" s="105">
        <f t="shared" ref="G135:G165" si="11">F135*$G$134</f>
        <v>0</v>
      </c>
      <c r="H135" s="46"/>
      <c r="I135" s="46">
        <f>G135*'Eilat Car Data'!F$7</f>
        <v>0</v>
      </c>
      <c r="J135" s="46">
        <f>I135*'Tier 1 Coefficients'!I$8</f>
        <v>0</v>
      </c>
      <c r="K135" s="46">
        <f t="shared" si="8"/>
        <v>0</v>
      </c>
      <c r="L135" s="46">
        <f>K135*'Tier 1 Coefficients'!D$3</f>
        <v>0</v>
      </c>
      <c r="M135" s="46">
        <f>K135*'Tier 1 Coefficients'!C$18</f>
        <v>0</v>
      </c>
      <c r="N135" s="46">
        <f>K135*'Tier 1 Coefficients'!C$43</f>
        <v>0</v>
      </c>
      <c r="O135" s="46">
        <f>I135*'Tier 2 FC'!D$27</f>
        <v>0</v>
      </c>
      <c r="P135" s="46">
        <f t="shared" si="9"/>
        <v>0</v>
      </c>
      <c r="Q135" s="46">
        <f>P135*'Tier 1 Coefficients'!D$3</f>
        <v>0</v>
      </c>
      <c r="R135" s="46">
        <f>$I135*'T2 LPG'!C3</f>
        <v>0</v>
      </c>
      <c r="S135" s="121">
        <f>$I135*'T2 LPG'!D3</f>
        <v>0</v>
      </c>
      <c r="T135" s="46">
        <f>44.011*(P135/(12.011+1.008*'Tier 3 CO2 Tables'!B$3+16*'Tier 3 CO2 Tables'!C$3))</f>
        <v>0</v>
      </c>
      <c r="U135" s="46">
        <f>I135*'Tier 3 CO2 Tables'!H$7/10000</f>
        <v>0</v>
      </c>
      <c r="V135" s="46">
        <f>44.011*(U135/(12.011+1.008*'Tier 3 CO2 Tables'!B$6+16*'Tier 3 CO2 Tables'!C$6))</f>
        <v>0</v>
      </c>
      <c r="W135" s="46">
        <f>I135*'T3 Methane'!D18</f>
        <v>0</v>
      </c>
      <c r="X135" s="46" cm="1">
        <f t="array" ref="X135">_xlfn.IFS(E135='Euro Age Table'!C$5,'Euro Age Table'!G$5,E135='Euro Age Table'!C$6,'Euro Age Table'!G$6,E135='Euro Age Table'!C$7,'Euro Age Table'!G$7,E135='Euro Age Table'!C$8,'Euro Age Table'!G$8,E135='Euro Age Table'!C$9,'Euro Age Table'!G$9,E135='Euro Age Table'!C$10,'Euro Age Table'!G$10,E135='Euro Age Table'!C$11,'Euro Age Table'!G$11)</f>
        <v>23</v>
      </c>
      <c r="Y135" s="46">
        <f>X135*'Eilat Car Data'!F$7</f>
        <v>1136200</v>
      </c>
      <c r="Z135" s="121">
        <f>('T3 N2O LCV-Petrol'!D3*Y135+'T3 N2O LCV-Petrol'!E3)*'T3 N2O LCV-Petrol'!C3</f>
        <v>131.859859</v>
      </c>
      <c r="AA135" s="124">
        <f t="shared" si="10"/>
        <v>0</v>
      </c>
    </row>
    <row r="136" spans="1:27" ht="12.5">
      <c r="A136" s="49" t="s">
        <v>7</v>
      </c>
      <c r="B136" s="49" t="s">
        <v>20</v>
      </c>
      <c r="C136" s="49" t="s">
        <v>52</v>
      </c>
      <c r="D136" s="49" t="s">
        <v>61</v>
      </c>
      <c r="E136" s="51" t="s">
        <v>60</v>
      </c>
      <c r="F136" s="97">
        <v>0</v>
      </c>
      <c r="G136" s="101">
        <f t="shared" si="11"/>
        <v>0</v>
      </c>
      <c r="H136" s="46"/>
      <c r="I136" s="46">
        <f>G136*'Eilat Car Data'!F$7</f>
        <v>0</v>
      </c>
      <c r="J136" s="46">
        <f>I136*'Tier 1 Coefficients'!I$8</f>
        <v>0</v>
      </c>
      <c r="K136" s="46">
        <f t="shared" si="8"/>
        <v>0</v>
      </c>
      <c r="L136" s="46">
        <f>K136*'Tier 1 Coefficients'!D$3</f>
        <v>0</v>
      </c>
      <c r="M136" s="46">
        <f>K136*'Tier 1 Coefficients'!C$18</f>
        <v>0</v>
      </c>
      <c r="N136" s="46">
        <f>K136*'Tier 1 Coefficients'!C$43</f>
        <v>0</v>
      </c>
      <c r="O136" s="46">
        <f>I136*'Tier 2 FC'!D$27</f>
        <v>0</v>
      </c>
      <c r="P136" s="46">
        <f t="shared" si="9"/>
        <v>0</v>
      </c>
      <c r="Q136" s="46">
        <f>P136*'Tier 1 Coefficients'!D$3</f>
        <v>0</v>
      </c>
      <c r="R136" s="46">
        <f>$I136*'T2 LPG'!C8</f>
        <v>0</v>
      </c>
      <c r="S136" s="121">
        <f>$I136*'T2 LPG'!D8</f>
        <v>0</v>
      </c>
      <c r="T136" s="46">
        <f>44.011*(P136/(12.011+1.008*'Tier 3 CO2 Tables'!B$3+16*'Tier 3 CO2 Tables'!C$3))</f>
        <v>0</v>
      </c>
      <c r="U136" s="46">
        <f>I136*'Tier 3 CO2 Tables'!H$8/10000</f>
        <v>0</v>
      </c>
      <c r="V136" s="46">
        <f>44.011*(U136/(12.011+1.008*'Tier 3 CO2 Tables'!B$6+16*'Tier 3 CO2 Tables'!C$6))</f>
        <v>0</v>
      </c>
      <c r="W136" s="46">
        <f>I136*'T3 Methane'!D21</f>
        <v>0</v>
      </c>
      <c r="X136" s="46" cm="1">
        <f t="array" ref="X136">_xlfn.IFS(E136='Euro Age Table'!C$5,'Euro Age Table'!G$5,E136='Euro Age Table'!C$6,'Euro Age Table'!G$6,E136='Euro Age Table'!C$7,'Euro Age Table'!G$7,E136='Euro Age Table'!C$8,'Euro Age Table'!G$8,E136='Euro Age Table'!C$9,'Euro Age Table'!G$9,E136='Euro Age Table'!C$10,'Euro Age Table'!G$10,E136='Euro Age Table'!C$11,'Euro Age Table'!G$11)</f>
        <v>3</v>
      </c>
      <c r="Y136" s="46">
        <f>X136*'Eilat Car Data'!F$7</f>
        <v>148200</v>
      </c>
      <c r="Z136" s="121">
        <f>('T3 N2O LCV-Petrol'!D8*Y136+'T3 N2O LCV-Petrol'!E8)*'T3 N2O LCV-Petrol'!C8</f>
        <v>2.34489744</v>
      </c>
      <c r="AA136" s="124">
        <f t="shared" si="10"/>
        <v>0</v>
      </c>
    </row>
    <row r="137" spans="1:27" ht="12.5">
      <c r="A137" s="49" t="s">
        <v>7</v>
      </c>
      <c r="B137" s="49" t="s">
        <v>20</v>
      </c>
      <c r="C137" s="49" t="s">
        <v>52</v>
      </c>
      <c r="D137" s="52" t="s">
        <v>62</v>
      </c>
      <c r="E137" s="50" t="s">
        <v>55</v>
      </c>
      <c r="F137" s="97">
        <v>0</v>
      </c>
      <c r="G137" s="101">
        <f t="shared" si="11"/>
        <v>0</v>
      </c>
      <c r="H137" s="46"/>
      <c r="I137" s="46">
        <f>G137*'Eilat Car Data'!F$7</f>
        <v>0</v>
      </c>
      <c r="J137" s="46">
        <f>I137*'Tier 1 Coefficients'!I$8</f>
        <v>0</v>
      </c>
      <c r="K137" s="46">
        <f t="shared" si="8"/>
        <v>0</v>
      </c>
      <c r="L137" s="46">
        <f>K137*'Tier 1 Coefficients'!D$3</f>
        <v>0</v>
      </c>
      <c r="M137" s="46">
        <f>K137*'Tier 1 Coefficients'!C$18</f>
        <v>0</v>
      </c>
      <c r="N137" s="46">
        <f>K137*'Tier 1 Coefficients'!C$43</f>
        <v>0</v>
      </c>
      <c r="O137" s="46">
        <f>I137*'Tier 2 FC'!D$27</f>
        <v>0</v>
      </c>
      <c r="P137" s="46">
        <f t="shared" si="9"/>
        <v>0</v>
      </c>
      <c r="Q137" s="46">
        <f>P137*'Tier 1 Coefficients'!D$3</f>
        <v>0</v>
      </c>
      <c r="R137" s="46">
        <f>$I137*'T2 LPG'!C3</f>
        <v>0</v>
      </c>
      <c r="S137" s="121">
        <f>$I137*'T2 LPG'!D3</f>
        <v>0</v>
      </c>
      <c r="T137" s="46">
        <f>44.011*(P137/(12.011+1.008*'Tier 3 CO2 Tables'!B$3+16*'Tier 3 CO2 Tables'!C$3))</f>
        <v>0</v>
      </c>
      <c r="U137" s="46">
        <f>I137*'Tier 3 CO2 Tables'!H$7/10000</f>
        <v>0</v>
      </c>
      <c r="V137" s="46">
        <f>44.011*(U137/(12.011+1.008*'Tier 3 CO2 Tables'!B$6+16*'Tier 3 CO2 Tables'!C$6))</f>
        <v>0</v>
      </c>
      <c r="W137" s="46">
        <f>I137*'T3 Methane'!D18</f>
        <v>0</v>
      </c>
      <c r="X137" s="46" cm="1">
        <f t="array" ref="X137">_xlfn.IFS(E137='Euro Age Table'!C$5,'Euro Age Table'!G$5,E137='Euro Age Table'!C$6,'Euro Age Table'!G$6,E137='Euro Age Table'!C$7,'Euro Age Table'!G$7,E137='Euro Age Table'!C$8,'Euro Age Table'!G$8,E137='Euro Age Table'!C$9,'Euro Age Table'!G$9,E137='Euro Age Table'!C$10,'Euro Age Table'!G$10,E137='Euro Age Table'!C$11,'Euro Age Table'!G$11)</f>
        <v>23</v>
      </c>
      <c r="Y137" s="46">
        <f>X137*'Eilat Car Data'!F$7</f>
        <v>1136200</v>
      </c>
      <c r="Z137" s="121">
        <f>('T3 N2O LCV-Petrol'!D3*Y137+'T3 N2O LCV-Petrol'!E3)*'T3 N2O LCV-Petrol'!C3</f>
        <v>131.859859</v>
      </c>
      <c r="AA137" s="124">
        <f t="shared" si="10"/>
        <v>0</v>
      </c>
    </row>
    <row r="138" spans="1:27" ht="12.5">
      <c r="A138" s="49" t="s">
        <v>7</v>
      </c>
      <c r="B138" s="51" t="s">
        <v>20</v>
      </c>
      <c r="C138" s="49" t="s">
        <v>52</v>
      </c>
      <c r="D138" s="49" t="s">
        <v>62</v>
      </c>
      <c r="E138" s="51" t="s">
        <v>60</v>
      </c>
      <c r="F138" s="97">
        <v>0</v>
      </c>
      <c r="G138" s="101">
        <f t="shared" si="11"/>
        <v>0</v>
      </c>
      <c r="H138" s="46"/>
      <c r="I138" s="46">
        <f>G138*'Eilat Car Data'!F$7</f>
        <v>0</v>
      </c>
      <c r="J138" s="46">
        <f>I138*'Tier 1 Coefficients'!I$8</f>
        <v>0</v>
      </c>
      <c r="K138" s="46">
        <f t="shared" si="8"/>
        <v>0</v>
      </c>
      <c r="L138" s="46">
        <f>K138*'Tier 1 Coefficients'!D$3</f>
        <v>0</v>
      </c>
      <c r="M138" s="46">
        <f>K138*'Tier 1 Coefficients'!C$18</f>
        <v>0</v>
      </c>
      <c r="N138" s="46">
        <f>K138*'Tier 1 Coefficients'!C$43</f>
        <v>0</v>
      </c>
      <c r="O138" s="46">
        <f>I138*'Tier 2 FC'!D$27</f>
        <v>0</v>
      </c>
      <c r="P138" s="46">
        <f t="shared" si="9"/>
        <v>0</v>
      </c>
      <c r="Q138" s="46">
        <f>P138*'Tier 1 Coefficients'!D$3</f>
        <v>0</v>
      </c>
      <c r="R138" s="46">
        <f>$I138*'T2 LPG'!C8</f>
        <v>0</v>
      </c>
      <c r="S138" s="121">
        <f>$I138*'T2 LPG'!D8</f>
        <v>0</v>
      </c>
      <c r="T138" s="46">
        <f>44.011*(P138/(12.011+1.008*'Tier 3 CO2 Tables'!B$3+16*'Tier 3 CO2 Tables'!C$3))</f>
        <v>0</v>
      </c>
      <c r="U138" s="46">
        <f>I138*'Tier 3 CO2 Tables'!H$8/10000</f>
        <v>0</v>
      </c>
      <c r="V138" s="46">
        <f>44.011*(U138/(12.011+1.008*'Tier 3 CO2 Tables'!B$6+16*'Tier 3 CO2 Tables'!C$6))</f>
        <v>0</v>
      </c>
      <c r="W138" s="46">
        <f>I138*'T3 Methane'!D21</f>
        <v>0</v>
      </c>
      <c r="X138" s="46" cm="1">
        <f t="array" ref="X138">_xlfn.IFS(E138='Euro Age Table'!C$5,'Euro Age Table'!G$5,E138='Euro Age Table'!C$6,'Euro Age Table'!G$6,E138='Euro Age Table'!C$7,'Euro Age Table'!G$7,E138='Euro Age Table'!C$8,'Euro Age Table'!G$8,E138='Euro Age Table'!C$9,'Euro Age Table'!G$9,E138='Euro Age Table'!C$10,'Euro Age Table'!G$10,E138='Euro Age Table'!C$11,'Euro Age Table'!G$11)</f>
        <v>3</v>
      </c>
      <c r="Y138" s="46">
        <f>X138*'Eilat Car Data'!F$7</f>
        <v>148200</v>
      </c>
      <c r="Z138" s="121">
        <f>('T3 N2O LCV-Petrol'!D8*Y138+'T3 N2O LCV-Petrol'!E8)*'T3 N2O LCV-Petrol'!C8</f>
        <v>2.34489744</v>
      </c>
      <c r="AA138" s="124">
        <f t="shared" si="10"/>
        <v>0</v>
      </c>
    </row>
    <row r="139" spans="1:27" ht="12.5">
      <c r="A139" s="49" t="s">
        <v>7</v>
      </c>
      <c r="B139" s="49" t="s">
        <v>23</v>
      </c>
      <c r="C139" s="49" t="s">
        <v>52</v>
      </c>
      <c r="D139" s="52" t="s">
        <v>62</v>
      </c>
      <c r="E139" s="50" t="s">
        <v>55</v>
      </c>
      <c r="F139" s="97">
        <v>0</v>
      </c>
      <c r="G139" s="99">
        <f t="shared" si="11"/>
        <v>0</v>
      </c>
      <c r="H139" s="46"/>
      <c r="I139" s="46">
        <f>G139*'Eilat Car Data'!F$7</f>
        <v>0</v>
      </c>
      <c r="J139" s="46">
        <f>I139*'Tier 1 Coefficients'!I$5/0.75</f>
        <v>0</v>
      </c>
      <c r="K139" s="46">
        <f t="shared" si="8"/>
        <v>0</v>
      </c>
      <c r="L139" s="46">
        <f>K139*'Tier 1 Coefficients'!D$5</f>
        <v>0</v>
      </c>
      <c r="M139" s="46">
        <f>K139*'Tier 1 Coefficients'!C$19</f>
        <v>0</v>
      </c>
      <c r="N139" s="46">
        <f>K139*'Tier 1 Coefficients'!C$44*1.02</f>
        <v>0</v>
      </c>
      <c r="O139" s="46">
        <f>I139*'Tier 2 FC'!D$29*1.28</f>
        <v>0</v>
      </c>
      <c r="P139" s="46">
        <f t="shared" si="9"/>
        <v>0</v>
      </c>
      <c r="Q139" s="46">
        <f>P139*'Tier 1 Coefficients'!D$5</f>
        <v>0</v>
      </c>
      <c r="R139" s="46">
        <f>I139*'T2 LPG'!C12*1.02</f>
        <v>0</v>
      </c>
      <c r="S139" s="121">
        <f>I139*'T2 LPG'!D8</f>
        <v>0</v>
      </c>
      <c r="T139" s="46">
        <f>44.011*(P139/(12.011+1.008*'Tier 3 CO2 Tables'!B$5+16*'Tier 3 CO2 Tables'!C$5))</f>
        <v>0</v>
      </c>
      <c r="U139" s="46">
        <f>I139*'Tier 3 CO2 Tables'!H3/10000</f>
        <v>0</v>
      </c>
      <c r="V139" s="46">
        <f>44.011*(U139/(12.011+1.008*'Tier 3 CO2 Tables'!B$6+16*'Tier 3 CO2 Tables'!C$6))</f>
        <v>0</v>
      </c>
      <c r="W139" s="46">
        <f>I139*'T3 Methane'!D$13</f>
        <v>0</v>
      </c>
      <c r="X139" s="46" cm="1">
        <f t="array" ref="X139">_xlfn.IFS(E139='Euro Age Table'!C$5,'Euro Age Table'!G$5,E139='Euro Age Table'!C$6,'Euro Age Table'!G$6,E139='Euro Age Table'!C$7,'Euro Age Table'!G$7,E139='Euro Age Table'!C$8,'Euro Age Table'!G$8,E139='Euro Age Table'!C$9,'Euro Age Table'!G$9,E139='Euro Age Table'!C$10,'Euro Age Table'!G$10,E139='Euro Age Table'!C$11,'Euro Age Table'!G$11)</f>
        <v>23</v>
      </c>
      <c r="Y139" s="46">
        <f>X139*'Eilat Car Data'!F$7</f>
        <v>1136200</v>
      </c>
      <c r="Z139" s="121">
        <f>'T3 N2O PC-Diesel LPG'!B10</f>
        <v>21</v>
      </c>
      <c r="AA139" s="124">
        <f t="shared" si="10"/>
        <v>0</v>
      </c>
    </row>
    <row r="140" spans="1:27" ht="12.5">
      <c r="A140" s="49" t="s">
        <v>7</v>
      </c>
      <c r="B140" s="51" t="s">
        <v>23</v>
      </c>
      <c r="C140" s="49" t="s">
        <v>52</v>
      </c>
      <c r="D140" s="51" t="s">
        <v>62</v>
      </c>
      <c r="E140" s="51" t="s">
        <v>60</v>
      </c>
      <c r="F140" s="97">
        <v>0</v>
      </c>
      <c r="G140" s="99">
        <f t="shared" si="11"/>
        <v>0</v>
      </c>
      <c r="H140" s="46"/>
      <c r="I140" s="46">
        <f>G140*'Eilat Car Data'!F$7</f>
        <v>0</v>
      </c>
      <c r="J140" s="46">
        <f>I140*'Tier 1 Coefficients'!I$5/0.75</f>
        <v>0</v>
      </c>
      <c r="K140" s="46">
        <f t="shared" si="8"/>
        <v>0</v>
      </c>
      <c r="L140" s="46">
        <f>K140*'Tier 1 Coefficients'!D$5</f>
        <v>0</v>
      </c>
      <c r="M140" s="46">
        <f>K140*'Tier 1 Coefficients'!C$19</f>
        <v>0</v>
      </c>
      <c r="N140" s="46">
        <f>K140*'Tier 1 Coefficients'!C$44*1.02</f>
        <v>0</v>
      </c>
      <c r="O140" s="46">
        <f>I140*'Tier 2 FC'!D$29*1.28</f>
        <v>0</v>
      </c>
      <c r="P140" s="46">
        <f t="shared" si="9"/>
        <v>0</v>
      </c>
      <c r="Q140" s="46">
        <f>P140*'Tier 1 Coefficients'!D$5</f>
        <v>0</v>
      </c>
      <c r="R140" s="46">
        <f>I140*'T2 LPG'!C17*1.02</f>
        <v>0</v>
      </c>
      <c r="S140" s="121">
        <f>I140*'T2 LPG'!D8</f>
        <v>0</v>
      </c>
      <c r="T140" s="46">
        <f>44.011*(P140/(12.011+1.008*'Tier 3 CO2 Tables'!B$5+16*'Tier 3 CO2 Tables'!C$5))</f>
        <v>0</v>
      </c>
      <c r="U140" s="46">
        <f>I140*'Tier 3 CO2 Tables'!H4/10000</f>
        <v>0</v>
      </c>
      <c r="V140" s="46">
        <f>44.011*(U140/(12.011+1.008*'Tier 3 CO2 Tables'!B$6+16*'Tier 3 CO2 Tables'!C$6))</f>
        <v>0</v>
      </c>
      <c r="W140" s="46">
        <f>I140*'T3 Methane'!D$13</f>
        <v>0</v>
      </c>
      <c r="X140" s="46" cm="1">
        <f t="array" ref="X140">_xlfn.IFS(E140='Euro Age Table'!C$5,'Euro Age Table'!G$5,E140='Euro Age Table'!C$6,'Euro Age Table'!G$6,E140='Euro Age Table'!C$7,'Euro Age Table'!G$7,E140='Euro Age Table'!C$8,'Euro Age Table'!G$8,E140='Euro Age Table'!C$9,'Euro Age Table'!G$9,E140='Euro Age Table'!C$10,'Euro Age Table'!G$10,E140='Euro Age Table'!C$11,'Euro Age Table'!G$11)</f>
        <v>3</v>
      </c>
      <c r="Y140" s="46">
        <f>X140*'Eilat Car Data'!F$7</f>
        <v>148200</v>
      </c>
      <c r="Z140" s="121">
        <f>'T3 N2O PC-Diesel LPG'!B15</f>
        <v>2.1</v>
      </c>
      <c r="AA140" s="124">
        <f t="shared" si="10"/>
        <v>0</v>
      </c>
    </row>
    <row r="141" spans="1:27" ht="12.5">
      <c r="A141" s="49" t="s">
        <v>7</v>
      </c>
      <c r="B141" s="49" t="s">
        <v>22</v>
      </c>
      <c r="C141" s="49" t="s">
        <v>52</v>
      </c>
      <c r="D141" s="49" t="s">
        <v>53</v>
      </c>
      <c r="E141" s="50" t="s">
        <v>56</v>
      </c>
      <c r="F141" s="97">
        <v>0</v>
      </c>
      <c r="G141" s="99">
        <f t="shared" si="11"/>
        <v>0</v>
      </c>
      <c r="H141" s="46"/>
      <c r="I141" s="46">
        <f>G141*'Eilat Car Data'!F$7</f>
        <v>0</v>
      </c>
      <c r="J141" s="46">
        <f>I141*'Tier 1 Coefficients'!I$9</f>
        <v>0</v>
      </c>
      <c r="K141" s="46">
        <f t="shared" si="8"/>
        <v>0</v>
      </c>
      <c r="L141" s="46">
        <f>K141*'Tier 1 Coefficients'!D$4</f>
        <v>0</v>
      </c>
      <c r="M141" s="46">
        <f>K141*'Tier 1 Coefficients'!C$20</f>
        <v>0</v>
      </c>
      <c r="N141" s="46">
        <f>K141*'Tier 1 Coefficients'!C$44</f>
        <v>0</v>
      </c>
      <c r="O141" s="46">
        <f>I141*'Tier 2 FC'!D$29</f>
        <v>0</v>
      </c>
      <c r="P141" s="46">
        <f t="shared" si="9"/>
        <v>0</v>
      </c>
      <c r="Q141" s="46">
        <f>P141*'Tier 1 Coefficients'!D$4</f>
        <v>0</v>
      </c>
      <c r="R141" s="46">
        <f>I141*'T2 LPG'!C13</f>
        <v>0</v>
      </c>
      <c r="S141" s="121">
        <f>I141*'T2 LPG'!D13</f>
        <v>0</v>
      </c>
      <c r="T141" s="46">
        <f>44.011*(P141/(12.011+1.008*'Tier 3 CO2 Tables'!B$4+16*'Tier 3 CO2 Tables'!C$4))</f>
        <v>0</v>
      </c>
      <c r="U141" s="46">
        <f>I141*'Tier 3 CO2 Tables'!H$9/10000</f>
        <v>0</v>
      </c>
      <c r="V141" s="46">
        <f>44.011*(U141/(12.011+1.008*'Tier 3 CO2 Tables'!B$6+16*'Tier 3 CO2 Tables'!C$6))</f>
        <v>0</v>
      </c>
      <c r="W141" s="46">
        <f>I141*'T3 Methane'!D24</f>
        <v>0</v>
      </c>
      <c r="X141" s="46" cm="1">
        <f t="array" ref="X141">_xlfn.IFS(E141='Euro Age Table'!C$5,'Euro Age Table'!G$5,E141='Euro Age Table'!C$6,'Euro Age Table'!G$6,E141='Euro Age Table'!C$7,'Euro Age Table'!G$7,E141='Euro Age Table'!C$8,'Euro Age Table'!G$8,E141='Euro Age Table'!C$9,'Euro Age Table'!G$9,E141='Euro Age Table'!C$10,'Euro Age Table'!G$10,E141='Euro Age Table'!C$11,'Euro Age Table'!G$11)</f>
        <v>18</v>
      </c>
      <c r="Y141" s="46">
        <f>X141*'Eilat Car Data'!F$7</f>
        <v>889200</v>
      </c>
      <c r="Z141" s="121">
        <f>'T3 N2O PC-Diesel LPG'!B5</f>
        <v>4</v>
      </c>
      <c r="AA141" s="124">
        <f t="shared" si="10"/>
        <v>0</v>
      </c>
    </row>
    <row r="142" spans="1:27" ht="12.5">
      <c r="A142" s="49" t="s">
        <v>7</v>
      </c>
      <c r="B142" s="49" t="s">
        <v>22</v>
      </c>
      <c r="C142" s="49" t="s">
        <v>52</v>
      </c>
      <c r="D142" s="49" t="s">
        <v>53</v>
      </c>
      <c r="E142" s="51" t="s">
        <v>60</v>
      </c>
      <c r="F142" s="97">
        <v>0</v>
      </c>
      <c r="G142" s="99">
        <f t="shared" si="11"/>
        <v>0</v>
      </c>
      <c r="H142" s="46"/>
      <c r="I142" s="46">
        <f>G142*'Eilat Car Data'!F$7</f>
        <v>0</v>
      </c>
      <c r="J142" s="46">
        <f>I142*'Tier 1 Coefficients'!I$9</f>
        <v>0</v>
      </c>
      <c r="K142" s="46">
        <f t="shared" si="8"/>
        <v>0</v>
      </c>
      <c r="L142" s="46">
        <f>K142*'Tier 1 Coefficients'!D$4</f>
        <v>0</v>
      </c>
      <c r="M142" s="46">
        <f>K142*'Tier 1 Coefficients'!C$20</f>
        <v>0</v>
      </c>
      <c r="N142" s="46">
        <f>K142*'Tier 1 Coefficients'!C$44</f>
        <v>0</v>
      </c>
      <c r="O142" s="46">
        <f>I142*'Tier 2 FC'!D$29</f>
        <v>0</v>
      </c>
      <c r="P142" s="46">
        <f t="shared" si="9"/>
        <v>0</v>
      </c>
      <c r="Q142" s="46">
        <f>P142*'Tier 1 Coefficients'!D$4</f>
        <v>0</v>
      </c>
      <c r="R142" s="46">
        <f>I142*'T2 LPG'!C17</f>
        <v>0</v>
      </c>
      <c r="S142" s="121">
        <f>I142*'T2 LPG'!D17</f>
        <v>0</v>
      </c>
      <c r="T142" s="46">
        <f>44.011*(P142/(12.011+1.008*'Tier 3 CO2 Tables'!B$4+16*'Tier 3 CO2 Tables'!C$4))</f>
        <v>0</v>
      </c>
      <c r="U142" s="46">
        <f>I142*'Tier 3 CO2 Tables'!H$9/10000</f>
        <v>0</v>
      </c>
      <c r="V142" s="46">
        <f>44.011*(U142/(12.011+1.008*'Tier 3 CO2 Tables'!B$6+16*'Tier 3 CO2 Tables'!C$6))</f>
        <v>0</v>
      </c>
      <c r="W142" s="46">
        <f>I142*'T3 Methane'!D27</f>
        <v>0</v>
      </c>
      <c r="X142" s="46" cm="1">
        <f t="array" ref="X142">_xlfn.IFS(E142='Euro Age Table'!C$5,'Euro Age Table'!G$5,E142='Euro Age Table'!C$6,'Euro Age Table'!G$6,E142='Euro Age Table'!C$7,'Euro Age Table'!G$7,E142='Euro Age Table'!C$8,'Euro Age Table'!G$8,E142='Euro Age Table'!C$9,'Euro Age Table'!G$9,E142='Euro Age Table'!C$10,'Euro Age Table'!G$10,E142='Euro Age Table'!C$11,'Euro Age Table'!G$11)</f>
        <v>3</v>
      </c>
      <c r="Y142" s="46">
        <f>X142*'Eilat Car Data'!F$7</f>
        <v>148200</v>
      </c>
      <c r="Z142" s="121">
        <f>'T3 N2O PC-Diesel LPG'!B7</f>
        <v>11</v>
      </c>
      <c r="AA142" s="124">
        <f t="shared" si="10"/>
        <v>0</v>
      </c>
    </row>
    <row r="143" spans="1:27" ht="12.5">
      <c r="A143" s="49" t="s">
        <v>7</v>
      </c>
      <c r="B143" s="49" t="s">
        <v>22</v>
      </c>
      <c r="C143" s="49" t="s">
        <v>52</v>
      </c>
      <c r="D143" s="52" t="s">
        <v>61</v>
      </c>
      <c r="E143" s="50" t="s">
        <v>56</v>
      </c>
      <c r="F143" s="97">
        <v>0</v>
      </c>
      <c r="G143" s="99">
        <f t="shared" si="11"/>
        <v>0</v>
      </c>
      <c r="H143" s="46"/>
      <c r="I143" s="46">
        <f>G143*'Eilat Car Data'!F$7</f>
        <v>0</v>
      </c>
      <c r="J143" s="46">
        <f>I143*'Tier 1 Coefficients'!I$9</f>
        <v>0</v>
      </c>
      <c r="K143" s="46">
        <f t="shared" si="8"/>
        <v>0</v>
      </c>
      <c r="L143" s="46">
        <f>K143*'Tier 1 Coefficients'!D$4</f>
        <v>0</v>
      </c>
      <c r="M143" s="46">
        <f>K143*'Tier 1 Coefficients'!C$20</f>
        <v>0</v>
      </c>
      <c r="N143" s="46">
        <f>K143*'Tier 1 Coefficients'!C$44</f>
        <v>0</v>
      </c>
      <c r="O143" s="46">
        <f>I143*'Tier 2 FC'!D$29</f>
        <v>0</v>
      </c>
      <c r="P143" s="46">
        <f t="shared" si="9"/>
        <v>0</v>
      </c>
      <c r="Q143" s="46">
        <f>P143*'Tier 1 Coefficients'!D$4</f>
        <v>0</v>
      </c>
      <c r="R143" s="46">
        <f>$I143*'T2 LPG'!C13</f>
        <v>0</v>
      </c>
      <c r="S143" s="121">
        <f>$I143*'T2 LPG'!D13</f>
        <v>0</v>
      </c>
      <c r="T143" s="46">
        <f>44.011*(P143/(12.011+1.008*'Tier 3 CO2 Tables'!B$4+16*'Tier 3 CO2 Tables'!C$4))</f>
        <v>0</v>
      </c>
      <c r="U143" s="46">
        <f>I143*'Tier 3 CO2 Tables'!H$9/10000</f>
        <v>0</v>
      </c>
      <c r="V143" s="46">
        <f>44.011*(U143/(12.011+1.008*'Tier 3 CO2 Tables'!B$6+16*'Tier 3 CO2 Tables'!C$6))</f>
        <v>0</v>
      </c>
      <c r="W143" s="46">
        <f>I143*'T3 Methane'!D24</f>
        <v>0</v>
      </c>
      <c r="X143" s="46" cm="1">
        <f t="array" ref="X143">_xlfn.IFS(E143='Euro Age Table'!C$5,'Euro Age Table'!G$5,E143='Euro Age Table'!C$6,'Euro Age Table'!G$6,E143='Euro Age Table'!C$7,'Euro Age Table'!G$7,E143='Euro Age Table'!C$8,'Euro Age Table'!G$8,E143='Euro Age Table'!C$9,'Euro Age Table'!G$9,E143='Euro Age Table'!C$10,'Euro Age Table'!G$10,E143='Euro Age Table'!C$11,'Euro Age Table'!G$11)</f>
        <v>18</v>
      </c>
      <c r="Y143" s="46">
        <f>X143*'Eilat Car Data'!F$7</f>
        <v>889200</v>
      </c>
      <c r="Z143" s="121">
        <f>'T3 N2O PC-Diesel LPG'!B5</f>
        <v>4</v>
      </c>
      <c r="AA143" s="124">
        <f t="shared" si="10"/>
        <v>0</v>
      </c>
    </row>
    <row r="144" spans="1:27" ht="12.5">
      <c r="A144" s="49" t="s">
        <v>7</v>
      </c>
      <c r="B144" s="49" t="s">
        <v>22</v>
      </c>
      <c r="C144" s="49" t="s">
        <v>52</v>
      </c>
      <c r="D144" s="49" t="s">
        <v>61</v>
      </c>
      <c r="E144" s="50" t="s">
        <v>57</v>
      </c>
      <c r="F144" s="97">
        <v>6.328713372571356E-5</v>
      </c>
      <c r="G144" s="99">
        <f t="shared" si="11"/>
        <v>2.3416239478514017E-3</v>
      </c>
      <c r="H144" s="46"/>
      <c r="I144" s="46">
        <f>G144*'Eilat Car Data'!F$7</f>
        <v>115.67622302385924</v>
      </c>
      <c r="J144" s="46">
        <f>I144*'Tier 1 Coefficients'!I$9</f>
        <v>9254.0978419087387</v>
      </c>
      <c r="K144" s="46">
        <f t="shared" si="8"/>
        <v>9.2540978419087381</v>
      </c>
      <c r="L144" s="46">
        <f>K144*'Tier 1 Coefficients'!D$4</f>
        <v>29.326236061008792</v>
      </c>
      <c r="M144" s="46">
        <f>K144*'Tier 1 Coefficients'!C$20</f>
        <v>59.318767166635013</v>
      </c>
      <c r="N144" s="46">
        <f>K144*'Tier 1 Coefficients'!C$44</f>
        <v>0.51822947914688933</v>
      </c>
      <c r="O144" s="46">
        <f>I144*'Tier 2 FC'!D$29</f>
        <v>9254.0978419087387</v>
      </c>
      <c r="P144" s="46">
        <f t="shared" si="9"/>
        <v>9.2540978419087381</v>
      </c>
      <c r="Q144" s="46">
        <f>P144*'Tier 1 Coefficients'!D$4</f>
        <v>29.326236061008792</v>
      </c>
      <c r="R144" s="46">
        <f>$I144*'T2 LPG'!C14</f>
        <v>1.041086007214733</v>
      </c>
      <c r="S144" s="121">
        <f>$I144*'T2 LPG'!D14</f>
        <v>53.673767483070691</v>
      </c>
      <c r="T144" s="46">
        <f>44.011*(P144/(12.011+1.008*'Tier 3 CO2 Tables'!B$4+16*'Tier 3 CO2 Tables'!C$4))</f>
        <v>29.330665404010801</v>
      </c>
      <c r="U144" s="46">
        <f>I144*'Tier 3 CO2 Tables'!H$9/10000</f>
        <v>1.7235757230555027E-2</v>
      </c>
      <c r="V144" s="46">
        <f>44.011*(U144/(12.011+1.008*'Tier 3 CO2 Tables'!B$6+16*'Tier 3 CO2 Tables'!C$6))</f>
        <v>5.3769653285309055E-2</v>
      </c>
      <c r="W144" s="46">
        <f>I144*'T3 Methane'!D25</f>
        <v>347.02866907157772</v>
      </c>
      <c r="X144" s="46" cm="1">
        <f t="array" ref="X144">_xlfn.IFS(E144='Euro Age Table'!C$5,'Euro Age Table'!G$5,E144='Euro Age Table'!C$6,'Euro Age Table'!G$6,E144='Euro Age Table'!C$7,'Euro Age Table'!G$7,E144='Euro Age Table'!C$8,'Euro Age Table'!G$8,E144='Euro Age Table'!C$9,'Euro Age Table'!G$9,E144='Euro Age Table'!C$10,'Euro Age Table'!G$10,E144='Euro Age Table'!C$11,'Euro Age Table'!G$11)</f>
        <v>16</v>
      </c>
      <c r="Y144" s="46">
        <f>X144*'Eilat Car Data'!F$7</f>
        <v>790400</v>
      </c>
      <c r="Z144" s="121">
        <f>'T3 N2O PC-Diesel LPG'!B6</f>
        <v>9</v>
      </c>
      <c r="AA144" s="124">
        <f t="shared" si="10"/>
        <v>1041.0860072147332</v>
      </c>
    </row>
    <row r="145" spans="1:27" ht="12.5">
      <c r="A145" s="49" t="s">
        <v>7</v>
      </c>
      <c r="B145" s="49" t="s">
        <v>22</v>
      </c>
      <c r="C145" s="49" t="s">
        <v>52</v>
      </c>
      <c r="D145" s="49" t="s">
        <v>61</v>
      </c>
      <c r="E145" s="50" t="s">
        <v>58</v>
      </c>
      <c r="F145" s="97">
        <v>2.0251882792228339E-3</v>
      </c>
      <c r="G145" s="99">
        <f t="shared" si="11"/>
        <v>7.4931966331244854E-2</v>
      </c>
      <c r="H145" s="46"/>
      <c r="I145" s="46">
        <f>G145*'Eilat Car Data'!F$7</f>
        <v>3701.6391367634956</v>
      </c>
      <c r="J145" s="46">
        <f>I145*'Tier 1 Coefficients'!I$9</f>
        <v>296131.13094107964</v>
      </c>
      <c r="K145" s="46">
        <f t="shared" si="8"/>
        <v>296.13113094107962</v>
      </c>
      <c r="L145" s="46">
        <f>K145*'Tier 1 Coefficients'!D$4</f>
        <v>938.43955395228136</v>
      </c>
      <c r="M145" s="46">
        <f>K145*'Tier 1 Coefficients'!C$20</f>
        <v>1898.2005493323204</v>
      </c>
      <c r="N145" s="46">
        <f>K145*'Tier 1 Coefficients'!C$44</f>
        <v>16.583343332700458</v>
      </c>
      <c r="O145" s="46">
        <f>I145*'Tier 2 FC'!D$29</f>
        <v>296131.13094107964</v>
      </c>
      <c r="P145" s="46">
        <f t="shared" si="9"/>
        <v>296.13113094107962</v>
      </c>
      <c r="Q145" s="46">
        <f>P145*'Tier 1 Coefficients'!D$4</f>
        <v>938.43955395228136</v>
      </c>
      <c r="R145" s="46">
        <f>$I145*'T2 LPG'!C15</f>
        <v>33.314752230871456</v>
      </c>
      <c r="S145" s="121">
        <f>$I145*'T2 LPG'!D15</f>
        <v>1473.2523764318714</v>
      </c>
      <c r="T145" s="46">
        <f>44.011*(P145/(12.011+1.008*'Tier 3 CO2 Tables'!B$4+16*'Tier 3 CO2 Tables'!C$4))</f>
        <v>938.58129292834565</v>
      </c>
      <c r="U145" s="46">
        <f>I145*'Tier 3 CO2 Tables'!H$9/10000</f>
        <v>0.55154423137776087</v>
      </c>
      <c r="V145" s="46">
        <f>44.011*(U145/(12.011+1.008*'Tier 3 CO2 Tables'!B$6+16*'Tier 3 CO2 Tables'!C$6))</f>
        <v>1.7206289051298898</v>
      </c>
      <c r="W145" s="46">
        <f>I145*'T3 Methane'!D26</f>
        <v>4071.8030504398453</v>
      </c>
      <c r="X145" s="46" cm="1">
        <f t="array" ref="X145">_xlfn.IFS(E145='Euro Age Table'!C$5,'Euro Age Table'!G$5,E145='Euro Age Table'!C$6,'Euro Age Table'!G$6,E145='Euro Age Table'!C$7,'Euro Age Table'!G$7,E145='Euro Age Table'!C$8,'Euro Age Table'!G$8,E145='Euro Age Table'!C$9,'Euro Age Table'!G$9,E145='Euro Age Table'!C$10,'Euro Age Table'!G$10,E145='Euro Age Table'!C$11,'Euro Age Table'!G$11)</f>
        <v>13</v>
      </c>
      <c r="Y145" s="46">
        <f>X145*'Eilat Car Data'!F$7</f>
        <v>642200</v>
      </c>
      <c r="Z145" s="121">
        <f>'T3 N2O PC-Diesel LPG'!B6</f>
        <v>9</v>
      </c>
      <c r="AA145" s="124">
        <f t="shared" si="10"/>
        <v>33314.752230871462</v>
      </c>
    </row>
    <row r="146" spans="1:27" ht="12.5">
      <c r="A146" s="49" t="s">
        <v>7</v>
      </c>
      <c r="B146" s="49" t="s">
        <v>22</v>
      </c>
      <c r="C146" s="49" t="s">
        <v>52</v>
      </c>
      <c r="D146" s="49" t="s">
        <v>61</v>
      </c>
      <c r="E146" s="50" t="s">
        <v>59</v>
      </c>
      <c r="F146" s="97">
        <v>2.6011011961268274E-2</v>
      </c>
      <c r="G146" s="99">
        <f t="shared" si="11"/>
        <v>0.96240744256692612</v>
      </c>
      <c r="H146" s="46"/>
      <c r="I146" s="46">
        <f>G146*'Eilat Car Data'!F$7</f>
        <v>47542.927662806149</v>
      </c>
      <c r="J146" s="46">
        <f>I146*'Tier 1 Coefficients'!I$9</f>
        <v>3803434.2130244919</v>
      </c>
      <c r="K146" s="46">
        <f t="shared" si="8"/>
        <v>3803.4342130244918</v>
      </c>
      <c r="L146" s="46">
        <f>K146*'Tier 1 Coefficients'!D$4</f>
        <v>12053.083021074615</v>
      </c>
      <c r="M146" s="46">
        <f>K146*'Tier 1 Coefficients'!C$20</f>
        <v>24380.013305486991</v>
      </c>
      <c r="N146" s="46">
        <f>K146*'Tier 1 Coefficients'!C$44</f>
        <v>212.99231592937156</v>
      </c>
      <c r="O146" s="46">
        <f>I146*'Tier 2 FC'!D$29</f>
        <v>3803434.2130244919</v>
      </c>
      <c r="P146" s="46">
        <f t="shared" si="9"/>
        <v>3803.4342130244918</v>
      </c>
      <c r="Q146" s="46">
        <f>P146*'Tier 1 Coefficients'!D$4</f>
        <v>12053.083021074615</v>
      </c>
      <c r="R146" s="46">
        <f>$I146*'T2 LPG'!C16</f>
        <v>190.1717106512246</v>
      </c>
      <c r="S146" s="121">
        <f>$I146*'T2 LPG'!D16</f>
        <v>18922.085209796849</v>
      </c>
      <c r="T146" s="46">
        <f>44.011*(P146/(12.011+1.008*'Tier 3 CO2 Tables'!B$4+16*'Tier 3 CO2 Tables'!C$4))</f>
        <v>12054.903481048441</v>
      </c>
      <c r="U146" s="46">
        <f>I146*'Tier 3 CO2 Tables'!H$9/10000</f>
        <v>7.083896221758117</v>
      </c>
      <c r="V146" s="46">
        <f>44.011*(U146/(12.011+1.008*'Tier 3 CO2 Tables'!B$6+16*'Tier 3 CO2 Tables'!C$6))</f>
        <v>22.099327500262021</v>
      </c>
      <c r="W146" s="46">
        <f>I146*'T3 Methane'!D27</f>
        <v>356.57195747104612</v>
      </c>
      <c r="X146" s="46" cm="1">
        <f t="array" ref="X146">_xlfn.IFS(E146='Euro Age Table'!C$5,'Euro Age Table'!G$5,E146='Euro Age Table'!C$6,'Euro Age Table'!G$6,E146='Euro Age Table'!C$7,'Euro Age Table'!G$7,E146='Euro Age Table'!C$8,'Euro Age Table'!G$8,E146='Euro Age Table'!C$9,'Euro Age Table'!G$9,E146='Euro Age Table'!C$10,'Euro Age Table'!G$10,E146='Euro Age Table'!C$11,'Euro Age Table'!G$11)</f>
        <v>9</v>
      </c>
      <c r="Y146" s="46">
        <f>X146*'Eilat Car Data'!F$7</f>
        <v>444600</v>
      </c>
      <c r="Z146" s="121">
        <f>'T3 N2O PC-Diesel LPG'!B6</f>
        <v>9</v>
      </c>
      <c r="AA146" s="124">
        <f t="shared" si="10"/>
        <v>427886.34896525531</v>
      </c>
    </row>
    <row r="147" spans="1:27" ht="12.5">
      <c r="A147" s="49" t="s">
        <v>7</v>
      </c>
      <c r="B147" s="49" t="s">
        <v>22</v>
      </c>
      <c r="C147" s="49" t="s">
        <v>52</v>
      </c>
      <c r="D147" s="49" t="s">
        <v>61</v>
      </c>
      <c r="E147" s="51" t="s">
        <v>60</v>
      </c>
      <c r="F147" s="97">
        <v>0</v>
      </c>
      <c r="G147" s="99">
        <f t="shared" si="11"/>
        <v>0</v>
      </c>
      <c r="H147" s="46"/>
      <c r="I147" s="46">
        <f>G147*'Eilat Car Data'!F$7</f>
        <v>0</v>
      </c>
      <c r="J147" s="46">
        <f>I147*'Tier 1 Coefficients'!I$9</f>
        <v>0</v>
      </c>
      <c r="K147" s="46">
        <f t="shared" si="8"/>
        <v>0</v>
      </c>
      <c r="L147" s="46">
        <f>K147*'Tier 1 Coefficients'!D$4</f>
        <v>0</v>
      </c>
      <c r="M147" s="46">
        <f>K147*'Tier 1 Coefficients'!C$20</f>
        <v>0</v>
      </c>
      <c r="N147" s="46">
        <f>K147*'Tier 1 Coefficients'!C$44</f>
        <v>0</v>
      </c>
      <c r="O147" s="46">
        <f>I147*'Tier 2 FC'!D$29</f>
        <v>0</v>
      </c>
      <c r="P147" s="46">
        <f t="shared" si="9"/>
        <v>0</v>
      </c>
      <c r="Q147" s="46">
        <f>P147*'Tier 1 Coefficients'!D$4</f>
        <v>0</v>
      </c>
      <c r="R147" s="46">
        <f>$I147*'T2 LPG'!C17</f>
        <v>0</v>
      </c>
      <c r="S147" s="121">
        <f>$I147*'T2 LPG'!D17</f>
        <v>0</v>
      </c>
      <c r="T147" s="46">
        <f>44.011*(P147/(12.011+1.008*'Tier 3 CO2 Tables'!B$4+16*'Tier 3 CO2 Tables'!C$4))</f>
        <v>0</v>
      </c>
      <c r="U147" s="46">
        <f>I147*'Tier 3 CO2 Tables'!H$10/10000</f>
        <v>0</v>
      </c>
      <c r="V147" s="46">
        <f>44.011*(U147/(12.011+1.008*'Tier 3 CO2 Tables'!B$6+16*'Tier 3 CO2 Tables'!C$6))</f>
        <v>0</v>
      </c>
      <c r="W147" s="46">
        <f>I147*'T3 Methane'!D28</f>
        <v>0</v>
      </c>
      <c r="X147" s="46" cm="1">
        <f t="array" ref="X147">_xlfn.IFS(E147='Euro Age Table'!C$5,'Euro Age Table'!G$5,E147='Euro Age Table'!C$6,'Euro Age Table'!G$6,E147='Euro Age Table'!C$7,'Euro Age Table'!G$7,E147='Euro Age Table'!C$8,'Euro Age Table'!G$8,E147='Euro Age Table'!C$9,'Euro Age Table'!G$9,E147='Euro Age Table'!C$10,'Euro Age Table'!G$10,E147='Euro Age Table'!C$11,'Euro Age Table'!G$11)</f>
        <v>3</v>
      </c>
      <c r="Y147" s="46">
        <f>X147*'Eilat Car Data'!F$7</f>
        <v>148200</v>
      </c>
      <c r="Z147" s="121">
        <f>'T3 N2O PC-Diesel LPG'!B7</f>
        <v>11</v>
      </c>
      <c r="AA147" s="124">
        <f t="shared" si="10"/>
        <v>0</v>
      </c>
    </row>
    <row r="148" spans="1:27" ht="12.5">
      <c r="A148" s="49" t="s">
        <v>7</v>
      </c>
      <c r="B148" s="49" t="s">
        <v>22</v>
      </c>
      <c r="C148" s="49" t="s">
        <v>52</v>
      </c>
      <c r="D148" s="52" t="s">
        <v>62</v>
      </c>
      <c r="E148" s="50" t="s">
        <v>54</v>
      </c>
      <c r="F148" s="97">
        <v>0</v>
      </c>
      <c r="G148" s="99">
        <f t="shared" si="11"/>
        <v>0</v>
      </c>
      <c r="H148" s="46"/>
      <c r="I148" s="46">
        <f>G148*'Eilat Car Data'!F$7</f>
        <v>0</v>
      </c>
      <c r="J148" s="46">
        <f>I148*'Tier 1 Coefficients'!I$9</f>
        <v>0</v>
      </c>
      <c r="K148" s="46">
        <f t="shared" si="8"/>
        <v>0</v>
      </c>
      <c r="L148" s="46">
        <f>K148*'Tier 1 Coefficients'!D$4</f>
        <v>0</v>
      </c>
      <c r="M148" s="46">
        <f>K148*'Tier 1 Coefficients'!C$20</f>
        <v>0</v>
      </c>
      <c r="N148" s="46">
        <f>K148*'Tier 1 Coefficients'!C$44</f>
        <v>0</v>
      </c>
      <c r="O148" s="46">
        <f>I148*'Tier 2 FC'!D$29</f>
        <v>0</v>
      </c>
      <c r="P148" s="46">
        <f t="shared" si="9"/>
        <v>0</v>
      </c>
      <c r="Q148" s="46">
        <f>P148*'Tier 1 Coefficients'!D$4</f>
        <v>0</v>
      </c>
      <c r="R148" s="46">
        <f>$I148*'T2 LPG'!C11</f>
        <v>0</v>
      </c>
      <c r="S148" s="121">
        <f>$I148*'T2 LPG'!D11</f>
        <v>0</v>
      </c>
      <c r="T148" s="46">
        <f>44.011*(P148/(12.011+1.008*'Tier 3 CO2 Tables'!B$4+16*'Tier 3 CO2 Tables'!C$4))</f>
        <v>0</v>
      </c>
      <c r="U148" s="46">
        <f>I148*'Tier 3 CO2 Tables'!H$9/10000</f>
        <v>0</v>
      </c>
      <c r="V148" s="46">
        <f>44.011*(U148/(12.011+1.008*'Tier 3 CO2 Tables'!B$6+16*'Tier 3 CO2 Tables'!C$6))</f>
        <v>0</v>
      </c>
      <c r="W148" s="46">
        <f>I148*'T3 Methane'!D22</f>
        <v>0</v>
      </c>
      <c r="X148" s="46" cm="1">
        <f t="array" ref="X148">_xlfn.IFS(E148='Euro Age Table'!C$5,'Euro Age Table'!G$5,E148='Euro Age Table'!C$6,'Euro Age Table'!G$6,E148='Euro Age Table'!C$7,'Euro Age Table'!G$7,E148='Euro Age Table'!C$8,'Euro Age Table'!G$8,E148='Euro Age Table'!C$9,'Euro Age Table'!G$9,E148='Euro Age Table'!C$10,'Euro Age Table'!G$10,E148='Euro Age Table'!C$11,'Euro Age Table'!G$11)</f>
        <v>27</v>
      </c>
      <c r="Y148" s="46">
        <f>X148*'Eilat Car Data'!F$7</f>
        <v>1333800</v>
      </c>
      <c r="Z148" s="121">
        <f>'T3 N2O PC-Diesel LPG'!B3</f>
        <v>0</v>
      </c>
      <c r="AA148" s="124">
        <f t="shared" si="10"/>
        <v>0</v>
      </c>
    </row>
    <row r="149" spans="1:27" ht="12.5">
      <c r="A149" s="49" t="s">
        <v>7</v>
      </c>
      <c r="B149" s="49" t="s">
        <v>22</v>
      </c>
      <c r="C149" s="49" t="s">
        <v>52</v>
      </c>
      <c r="D149" s="49" t="s">
        <v>62</v>
      </c>
      <c r="E149" s="50" t="s">
        <v>55</v>
      </c>
      <c r="F149" s="97">
        <v>0</v>
      </c>
      <c r="G149" s="99">
        <f t="shared" si="11"/>
        <v>0</v>
      </c>
      <c r="H149" s="46"/>
      <c r="I149" s="46">
        <f>G149*'Eilat Car Data'!F$7</f>
        <v>0</v>
      </c>
      <c r="J149" s="46">
        <f>I149*'Tier 1 Coefficients'!I$9</f>
        <v>0</v>
      </c>
      <c r="K149" s="46">
        <f t="shared" si="8"/>
        <v>0</v>
      </c>
      <c r="L149" s="46">
        <f>K149*'Tier 1 Coefficients'!D$4</f>
        <v>0</v>
      </c>
      <c r="M149" s="46">
        <f>K149*'Tier 1 Coefficients'!C$20</f>
        <v>0</v>
      </c>
      <c r="N149" s="46">
        <f>K149*'Tier 1 Coefficients'!C$44</f>
        <v>0</v>
      </c>
      <c r="O149" s="46">
        <f>I149*'Tier 2 FC'!D$29</f>
        <v>0</v>
      </c>
      <c r="P149" s="46">
        <f t="shared" si="9"/>
        <v>0</v>
      </c>
      <c r="Q149" s="46">
        <f>P149*'Tier 1 Coefficients'!D$4</f>
        <v>0</v>
      </c>
      <c r="R149" s="46">
        <f>$I149*'T2 LPG'!C12</f>
        <v>0</v>
      </c>
      <c r="S149" s="121">
        <f>$I149*'T2 LPG'!D12</f>
        <v>0</v>
      </c>
      <c r="T149" s="46">
        <f>44.011*(P149/(12.011+1.008*'Tier 3 CO2 Tables'!B$4+16*'Tier 3 CO2 Tables'!C$4))</f>
        <v>0</v>
      </c>
      <c r="U149" s="46">
        <f>I149*'Tier 3 CO2 Tables'!H$9/10000</f>
        <v>0</v>
      </c>
      <c r="V149" s="46">
        <f>44.011*(U149/(12.011+1.008*'Tier 3 CO2 Tables'!B$6+16*'Tier 3 CO2 Tables'!C$6))</f>
        <v>0</v>
      </c>
      <c r="W149" s="46">
        <f>I149*'T3 Methane'!D23</f>
        <v>0</v>
      </c>
      <c r="X149" s="46" cm="1">
        <f t="array" ref="X149">_xlfn.IFS(E149='Euro Age Table'!C$5,'Euro Age Table'!G$5,E149='Euro Age Table'!C$6,'Euro Age Table'!G$6,E149='Euro Age Table'!C$7,'Euro Age Table'!G$7,E149='Euro Age Table'!C$8,'Euro Age Table'!G$8,E149='Euro Age Table'!C$9,'Euro Age Table'!G$9,E149='Euro Age Table'!C$10,'Euro Age Table'!G$10,E149='Euro Age Table'!C$11,'Euro Age Table'!G$11)</f>
        <v>23</v>
      </c>
      <c r="Y149" s="46">
        <f>X149*'Eilat Car Data'!F$7</f>
        <v>1136200</v>
      </c>
      <c r="Z149" s="121">
        <f>'T3 N2O PC-Diesel LPG'!B4</f>
        <v>2</v>
      </c>
      <c r="AA149" s="124">
        <f t="shared" si="10"/>
        <v>0</v>
      </c>
    </row>
    <row r="150" spans="1:27" ht="12.5">
      <c r="A150" s="49" t="s">
        <v>7</v>
      </c>
      <c r="B150" s="49" t="s">
        <v>22</v>
      </c>
      <c r="C150" s="49" t="s">
        <v>52</v>
      </c>
      <c r="D150" s="49" t="s">
        <v>62</v>
      </c>
      <c r="E150" s="50" t="s">
        <v>56</v>
      </c>
      <c r="F150" s="97">
        <v>0</v>
      </c>
      <c r="G150" s="99">
        <f t="shared" si="11"/>
        <v>0</v>
      </c>
      <c r="H150" s="46"/>
      <c r="I150" s="46">
        <f>G150*'Eilat Car Data'!F$7</f>
        <v>0</v>
      </c>
      <c r="J150" s="46">
        <f>I150*'Tier 1 Coefficients'!I$9</f>
        <v>0</v>
      </c>
      <c r="K150" s="46">
        <f t="shared" si="8"/>
        <v>0</v>
      </c>
      <c r="L150" s="46">
        <f>K150*'Tier 1 Coefficients'!D$4</f>
        <v>0</v>
      </c>
      <c r="M150" s="46">
        <f>K150*'Tier 1 Coefficients'!C$20</f>
        <v>0</v>
      </c>
      <c r="N150" s="46">
        <f>K150*'Tier 1 Coefficients'!C$44</f>
        <v>0</v>
      </c>
      <c r="O150" s="46">
        <f>I150*'Tier 2 FC'!D$29</f>
        <v>0</v>
      </c>
      <c r="P150" s="46">
        <f t="shared" si="9"/>
        <v>0</v>
      </c>
      <c r="Q150" s="46">
        <f>P150*'Tier 1 Coefficients'!D$4</f>
        <v>0</v>
      </c>
      <c r="R150" s="46">
        <f>$I150*'T2 LPG'!C13</f>
        <v>0</v>
      </c>
      <c r="S150" s="121">
        <f>$I150*'T2 LPG'!D13</f>
        <v>0</v>
      </c>
      <c r="T150" s="46">
        <f>44.011*(P150/(12.011+1.008*'Tier 3 CO2 Tables'!B$4+16*'Tier 3 CO2 Tables'!C$4))</f>
        <v>0</v>
      </c>
      <c r="U150" s="46">
        <f>I150*'Tier 3 CO2 Tables'!H$9/10000</f>
        <v>0</v>
      </c>
      <c r="V150" s="46">
        <f>44.011*(U150/(12.011+1.008*'Tier 3 CO2 Tables'!B$6+16*'Tier 3 CO2 Tables'!C$6))</f>
        <v>0</v>
      </c>
      <c r="W150" s="46">
        <f>I150*'T3 Methane'!D24</f>
        <v>0</v>
      </c>
      <c r="X150" s="46" cm="1">
        <f t="array" ref="X150">_xlfn.IFS(E150='Euro Age Table'!C$5,'Euro Age Table'!G$5,E150='Euro Age Table'!C$6,'Euro Age Table'!G$6,E150='Euro Age Table'!C$7,'Euro Age Table'!G$7,E150='Euro Age Table'!C$8,'Euro Age Table'!G$8,E150='Euro Age Table'!C$9,'Euro Age Table'!G$9,E150='Euro Age Table'!C$10,'Euro Age Table'!G$10,E150='Euro Age Table'!C$11,'Euro Age Table'!G$11)</f>
        <v>18</v>
      </c>
      <c r="Y150" s="46">
        <f>X150*'Eilat Car Data'!F$7</f>
        <v>889200</v>
      </c>
      <c r="Z150" s="121">
        <f>'T3 N2O PC-Diesel LPG'!B5</f>
        <v>4</v>
      </c>
      <c r="AA150" s="124">
        <f t="shared" si="10"/>
        <v>0</v>
      </c>
    </row>
    <row r="151" spans="1:27" ht="12.5">
      <c r="A151" s="49" t="s">
        <v>7</v>
      </c>
      <c r="B151" s="49" t="s">
        <v>22</v>
      </c>
      <c r="C151" s="49" t="s">
        <v>52</v>
      </c>
      <c r="D151" s="49" t="s">
        <v>62</v>
      </c>
      <c r="E151" s="50" t="s">
        <v>57</v>
      </c>
      <c r="F151" s="97">
        <v>1.3923169419656984E-3</v>
      </c>
      <c r="G151" s="99">
        <f t="shared" si="11"/>
        <v>5.1515726852730842E-2</v>
      </c>
      <c r="H151" s="46"/>
      <c r="I151" s="46">
        <f>G151*'Eilat Car Data'!F$7</f>
        <v>2544.8769065249035</v>
      </c>
      <c r="J151" s="46">
        <f>I151*'Tier 1 Coefficients'!I$9</f>
        <v>203590.15252199228</v>
      </c>
      <c r="K151" s="46">
        <f t="shared" si="8"/>
        <v>203.59015252199228</v>
      </c>
      <c r="L151" s="46">
        <f>K151*'Tier 1 Coefficients'!D$4</f>
        <v>645.1771933421935</v>
      </c>
      <c r="M151" s="46">
        <f>K151*'Tier 1 Coefficients'!C$20</f>
        <v>1305.0128776659706</v>
      </c>
      <c r="N151" s="46">
        <f>K151*'Tier 1 Coefficients'!C$44</f>
        <v>11.401048541231567</v>
      </c>
      <c r="O151" s="46">
        <f>I151*'Tier 2 FC'!D$29</f>
        <v>203590.15252199228</v>
      </c>
      <c r="P151" s="46">
        <f t="shared" si="9"/>
        <v>203.59015252199228</v>
      </c>
      <c r="Q151" s="46">
        <f>P151*'Tier 1 Coefficients'!D$4</f>
        <v>645.1771933421935</v>
      </c>
      <c r="R151" s="46">
        <f>$I151*'T2 LPG'!C14</f>
        <v>22.90389215872413</v>
      </c>
      <c r="S151" s="121">
        <f>$I151*'T2 LPG'!D14</f>
        <v>1180.8228846275554</v>
      </c>
      <c r="T151" s="46">
        <f>44.011*(P151/(12.011+1.008*'Tier 3 CO2 Tables'!B$4+16*'Tier 3 CO2 Tables'!C$4))</f>
        <v>645.27463888823775</v>
      </c>
      <c r="U151" s="46">
        <f>I151*'Tier 3 CO2 Tables'!H$9/10000</f>
        <v>0.37918665907221061</v>
      </c>
      <c r="V151" s="46">
        <f>44.011*(U151/(12.011+1.008*'Tier 3 CO2 Tables'!B$6+16*'Tier 3 CO2 Tables'!C$6))</f>
        <v>1.182932372276799</v>
      </c>
      <c r="W151" s="46">
        <f>I151*'T3 Methane'!D25</f>
        <v>7634.6307195747104</v>
      </c>
      <c r="X151" s="46" cm="1">
        <f t="array" ref="X151">_xlfn.IFS(E151='Euro Age Table'!C$5,'Euro Age Table'!G$5,E151='Euro Age Table'!C$6,'Euro Age Table'!G$6,E151='Euro Age Table'!C$7,'Euro Age Table'!G$7,E151='Euro Age Table'!C$8,'Euro Age Table'!G$8,E151='Euro Age Table'!C$9,'Euro Age Table'!G$9,E151='Euro Age Table'!C$10,'Euro Age Table'!G$10,E151='Euro Age Table'!C$11,'Euro Age Table'!G$11)</f>
        <v>16</v>
      </c>
      <c r="Y151" s="46">
        <f>X151*'Eilat Car Data'!F$7</f>
        <v>790400</v>
      </c>
      <c r="Z151" s="121">
        <f>'T3 N2O PC-Diesel LPG'!B6</f>
        <v>9</v>
      </c>
      <c r="AA151" s="124">
        <f t="shared" si="10"/>
        <v>22903.892158724131</v>
      </c>
    </row>
    <row r="152" spans="1:27" ht="12.5">
      <c r="A152" s="49" t="s">
        <v>7</v>
      </c>
      <c r="B152" s="49" t="s">
        <v>22</v>
      </c>
      <c r="C152" s="49" t="s">
        <v>52</v>
      </c>
      <c r="D152" s="49" t="s">
        <v>62</v>
      </c>
      <c r="E152" s="50" t="s">
        <v>58</v>
      </c>
      <c r="F152" s="97">
        <v>3.4175052211885323E-3</v>
      </c>
      <c r="G152" s="99">
        <f t="shared" si="11"/>
        <v>0.1264476931839757</v>
      </c>
      <c r="H152" s="46"/>
      <c r="I152" s="46">
        <f>G152*'Eilat Car Data'!F$7</f>
        <v>6246.5160432883995</v>
      </c>
      <c r="J152" s="46">
        <f>I152*'Tier 1 Coefficients'!I$9</f>
        <v>499721.28346307197</v>
      </c>
      <c r="K152" s="46">
        <f t="shared" si="8"/>
        <v>499.72128346307198</v>
      </c>
      <c r="L152" s="46">
        <f>K152*'Tier 1 Coefficients'!D$4</f>
        <v>1583.6167472944751</v>
      </c>
      <c r="M152" s="46">
        <f>K152*'Tier 1 Coefficients'!C$20</f>
        <v>3203.2134269982917</v>
      </c>
      <c r="N152" s="46">
        <f>K152*'Tier 1 Coefficients'!C$44</f>
        <v>27.984391873932033</v>
      </c>
      <c r="O152" s="46">
        <f>I152*'Tier 2 FC'!D$29</f>
        <v>499721.28346307197</v>
      </c>
      <c r="P152" s="46">
        <f t="shared" si="9"/>
        <v>499.72128346307198</v>
      </c>
      <c r="Q152" s="46">
        <f>P152*'Tier 1 Coefficients'!D$4</f>
        <v>1583.6167472944751</v>
      </c>
      <c r="R152" s="46">
        <f>$I152*'T2 LPG'!C15</f>
        <v>56.218644389595589</v>
      </c>
      <c r="S152" s="121">
        <f>$I152*'T2 LPG'!D15</f>
        <v>2486.113385228783</v>
      </c>
      <c r="T152" s="46">
        <f>44.011*(P152/(12.011+1.008*'Tier 3 CO2 Tables'!B$4+16*'Tier 3 CO2 Tables'!C$4))</f>
        <v>1583.8559318165837</v>
      </c>
      <c r="U152" s="46">
        <f>I152*'Tier 3 CO2 Tables'!H$9/10000</f>
        <v>0.93073089044997159</v>
      </c>
      <c r="V152" s="46">
        <f>44.011*(U152/(12.011+1.008*'Tier 3 CO2 Tables'!B$6+16*'Tier 3 CO2 Tables'!C$6))</f>
        <v>2.903561277406689</v>
      </c>
      <c r="W152" s="46">
        <f>I152*'T3 Methane'!D26</f>
        <v>6871.1676476172397</v>
      </c>
      <c r="X152" s="46" cm="1">
        <f t="array" ref="X152">_xlfn.IFS(E152='Euro Age Table'!C$5,'Euro Age Table'!G$5,E152='Euro Age Table'!C$6,'Euro Age Table'!G$6,E152='Euro Age Table'!C$7,'Euro Age Table'!G$7,E152='Euro Age Table'!C$8,'Euro Age Table'!G$8,E152='Euro Age Table'!C$9,'Euro Age Table'!G$9,E152='Euro Age Table'!C$10,'Euro Age Table'!G$10,E152='Euro Age Table'!C$11,'Euro Age Table'!G$11)</f>
        <v>13</v>
      </c>
      <c r="Y152" s="46">
        <f>X152*'Eilat Car Data'!F$7</f>
        <v>642200</v>
      </c>
      <c r="Z152" s="121">
        <f>'T3 N2O PC-Diesel LPG'!B6</f>
        <v>9</v>
      </c>
      <c r="AA152" s="124">
        <f t="shared" si="10"/>
        <v>56218.644389595596</v>
      </c>
    </row>
    <row r="153" spans="1:27" ht="12.5">
      <c r="A153" s="49" t="s">
        <v>7</v>
      </c>
      <c r="B153" s="49" t="s">
        <v>22</v>
      </c>
      <c r="C153" s="49" t="s">
        <v>52</v>
      </c>
      <c r="D153" s="49" t="s">
        <v>62</v>
      </c>
      <c r="E153" s="50" t="s">
        <v>59</v>
      </c>
      <c r="F153" s="97">
        <v>9.936079994937029E-3</v>
      </c>
      <c r="G153" s="99">
        <f t="shared" si="11"/>
        <v>0.36763495981267008</v>
      </c>
      <c r="H153" s="46"/>
      <c r="I153" s="46">
        <f>G153*'Eilat Car Data'!F$7</f>
        <v>18161.167014745901</v>
      </c>
      <c r="J153" s="46">
        <f>I153*'Tier 1 Coefficients'!I$9</f>
        <v>1452893.3611796722</v>
      </c>
      <c r="K153" s="46">
        <f t="shared" si="8"/>
        <v>1452.8933611796722</v>
      </c>
      <c r="L153" s="46">
        <f>K153*'Tier 1 Coefficients'!D$4</f>
        <v>4604.2190615783811</v>
      </c>
      <c r="M153" s="46">
        <f>K153*'Tier 1 Coefficients'!C$20</f>
        <v>9313.046445161699</v>
      </c>
      <c r="N153" s="46">
        <f>K153*'Tier 1 Coefficients'!C$44</f>
        <v>81.362028226061639</v>
      </c>
      <c r="O153" s="46">
        <f>I153*'Tier 2 FC'!D$29</f>
        <v>1452893.3611796722</v>
      </c>
      <c r="P153" s="46">
        <f t="shared" si="9"/>
        <v>1452.8933611796722</v>
      </c>
      <c r="Q153" s="46">
        <f>P153*'Tier 1 Coefficients'!D$4</f>
        <v>4604.2190615783811</v>
      </c>
      <c r="R153" s="46">
        <f>$I153*'T2 LPG'!C16</f>
        <v>72.644668058983598</v>
      </c>
      <c r="S153" s="121">
        <f>$I153*'T2 LPG'!D16</f>
        <v>7228.144471868869</v>
      </c>
      <c r="T153" s="46">
        <f>44.011*(P153/(12.011+1.008*'Tier 3 CO2 Tables'!B$4+16*'Tier 3 CO2 Tables'!C$4))</f>
        <v>4604.9144684296971</v>
      </c>
      <c r="U153" s="46">
        <f>I153*'Tier 3 CO2 Tables'!H$9/10000</f>
        <v>2.7060138851971391</v>
      </c>
      <c r="V153" s="46">
        <f>44.011*(U153/(12.011+1.008*'Tier 3 CO2 Tables'!B$6+16*'Tier 3 CO2 Tables'!C$6))</f>
        <v>8.4418355657935198</v>
      </c>
      <c r="W153" s="46">
        <f>I153*'T3 Methane'!D27</f>
        <v>136.20875261059425</v>
      </c>
      <c r="X153" s="46" cm="1">
        <f t="array" ref="X153">_xlfn.IFS(E153='Euro Age Table'!C$5,'Euro Age Table'!G$5,E153='Euro Age Table'!C$6,'Euro Age Table'!G$6,E153='Euro Age Table'!C$7,'Euro Age Table'!G$7,E153='Euro Age Table'!C$8,'Euro Age Table'!G$8,E153='Euro Age Table'!C$9,'Euro Age Table'!G$9,E153='Euro Age Table'!C$10,'Euro Age Table'!G$10,E153='Euro Age Table'!C$11,'Euro Age Table'!G$11)</f>
        <v>9</v>
      </c>
      <c r="Y153" s="46">
        <f>X153*'Eilat Car Data'!F$7</f>
        <v>444600</v>
      </c>
      <c r="Z153" s="121">
        <f>'T3 N2O PC-Diesel LPG'!B6</f>
        <v>9</v>
      </c>
      <c r="AA153" s="124">
        <f t="shared" si="10"/>
        <v>163450.50313271311</v>
      </c>
    </row>
    <row r="154" spans="1:27" ht="12.5">
      <c r="A154" s="49" t="s">
        <v>7</v>
      </c>
      <c r="B154" s="49" t="s">
        <v>22</v>
      </c>
      <c r="C154" s="51" t="s">
        <v>52</v>
      </c>
      <c r="D154" s="51" t="s">
        <v>62</v>
      </c>
      <c r="E154" s="51" t="s">
        <v>60</v>
      </c>
      <c r="F154" s="97">
        <v>0</v>
      </c>
      <c r="G154" s="99">
        <f t="shared" si="11"/>
        <v>0</v>
      </c>
      <c r="H154" s="46"/>
      <c r="I154" s="46">
        <f>G154*'Eilat Car Data'!F$7</f>
        <v>0</v>
      </c>
      <c r="J154" s="46">
        <f>I154*'Tier 1 Coefficients'!I$9</f>
        <v>0</v>
      </c>
      <c r="K154" s="46">
        <f t="shared" si="8"/>
        <v>0</v>
      </c>
      <c r="L154" s="46">
        <f>K154*'Tier 1 Coefficients'!D$4</f>
        <v>0</v>
      </c>
      <c r="M154" s="46">
        <f>K154*'Tier 1 Coefficients'!C$20</f>
        <v>0</v>
      </c>
      <c r="N154" s="46">
        <f>K154*'Tier 1 Coefficients'!C$44</f>
        <v>0</v>
      </c>
      <c r="O154" s="46">
        <f>I154*'Tier 2 FC'!D$29</f>
        <v>0</v>
      </c>
      <c r="P154" s="46">
        <f t="shared" si="9"/>
        <v>0</v>
      </c>
      <c r="Q154" s="46">
        <f>P154*'Tier 1 Coefficients'!D$4</f>
        <v>0</v>
      </c>
      <c r="R154" s="46">
        <f>$I154*'T2 LPG'!C17</f>
        <v>0</v>
      </c>
      <c r="S154" s="121">
        <f>$I154*'T2 LPG'!D17</f>
        <v>0</v>
      </c>
      <c r="T154" s="46">
        <f>44.011*(P154/(12.011+1.008*'Tier 3 CO2 Tables'!B$4+16*'Tier 3 CO2 Tables'!C$4))</f>
        <v>0</v>
      </c>
      <c r="U154" s="46">
        <f>I154*'Tier 3 CO2 Tables'!H$10/10000</f>
        <v>0</v>
      </c>
      <c r="V154" s="46">
        <f>44.011*(U154/(12.011+1.008*'Tier 3 CO2 Tables'!B$6+16*'Tier 3 CO2 Tables'!C$6))</f>
        <v>0</v>
      </c>
      <c r="W154" s="46">
        <f>I154*'T3 Methane'!D27</f>
        <v>0</v>
      </c>
      <c r="X154" s="46" cm="1">
        <f t="array" ref="X154">_xlfn.IFS(E154='Euro Age Table'!C$5,'Euro Age Table'!G$5,E154='Euro Age Table'!C$6,'Euro Age Table'!G$6,E154='Euro Age Table'!C$7,'Euro Age Table'!G$7,E154='Euro Age Table'!C$8,'Euro Age Table'!G$8,E154='Euro Age Table'!C$9,'Euro Age Table'!G$9,E154='Euro Age Table'!C$10,'Euro Age Table'!G$10,E154='Euro Age Table'!C$11,'Euro Age Table'!G$11)</f>
        <v>3</v>
      </c>
      <c r="Y154" s="46">
        <f>X154*'Eilat Car Data'!F$7</f>
        <v>148200</v>
      </c>
      <c r="Z154" s="121">
        <f>'T3 N2O PC-Diesel LPG'!B7</f>
        <v>11</v>
      </c>
      <c r="AA154" s="124">
        <f t="shared" si="10"/>
        <v>0</v>
      </c>
    </row>
    <row r="155" spans="1:27" ht="12.5">
      <c r="A155" s="49" t="s">
        <v>7</v>
      </c>
      <c r="B155" s="52" t="s">
        <v>20</v>
      </c>
      <c r="C155" s="49" t="s">
        <v>65</v>
      </c>
      <c r="D155" s="49" t="s">
        <v>66</v>
      </c>
      <c r="E155" s="50" t="s">
        <v>55</v>
      </c>
      <c r="F155" s="97">
        <v>0</v>
      </c>
      <c r="G155" s="99">
        <f t="shared" si="11"/>
        <v>0</v>
      </c>
      <c r="H155" s="76"/>
      <c r="I155" s="46">
        <f>G155*'Eilat Car Data'!F$7</f>
        <v>0</v>
      </c>
      <c r="J155" s="46">
        <f>I155*'Tier 1 Coefficients'!I$8</f>
        <v>0</v>
      </c>
      <c r="K155" s="46">
        <f t="shared" si="8"/>
        <v>0</v>
      </c>
      <c r="L155" s="46">
        <f>K155*'Tier 1 Coefficients'!D$3</f>
        <v>0</v>
      </c>
      <c r="M155" s="46">
        <f>K155*'Tier 1 Coefficients'!C$18</f>
        <v>0</v>
      </c>
      <c r="N155" s="46">
        <f>K155*'Tier 1 Coefficients'!C$43</f>
        <v>0</v>
      </c>
      <c r="O155" s="46">
        <f>I155*'Tier 2 FC'!D$27</f>
        <v>0</v>
      </c>
      <c r="P155" s="46">
        <f t="shared" si="9"/>
        <v>0</v>
      </c>
      <c r="Q155" s="46">
        <f>P155*'Tier 1 Coefficients'!D$3</f>
        <v>0</v>
      </c>
      <c r="R155" s="46">
        <f>$I155*'T2 LPG'!C3</f>
        <v>0</v>
      </c>
      <c r="S155" s="121">
        <f>$I155*'T2 LPG'!D3</f>
        <v>0</v>
      </c>
      <c r="T155" s="46">
        <f>44.011*(P155/(12.011+1.008*'Tier 3 CO2 Tables'!B$3+16*'Tier 3 CO2 Tables'!C$3))</f>
        <v>0</v>
      </c>
      <c r="U155" s="46">
        <f>I155*'Tier 3 CO2 Tables'!H$7/10000</f>
        <v>0</v>
      </c>
      <c r="V155" s="46">
        <f>44.011*(U155/(12.011+1.008*'Tier 3 CO2 Tables'!B$6+16*'Tier 3 CO2 Tables'!C$6))</f>
        <v>0</v>
      </c>
      <c r="W155" s="46">
        <f>I155*'T3 Methane'!D18</f>
        <v>0</v>
      </c>
      <c r="X155" s="46" cm="1">
        <f t="array" ref="X155">_xlfn.IFS(E155='Euro Age Table'!C$5,'Euro Age Table'!G$5,E155='Euro Age Table'!C$6,'Euro Age Table'!G$6,E155='Euro Age Table'!C$7,'Euro Age Table'!G$7,E155='Euro Age Table'!C$8,'Euro Age Table'!G$8,E155='Euro Age Table'!C$9,'Euro Age Table'!G$9,E155='Euro Age Table'!C$10,'Euro Age Table'!G$10,E155='Euro Age Table'!C$11,'Euro Age Table'!G$11)</f>
        <v>23</v>
      </c>
      <c r="Y155" s="46">
        <f>X155*'Eilat Car Data'!F$7</f>
        <v>1136200</v>
      </c>
      <c r="Z155" s="121">
        <f>('T3 N2O LCV-Petrol'!D3*Y155+'T3 N2O LCV-Petrol'!E3)*'T3 N2O LCV-Petrol'!C3</f>
        <v>131.859859</v>
      </c>
      <c r="AA155" s="124">
        <f t="shared" si="10"/>
        <v>0</v>
      </c>
    </row>
    <row r="156" spans="1:27" ht="12.5">
      <c r="A156" s="49" t="s">
        <v>7</v>
      </c>
      <c r="B156" s="49" t="s">
        <v>20</v>
      </c>
      <c r="C156" s="49" t="s">
        <v>65</v>
      </c>
      <c r="D156" s="49" t="s">
        <v>66</v>
      </c>
      <c r="E156" s="50" t="s">
        <v>59</v>
      </c>
      <c r="F156" s="97">
        <v>1.2657426745142712E-4</v>
      </c>
      <c r="G156" s="99">
        <f t="shared" si="11"/>
        <v>4.6832478957028034E-3</v>
      </c>
      <c r="H156" s="76"/>
      <c r="I156" s="46">
        <f>G156*'Eilat Car Data'!F$7</f>
        <v>231.35244604771847</v>
      </c>
      <c r="J156" s="46">
        <f>I156*'Tier 1 Coefficients'!I$8</f>
        <v>23135.244604771848</v>
      </c>
      <c r="K156" s="46">
        <f t="shared" si="8"/>
        <v>23.135244604771849</v>
      </c>
      <c r="L156" s="46">
        <f>K156*'Tier 1 Coefficients'!D$3</f>
        <v>73.315590152521992</v>
      </c>
      <c r="M156" s="46">
        <f>K156*'Tier 1 Coefficients'!C$19</f>
        <v>140.43093475096512</v>
      </c>
      <c r="N156" s="46">
        <f>K156*'Tier 1 Coefficients'!C$43</f>
        <v>4.3031554964875642</v>
      </c>
      <c r="O156" s="46">
        <f>I156*'Tier 2 FC'!D$27</f>
        <v>16194.671223340292</v>
      </c>
      <c r="P156" s="46">
        <f t="shared" si="9"/>
        <v>16.194671223340293</v>
      </c>
      <c r="Q156" s="46">
        <f>P156*'Tier 1 Coefficients'!D$3</f>
        <v>51.320913106765389</v>
      </c>
      <c r="R156" s="46">
        <f>$I156*'T2 LPG'!C7</f>
        <v>0.30075817986203401</v>
      </c>
      <c r="S156" s="121">
        <f>$I156*'T2 LPG'!D7</f>
        <v>92.078273526991964</v>
      </c>
      <c r="T156" s="46">
        <f>44.011*(P156/(12.011+1.008*'Tier 3 CO2 Tables'!B$3+16*'Tier 3 CO2 Tables'!C$3))</f>
        <v>51.328664457018903</v>
      </c>
      <c r="U156" s="46">
        <f>I156*'Tier 3 CO2 Tables'!H$7/10000</f>
        <v>3.3546104676919181E-2</v>
      </c>
      <c r="V156" s="46">
        <f>44.011*(U156/(12.011+1.008*'Tier 3 CO2 Tables'!B$6+16*'Tier 3 CO2 Tables'!C$6))</f>
        <v>0.10465234532040017</v>
      </c>
      <c r="W156" s="46">
        <f>I156*'T3 Methane'!D21</f>
        <v>462.70489209543695</v>
      </c>
      <c r="X156" s="46" cm="1">
        <f t="array" ref="X156">_xlfn.IFS(E156='Euro Age Table'!C$5,'Euro Age Table'!G$5,E156='Euro Age Table'!C$6,'Euro Age Table'!G$6,E156='Euro Age Table'!C$7,'Euro Age Table'!G$7,E156='Euro Age Table'!C$8,'Euro Age Table'!G$8,E156='Euro Age Table'!C$9,'Euro Age Table'!G$9,E156='Euro Age Table'!C$10,'Euro Age Table'!G$10,E156='Euro Age Table'!C$11,'Euro Age Table'!G$11)</f>
        <v>9</v>
      </c>
      <c r="Y156" s="46">
        <f>X156*'Eilat Car Data'!F$7</f>
        <v>444600</v>
      </c>
      <c r="Z156" s="121">
        <f>('T3 N2O LCV-Petrol'!D7*Y156+'T3 N2O LCV-Petrol'!E7)*'T3 N2O LCV-Petrol'!C7</f>
        <v>2.9018923199999995</v>
      </c>
      <c r="AA156" s="124">
        <f t="shared" si="10"/>
        <v>671.35988639908851</v>
      </c>
    </row>
    <row r="157" spans="1:27" ht="12.5">
      <c r="A157" s="49" t="s">
        <v>7</v>
      </c>
      <c r="B157" s="49" t="s">
        <v>20</v>
      </c>
      <c r="C157" s="49" t="s">
        <v>65</v>
      </c>
      <c r="D157" s="49" t="s">
        <v>66</v>
      </c>
      <c r="E157" s="51" t="s">
        <v>60</v>
      </c>
      <c r="F157" s="97">
        <v>1.2657426745142712E-4</v>
      </c>
      <c r="G157" s="99">
        <f t="shared" si="11"/>
        <v>4.6832478957028034E-3</v>
      </c>
      <c r="H157" s="76"/>
      <c r="I157" s="46">
        <f>G157*'Eilat Car Data'!F$7</f>
        <v>231.35244604771847</v>
      </c>
      <c r="J157" s="46">
        <f>I157*'Tier 1 Coefficients'!I$8</f>
        <v>23135.244604771848</v>
      </c>
      <c r="K157" s="46">
        <f t="shared" si="8"/>
        <v>23.135244604771849</v>
      </c>
      <c r="L157" s="46">
        <f>K157*'Tier 1 Coefficients'!D$3</f>
        <v>73.315590152521992</v>
      </c>
      <c r="M157" s="46">
        <f>K157*'Tier 1 Coefficients'!C$19</f>
        <v>140.43093475096512</v>
      </c>
      <c r="N157" s="46">
        <f>K157*'Tier 1 Coefficients'!C$43</f>
        <v>4.3031554964875642</v>
      </c>
      <c r="O157" s="46">
        <f>I157*'Tier 2 FC'!D$27</f>
        <v>16194.671223340292</v>
      </c>
      <c r="P157" s="46">
        <f t="shared" si="9"/>
        <v>16.194671223340293</v>
      </c>
      <c r="Q157" s="46">
        <f>P157*'Tier 1 Coefficients'!D$3</f>
        <v>51.320913106765389</v>
      </c>
      <c r="R157" s="46">
        <f>$I157*'T2 LPG'!C8</f>
        <v>0.30075817986203401</v>
      </c>
      <c r="S157" s="121">
        <f>$I157*'T2 LPG'!D8</f>
        <v>92.078273526991964</v>
      </c>
      <c r="T157" s="46">
        <f>44.011*(P157/(12.011+1.008*'Tier 3 CO2 Tables'!B$3+16*'Tier 3 CO2 Tables'!C$3))</f>
        <v>51.328664457018903</v>
      </c>
      <c r="U157" s="46">
        <f>I157*'Tier 3 CO2 Tables'!H$8/10000</f>
        <v>2.9613113094107968E-2</v>
      </c>
      <c r="V157" s="46">
        <f>44.011*(U157/(12.011+1.008*'Tier 3 CO2 Tables'!B$6+16*'Tier 3 CO2 Tables'!C$6))</f>
        <v>9.2382760006973944E-2</v>
      </c>
      <c r="W157" s="46">
        <f>I157*'T3 Methane'!D21</f>
        <v>462.70489209543695</v>
      </c>
      <c r="X157" s="46" cm="1">
        <f t="array" ref="X157">_xlfn.IFS(E157='Euro Age Table'!C$5,'Euro Age Table'!G$5,E157='Euro Age Table'!C$6,'Euro Age Table'!G$6,E157='Euro Age Table'!C$7,'Euro Age Table'!G$7,E157='Euro Age Table'!C$8,'Euro Age Table'!G$8,E157='Euro Age Table'!C$9,'Euro Age Table'!G$9,E157='Euro Age Table'!C$10,'Euro Age Table'!G$10,E157='Euro Age Table'!C$11,'Euro Age Table'!G$11)</f>
        <v>3</v>
      </c>
      <c r="Y157" s="46">
        <f>X157*'Eilat Car Data'!F$7</f>
        <v>148200</v>
      </c>
      <c r="Z157" s="121">
        <f>('T3 N2O LCV-Petrol'!D8*Y157+'T3 N2O LCV-Petrol'!E8)*'T3 N2O LCV-Petrol'!C8</f>
        <v>2.34489744</v>
      </c>
      <c r="AA157" s="124">
        <f t="shared" si="10"/>
        <v>542.49775847503315</v>
      </c>
    </row>
    <row r="158" spans="1:27" ht="12.5">
      <c r="A158" s="49" t="s">
        <v>7</v>
      </c>
      <c r="B158" s="52" t="s">
        <v>23</v>
      </c>
      <c r="C158" s="49" t="s">
        <v>65</v>
      </c>
      <c r="D158" s="49" t="s">
        <v>66</v>
      </c>
      <c r="E158" s="50" t="s">
        <v>55</v>
      </c>
      <c r="F158" s="97">
        <v>0</v>
      </c>
      <c r="G158" s="99">
        <f t="shared" si="11"/>
        <v>0</v>
      </c>
      <c r="H158" s="76" t="s">
        <v>167</v>
      </c>
      <c r="I158" s="46">
        <f>G158*'Eilat Car Data'!F$7</f>
        <v>0</v>
      </c>
      <c r="J158" s="46">
        <f>I158*'Tier 1 Coefficients'!I$5/0.75</f>
        <v>0</v>
      </c>
      <c r="K158" s="46">
        <f t="shared" si="8"/>
        <v>0</v>
      </c>
      <c r="L158" s="46">
        <f>K158*'Tier 1 Coefficients'!D$5</f>
        <v>0</v>
      </c>
      <c r="M158" s="46">
        <f>K158*'Tier 1 Coefficients'!C$19</f>
        <v>0</v>
      </c>
      <c r="N158" s="46">
        <f>K158*'Tier 1 Coefficients'!C$44*1.02</f>
        <v>0</v>
      </c>
      <c r="O158" s="46">
        <f>I158*'Tier 2 FC'!D$29*1.28</f>
        <v>0</v>
      </c>
      <c r="P158" s="46">
        <f t="shared" si="9"/>
        <v>0</v>
      </c>
      <c r="Q158" s="46">
        <f>P158*'Tier 1 Coefficients'!D$5</f>
        <v>0</v>
      </c>
      <c r="R158" s="46"/>
      <c r="S158" s="46"/>
      <c r="T158" s="46">
        <f>44.011*(P158/(12.011+1.008*'Tier 3 CO2 Tables'!B$5+16*'Tier 3 CO2 Tables'!C$5))</f>
        <v>0</v>
      </c>
      <c r="U158" s="46">
        <f>I158*'Tier 3 CO2 Tables'!H3/10000</f>
        <v>0</v>
      </c>
      <c r="V158" s="46">
        <f>44.011*(U158/(12.011+1.008*'Tier 3 CO2 Tables'!B$6+16*'Tier 3 CO2 Tables'!C$6))</f>
        <v>0</v>
      </c>
      <c r="W158" s="46">
        <f>I158*'T3 Methane'!D$13</f>
        <v>0</v>
      </c>
      <c r="X158" s="46" cm="1">
        <f t="array" ref="X158">_xlfn.IFS(E158='Euro Age Table'!C$5,'Euro Age Table'!G$5,E158='Euro Age Table'!C$6,'Euro Age Table'!G$6,E158='Euro Age Table'!C$7,'Euro Age Table'!G$7,E158='Euro Age Table'!C$8,'Euro Age Table'!G$8,E158='Euro Age Table'!C$9,'Euro Age Table'!G$9,E158='Euro Age Table'!C$10,'Euro Age Table'!G$10,E158='Euro Age Table'!C$11,'Euro Age Table'!G$11)</f>
        <v>23</v>
      </c>
      <c r="Y158" s="46">
        <f>X158*'Eilat Car Data'!F$7</f>
        <v>1136200</v>
      </c>
      <c r="Z158" s="121">
        <f>'T3 N2O PC-Diesel LPG'!B10</f>
        <v>21</v>
      </c>
      <c r="AA158" s="124">
        <f t="shared" si="10"/>
        <v>0</v>
      </c>
    </row>
    <row r="159" spans="1:27" ht="12.5">
      <c r="A159" s="49" t="s">
        <v>7</v>
      </c>
      <c r="B159" s="51" t="s">
        <v>23</v>
      </c>
      <c r="C159" s="49" t="s">
        <v>65</v>
      </c>
      <c r="D159" s="49" t="s">
        <v>66</v>
      </c>
      <c r="E159" s="51" t="s">
        <v>60</v>
      </c>
      <c r="F159" s="97">
        <v>0</v>
      </c>
      <c r="G159" s="99">
        <f t="shared" si="11"/>
        <v>0</v>
      </c>
      <c r="H159" s="76" t="s">
        <v>167</v>
      </c>
      <c r="I159" s="46">
        <f>G159*'Eilat Car Data'!F$7</f>
        <v>0</v>
      </c>
      <c r="J159" s="46">
        <f>I159*'Tier 1 Coefficients'!I$5/0.75</f>
        <v>0</v>
      </c>
      <c r="K159" s="46">
        <f t="shared" si="8"/>
        <v>0</v>
      </c>
      <c r="L159" s="46">
        <f>K159*'Tier 1 Coefficients'!D$5</f>
        <v>0</v>
      </c>
      <c r="M159" s="46">
        <f>K159*'Tier 1 Coefficients'!C$19</f>
        <v>0</v>
      </c>
      <c r="N159" s="46">
        <f>K159*'Tier 1 Coefficients'!C$44*1.02</f>
        <v>0</v>
      </c>
      <c r="O159" s="46">
        <f>I159*'Tier 2 FC'!D$29*1.28</f>
        <v>0</v>
      </c>
      <c r="P159" s="46">
        <f t="shared" si="9"/>
        <v>0</v>
      </c>
      <c r="Q159" s="46">
        <f>P159*'Tier 1 Coefficients'!D$5</f>
        <v>0</v>
      </c>
      <c r="R159" s="46"/>
      <c r="S159" s="46"/>
      <c r="T159" s="46">
        <f>44.011*(P159/(12.011+1.008*'Tier 3 CO2 Tables'!B$5+16*'Tier 3 CO2 Tables'!C$5))</f>
        <v>0</v>
      </c>
      <c r="U159" s="46">
        <f>I159*'Tier 3 CO2 Tables'!H4/10000</f>
        <v>0</v>
      </c>
      <c r="V159" s="46">
        <f>44.011*(U159/(12.011+1.008*'Tier 3 CO2 Tables'!B$6+16*'Tier 3 CO2 Tables'!C$6))</f>
        <v>0</v>
      </c>
      <c r="W159" s="46">
        <f>I159*'T3 Methane'!D$13</f>
        <v>0</v>
      </c>
      <c r="X159" s="46" cm="1">
        <f t="array" ref="X159">_xlfn.IFS(E159='Euro Age Table'!C$5,'Euro Age Table'!G$5,E159='Euro Age Table'!C$6,'Euro Age Table'!G$6,E159='Euro Age Table'!C$7,'Euro Age Table'!G$7,E159='Euro Age Table'!C$8,'Euro Age Table'!G$8,E159='Euro Age Table'!C$9,'Euro Age Table'!G$9,E159='Euro Age Table'!C$10,'Euro Age Table'!G$10,E159='Euro Age Table'!C$11,'Euro Age Table'!G$11)</f>
        <v>3</v>
      </c>
      <c r="Y159" s="46">
        <f>X159*'Eilat Car Data'!F$7</f>
        <v>148200</v>
      </c>
      <c r="Z159" s="121">
        <f>'T3 N2O PC-Diesel LPG'!B15</f>
        <v>2.1</v>
      </c>
      <c r="AA159" s="124">
        <f t="shared" si="10"/>
        <v>0</v>
      </c>
    </row>
    <row r="160" spans="1:27" ht="12.5">
      <c r="A160" s="49" t="s">
        <v>7</v>
      </c>
      <c r="B160" s="49" t="s">
        <v>22</v>
      </c>
      <c r="C160" s="49" t="s">
        <v>65</v>
      </c>
      <c r="D160" s="49" t="s">
        <v>66</v>
      </c>
      <c r="E160" s="50" t="s">
        <v>55</v>
      </c>
      <c r="F160" s="97">
        <v>2.5314853490285424E-4</v>
      </c>
      <c r="G160" s="99">
        <f t="shared" si="11"/>
        <v>9.3664957914056067E-3</v>
      </c>
      <c r="H160" s="76"/>
      <c r="I160" s="46">
        <f>G160*'Eilat Car Data'!F$7</f>
        <v>462.70489209543695</v>
      </c>
      <c r="J160" s="46">
        <f>I160*'Tier 1 Coefficients'!I$9</f>
        <v>37016.391367634955</v>
      </c>
      <c r="K160" s="46">
        <f t="shared" si="8"/>
        <v>37.016391367634952</v>
      </c>
      <c r="L160" s="46">
        <f>K160*'Tier 1 Coefficients'!D$4</f>
        <v>117.30494424403517</v>
      </c>
      <c r="M160" s="46">
        <f>K160*'Tier 1 Coefficients'!C$20</f>
        <v>237.27506866654005</v>
      </c>
      <c r="N160" s="46">
        <f>K160*'Tier 1 Coefficients'!C$44</f>
        <v>2.0729179165875573</v>
      </c>
      <c r="O160" s="46">
        <f>I160*'Tier 2 FC'!D$29</f>
        <v>37016.391367634955</v>
      </c>
      <c r="P160" s="46">
        <f t="shared" si="9"/>
        <v>37.016391367634952</v>
      </c>
      <c r="Q160" s="46">
        <f>P160*'Tier 1 Coefficients'!D$4</f>
        <v>117.30494424403517</v>
      </c>
      <c r="R160" s="46">
        <f>$I160*'T2 LPG'!C12</f>
        <v>1.3881146762863108</v>
      </c>
      <c r="S160" s="121">
        <f>$I160*'T2 LPG'!D12</f>
        <v>275.77211568888043</v>
      </c>
      <c r="T160" s="46">
        <f>44.011*(P160/(12.011+1.008*'Tier 3 CO2 Tables'!B$4+16*'Tier 3 CO2 Tables'!C$4))</f>
        <v>117.32266161604321</v>
      </c>
      <c r="U160" s="46">
        <f>I160*'Tier 3 CO2 Tables'!H$9/10000</f>
        <v>6.8943028922220109E-2</v>
      </c>
      <c r="V160" s="46">
        <f>44.011*(U160/(12.011+1.008*'Tier 3 CO2 Tables'!B$6+16*'Tier 3 CO2 Tables'!C$6))</f>
        <v>0.21507861314123622</v>
      </c>
      <c r="W160" s="46">
        <f>I160*'T3 Methane'!D23</f>
        <v>5089.753813049806</v>
      </c>
      <c r="X160" s="46" cm="1">
        <f t="array" ref="X160">_xlfn.IFS(E160='Euro Age Table'!C$5,'Euro Age Table'!G$5,E160='Euro Age Table'!C$6,'Euro Age Table'!G$6,E160='Euro Age Table'!C$7,'Euro Age Table'!G$7,E160='Euro Age Table'!C$8,'Euro Age Table'!G$8,E160='Euro Age Table'!C$9,'Euro Age Table'!G$9,E160='Euro Age Table'!C$10,'Euro Age Table'!G$10,E160='Euro Age Table'!C$11,'Euro Age Table'!G$11)</f>
        <v>23</v>
      </c>
      <c r="Y160" s="46">
        <f>X160*'Eilat Car Data'!F$7</f>
        <v>1136200</v>
      </c>
      <c r="Z160" s="123">
        <f>'T3 N2O PC-Diesel LPG'!B4</f>
        <v>2</v>
      </c>
      <c r="AA160" s="124">
        <f t="shared" si="10"/>
        <v>925.40978419087389</v>
      </c>
    </row>
    <row r="161" spans="1:27" ht="12.5">
      <c r="A161" s="49" t="s">
        <v>7</v>
      </c>
      <c r="B161" s="49" t="s">
        <v>22</v>
      </c>
      <c r="C161" s="49" t="s">
        <v>65</v>
      </c>
      <c r="D161" s="49" t="s">
        <v>66</v>
      </c>
      <c r="E161" s="50" t="s">
        <v>56</v>
      </c>
      <c r="F161" s="97">
        <v>1.5125624960445542E-2</v>
      </c>
      <c r="G161" s="99">
        <f t="shared" si="11"/>
        <v>0.55964812353648508</v>
      </c>
      <c r="H161" s="76"/>
      <c r="I161" s="46">
        <f>G161*'Eilat Car Data'!F$7</f>
        <v>27646.617302702361</v>
      </c>
      <c r="J161" s="46">
        <f>I161*'Tier 1 Coefficients'!I$9</f>
        <v>2211729.3842161889</v>
      </c>
      <c r="K161" s="46">
        <f t="shared" si="8"/>
        <v>2211.7293842161889</v>
      </c>
      <c r="L161" s="46">
        <f>K161*'Tier 1 Coefficients'!D$4</f>
        <v>7008.9704185811024</v>
      </c>
      <c r="M161" s="46">
        <f>K161*'Tier 1 Coefficients'!C$20</f>
        <v>14177.185352825771</v>
      </c>
      <c r="N161" s="46">
        <f>K161*'Tier 1 Coefficients'!C$44</f>
        <v>123.85684551610659</v>
      </c>
      <c r="O161" s="46">
        <f>I161*'Tier 2 FC'!D$29</f>
        <v>2211729.3842161889</v>
      </c>
      <c r="P161" s="46">
        <f t="shared" si="9"/>
        <v>2211.7293842161889</v>
      </c>
      <c r="Q161" s="46">
        <f>P161*'Tier 1 Coefficients'!D$4</f>
        <v>7008.9704185811024</v>
      </c>
      <c r="R161" s="46">
        <f>$I161*'T2 LPG'!C13</f>
        <v>165.87970381621417</v>
      </c>
      <c r="S161" s="121">
        <f>$I161*'T2 LPG'!D13</f>
        <v>14652.707170432252</v>
      </c>
      <c r="T161" s="46">
        <f>44.011*(P161/(12.011+1.008*'Tier 3 CO2 Tables'!B$4+16*'Tier 3 CO2 Tables'!C$4))</f>
        <v>7010.0290315585835</v>
      </c>
      <c r="U161" s="46">
        <f>I161*'Tier 3 CO2 Tables'!H$9/10000</f>
        <v>4.1193459781026522</v>
      </c>
      <c r="V161" s="46">
        <f>44.011*(U161/(12.011+1.008*'Tier 3 CO2 Tables'!B$6+16*'Tier 3 CO2 Tables'!C$6))</f>
        <v>12.850947135188864</v>
      </c>
      <c r="W161" s="46">
        <f>I161*'T3 Methane'!D24</f>
        <v>193526.32111891653</v>
      </c>
      <c r="X161" s="46" cm="1">
        <f t="array" ref="X161">_xlfn.IFS(E161='Euro Age Table'!C$5,'Euro Age Table'!G$5,E161='Euro Age Table'!C$6,'Euro Age Table'!G$6,E161='Euro Age Table'!C$7,'Euro Age Table'!G$7,E161='Euro Age Table'!C$8,'Euro Age Table'!G$8,E161='Euro Age Table'!C$9,'Euro Age Table'!G$9,E161='Euro Age Table'!C$10,'Euro Age Table'!G$10,E161='Euro Age Table'!C$11,'Euro Age Table'!G$11)</f>
        <v>18</v>
      </c>
      <c r="Y161" s="46">
        <f>X161*'Eilat Car Data'!F$7</f>
        <v>889200</v>
      </c>
      <c r="Z161" s="123">
        <f>'T3 N2O PC-Diesel LPG'!B5</f>
        <v>4</v>
      </c>
      <c r="AA161" s="124">
        <f t="shared" si="10"/>
        <v>110586.46921080945</v>
      </c>
    </row>
    <row r="162" spans="1:27" ht="12.5">
      <c r="A162" s="49" t="s">
        <v>7</v>
      </c>
      <c r="B162" s="49" t="s">
        <v>22</v>
      </c>
      <c r="C162" s="49" t="s">
        <v>65</v>
      </c>
      <c r="D162" s="49" t="s">
        <v>66</v>
      </c>
      <c r="E162" s="50" t="s">
        <v>57</v>
      </c>
      <c r="F162" s="97">
        <v>5.4300360736662237E-2</v>
      </c>
      <c r="G162" s="99">
        <f t="shared" si="11"/>
        <v>2.0091133472565028</v>
      </c>
      <c r="H162" s="76"/>
      <c r="I162" s="46">
        <f>G162*'Eilat Car Data'!F$7</f>
        <v>99250.199354471246</v>
      </c>
      <c r="J162" s="46">
        <f>I162*'Tier 1 Coefficients'!I$9</f>
        <v>7940015.9483576994</v>
      </c>
      <c r="K162" s="46">
        <f t="shared" si="8"/>
        <v>7940.015948357699</v>
      </c>
      <c r="L162" s="46">
        <f>K162*'Tier 1 Coefficients'!D$4</f>
        <v>25161.910540345547</v>
      </c>
      <c r="M162" s="46">
        <f>K162*'Tier 1 Coefficients'!C$20</f>
        <v>50895.502228972851</v>
      </c>
      <c r="N162" s="46">
        <f>K162*'Tier 1 Coefficients'!C$44</f>
        <v>444.64089310803115</v>
      </c>
      <c r="O162" s="46">
        <f>I162*'Tier 2 FC'!D$29</f>
        <v>7940015.9483576994</v>
      </c>
      <c r="P162" s="46">
        <f t="shared" si="9"/>
        <v>7940.015948357699</v>
      </c>
      <c r="Q162" s="46">
        <f>P162*'Tier 1 Coefficients'!D$4</f>
        <v>25161.910540345547</v>
      </c>
      <c r="R162" s="46">
        <f>$I162*'T2 LPG'!C14</f>
        <v>893.25179419024118</v>
      </c>
      <c r="S162" s="121">
        <f>$I162*'T2 LPG'!D14</f>
        <v>46052.09250047466</v>
      </c>
      <c r="T162" s="46">
        <f>44.011*(P162/(12.011+1.008*'Tier 3 CO2 Tables'!B$4+16*'Tier 3 CO2 Tables'!C$4))</f>
        <v>25165.710916641274</v>
      </c>
      <c r="U162" s="46">
        <f>I162*'Tier 3 CO2 Tables'!H$9/10000</f>
        <v>14.788279703816215</v>
      </c>
      <c r="V162" s="46">
        <f>44.011*(U162/(12.011+1.008*'Tier 3 CO2 Tables'!B$6+16*'Tier 3 CO2 Tables'!C$6))</f>
        <v>46.134362518795172</v>
      </c>
      <c r="W162" s="46">
        <f>I162*'T3 Methane'!D25</f>
        <v>297750.59806341375</v>
      </c>
      <c r="X162" s="46" cm="1">
        <f t="array" ref="X162">_xlfn.IFS(E162='Euro Age Table'!C$5,'Euro Age Table'!G$5,E162='Euro Age Table'!C$6,'Euro Age Table'!G$6,E162='Euro Age Table'!C$7,'Euro Age Table'!G$7,E162='Euro Age Table'!C$8,'Euro Age Table'!G$8,E162='Euro Age Table'!C$9,'Euro Age Table'!G$9,E162='Euro Age Table'!C$10,'Euro Age Table'!G$10,E162='Euro Age Table'!C$11,'Euro Age Table'!G$11)</f>
        <v>16</v>
      </c>
      <c r="Y162" s="46">
        <f>X162*'Eilat Car Data'!F$7</f>
        <v>790400</v>
      </c>
      <c r="Z162" s="123">
        <f>'T3 N2O PC-Diesel LPG'!B6</f>
        <v>9</v>
      </c>
      <c r="AA162" s="124">
        <f t="shared" si="10"/>
        <v>893251.79419024126</v>
      </c>
    </row>
    <row r="163" spans="1:27" ht="12.5">
      <c r="A163" s="49" t="s">
        <v>7</v>
      </c>
      <c r="B163" s="49" t="s">
        <v>22</v>
      </c>
      <c r="C163" s="49" t="s">
        <v>65</v>
      </c>
      <c r="D163" s="49" t="s">
        <v>66</v>
      </c>
      <c r="E163" s="50" t="s">
        <v>58</v>
      </c>
      <c r="F163" s="97">
        <v>0.13252325802164419</v>
      </c>
      <c r="G163" s="99">
        <f t="shared" si="11"/>
        <v>4.903360546800835</v>
      </c>
      <c r="H163" s="76"/>
      <c r="I163" s="46">
        <f>G163*'Eilat Car Data'!F$7</f>
        <v>242226.01101196124</v>
      </c>
      <c r="J163" s="46">
        <f>I163*'Tier 1 Coefficients'!I$9</f>
        <v>19378080.880956899</v>
      </c>
      <c r="K163" s="46">
        <f t="shared" si="8"/>
        <v>19378.080880956899</v>
      </c>
      <c r="L163" s="46">
        <f>K163*'Tier 1 Coefficients'!D$4</f>
        <v>61409.138311752416</v>
      </c>
      <c r="M163" s="46">
        <f>K163*'Tier 1 Coefficients'!C$20</f>
        <v>124213.49844693372</v>
      </c>
      <c r="N163" s="46">
        <f>K163*'Tier 1 Coefficients'!C$44</f>
        <v>1085.1725293335865</v>
      </c>
      <c r="O163" s="46">
        <f>I163*'Tier 2 FC'!D$29</f>
        <v>19378080.880956899</v>
      </c>
      <c r="P163" s="46">
        <f t="shared" si="9"/>
        <v>19378.080880956899</v>
      </c>
      <c r="Q163" s="46">
        <f>P163*'Tier 1 Coefficients'!D$4</f>
        <v>61409.138311752416</v>
      </c>
      <c r="R163" s="46">
        <f>$I163*'T2 LPG'!C15</f>
        <v>2180.0340991076509</v>
      </c>
      <c r="S163" s="121">
        <f>$I163*'T2 LPG'!D15</f>
        <v>96405.952382760574</v>
      </c>
      <c r="T163" s="46">
        <f>44.011*(P163/(12.011+1.008*'Tier 3 CO2 Tables'!B$4+16*'Tier 3 CO2 Tables'!C$4))</f>
        <v>61418.413355998615</v>
      </c>
      <c r="U163" s="46">
        <f>I163*'Tier 3 CO2 Tables'!H$9/10000</f>
        <v>36.091675640782228</v>
      </c>
      <c r="V163" s="46">
        <f>44.011*(U163/(12.011+1.008*'Tier 3 CO2 Tables'!B$6+16*'Tier 3 CO2 Tables'!C$6))</f>
        <v>112.59365397943715</v>
      </c>
      <c r="W163" s="46">
        <f>I163*'T3 Methane'!D26</f>
        <v>266448.6121131574</v>
      </c>
      <c r="X163" s="46" cm="1">
        <f t="array" ref="X163">_xlfn.IFS(E163='Euro Age Table'!C$5,'Euro Age Table'!G$5,E163='Euro Age Table'!C$6,'Euro Age Table'!G$6,E163='Euro Age Table'!C$7,'Euro Age Table'!G$7,E163='Euro Age Table'!C$8,'Euro Age Table'!G$8,E163='Euro Age Table'!C$9,'Euro Age Table'!G$9,E163='Euro Age Table'!C$10,'Euro Age Table'!G$10,E163='Euro Age Table'!C$11,'Euro Age Table'!G$11)</f>
        <v>13</v>
      </c>
      <c r="Y163" s="46">
        <f>X163*'Eilat Car Data'!F$7</f>
        <v>642200</v>
      </c>
      <c r="Z163" s="121">
        <f>'T3 N2O PC-Diesel LPG'!B6</f>
        <v>9</v>
      </c>
      <c r="AA163" s="124">
        <f t="shared" si="10"/>
        <v>2180034.099107651</v>
      </c>
    </row>
    <row r="164" spans="1:27" ht="12.5">
      <c r="A164" s="49" t="s">
        <v>7</v>
      </c>
      <c r="B164" s="49" t="s">
        <v>22</v>
      </c>
      <c r="C164" s="49" t="s">
        <v>65</v>
      </c>
      <c r="D164" s="49" t="s">
        <v>66</v>
      </c>
      <c r="E164" s="50" t="s">
        <v>59</v>
      </c>
      <c r="F164" s="97">
        <v>0.34023163090943609</v>
      </c>
      <c r="G164" s="99">
        <f t="shared" si="11"/>
        <v>12.588570343649135</v>
      </c>
      <c r="H164" s="76"/>
      <c r="I164" s="46">
        <f>G164*'Eilat Car Data'!F$7</f>
        <v>621875.37497626722</v>
      </c>
      <c r="J164" s="46">
        <f>I164*'Tier 1 Coefficients'!I$9</f>
        <v>49750029.998101376</v>
      </c>
      <c r="K164" s="46">
        <f t="shared" si="8"/>
        <v>49750.029998101374</v>
      </c>
      <c r="L164" s="46">
        <f>K164*'Tier 1 Coefficients'!D$4</f>
        <v>157657.84506398326</v>
      </c>
      <c r="M164" s="46">
        <f>K164*'Tier 1 Coefficients'!C$20</f>
        <v>318897.69228782982</v>
      </c>
      <c r="N164" s="46">
        <f>K164*'Tier 1 Coefficients'!C$44</f>
        <v>2786.0016798936772</v>
      </c>
      <c r="O164" s="46">
        <f>I164*'Tier 2 FC'!D$29</f>
        <v>49750029.998101376</v>
      </c>
      <c r="P164" s="46">
        <f t="shared" si="9"/>
        <v>49750.029998101374</v>
      </c>
      <c r="Q164" s="46">
        <f>P164*'Tier 1 Coefficients'!D$4</f>
        <v>157657.84506398326</v>
      </c>
      <c r="R164" s="46">
        <f>$I164*'T2 LPG'!C16</f>
        <v>2487.5014999050691</v>
      </c>
      <c r="S164" s="121">
        <f>$I164*'T2 LPG'!D16</f>
        <v>247506.39924055437</v>
      </c>
      <c r="T164" s="46">
        <f>44.011*(P164/(12.011+1.008*'Tier 3 CO2 Tables'!B$4+16*'Tier 3 CO2 Tables'!C$4))</f>
        <v>157681.65721196207</v>
      </c>
      <c r="U164" s="46">
        <f>I164*'Tier 3 CO2 Tables'!H$9/10000</f>
        <v>92.659430871463812</v>
      </c>
      <c r="V164" s="46">
        <f>44.011*(U164/(12.011+1.008*'Tier 3 CO2 Tables'!B$6+16*'Tier 3 CO2 Tables'!C$6))</f>
        <v>289.06565606182141</v>
      </c>
      <c r="W164" s="46">
        <f>I164*'T3 Methane'!D27</f>
        <v>4664.0653123220036</v>
      </c>
      <c r="X164" s="46" cm="1">
        <f t="array" ref="X164">_xlfn.IFS(E164='Euro Age Table'!C$5,'Euro Age Table'!G$5,E164='Euro Age Table'!C$6,'Euro Age Table'!G$6,E164='Euro Age Table'!C$7,'Euro Age Table'!G$7,E164='Euro Age Table'!C$8,'Euro Age Table'!G$8,E164='Euro Age Table'!C$9,'Euro Age Table'!G$9,E164='Euro Age Table'!C$10,'Euro Age Table'!G$10,E164='Euro Age Table'!C$11,'Euro Age Table'!G$11)</f>
        <v>9</v>
      </c>
      <c r="Y164" s="46">
        <f>X164*'Eilat Car Data'!F$7</f>
        <v>444600</v>
      </c>
      <c r="Z164" s="121">
        <f>'T3 N2O PC-Diesel LPG'!B6</f>
        <v>9</v>
      </c>
      <c r="AA164" s="124">
        <f t="shared" si="10"/>
        <v>5596878.3747864049</v>
      </c>
    </row>
    <row r="165" spans="1:27" ht="12.5">
      <c r="A165" s="49" t="s">
        <v>7</v>
      </c>
      <c r="B165" s="49" t="s">
        <v>22</v>
      </c>
      <c r="C165" s="49" t="s">
        <v>65</v>
      </c>
      <c r="D165" s="49" t="s">
        <v>66</v>
      </c>
      <c r="E165" s="91" t="s">
        <v>60</v>
      </c>
      <c r="F165" s="79">
        <v>0.4144674387696981</v>
      </c>
      <c r="G165" s="104">
        <f t="shared" si="11"/>
        <v>15.33529523447883</v>
      </c>
      <c r="H165" s="76"/>
      <c r="I165" s="46">
        <f>G165*'Eilat Car Data'!F$7</f>
        <v>757563.58458325418</v>
      </c>
      <c r="J165" s="46">
        <f>I165*'Tier 1 Coefficients'!I$9</f>
        <v>60605086.766660333</v>
      </c>
      <c r="K165" s="46">
        <f t="shared" si="8"/>
        <v>60605.08676666033</v>
      </c>
      <c r="L165" s="46">
        <f>K165*'Tier 1 Coefficients'!D$4</f>
        <v>192057.5199635466</v>
      </c>
      <c r="M165" s="46">
        <f>K165*'Tier 1 Coefficients'!C$20</f>
        <v>388478.60617429274</v>
      </c>
      <c r="N165" s="46">
        <f>K165*'Tier 1 Coefficients'!C$44</f>
        <v>3393.8848589329787</v>
      </c>
      <c r="O165" s="46">
        <f>I165*'Tier 2 FC'!D$29</f>
        <v>60605086.766660333</v>
      </c>
      <c r="P165" s="46">
        <f t="shared" si="9"/>
        <v>60605.08676666033</v>
      </c>
      <c r="Q165" s="46">
        <f>P165*'Tier 1 Coefficients'!D$4</f>
        <v>192057.5199635466</v>
      </c>
      <c r="R165" s="46">
        <f>$I165*'T2 LPG'!C17</f>
        <v>3030.2543383330167</v>
      </c>
      <c r="S165" s="121">
        <f>$I165*'T2 LPG'!D17</f>
        <v>301510.30666413519</v>
      </c>
      <c r="T165" s="46">
        <f>44.011*(P165/(12.011+1.008*'Tier 3 CO2 Tables'!B$4+16*'Tier 3 CO2 Tables'!C$4))</f>
        <v>192086.52773086674</v>
      </c>
      <c r="U165" s="46">
        <f>I165*'Tier 3 CO2 Tables'!H$10/10000</f>
        <v>96.968138826656542</v>
      </c>
      <c r="V165" s="46">
        <f>44.011*(U165/(12.011+1.008*'Tier 3 CO2 Tables'!B$6+16*'Tier 3 CO2 Tables'!C$6))</f>
        <v>302.50734764283618</v>
      </c>
      <c r="W165" s="46">
        <f>I165*'T3 Methane'!D27</f>
        <v>5681.7268843744059</v>
      </c>
      <c r="X165" s="46" cm="1">
        <f t="array" ref="X165">_xlfn.IFS(E165='Euro Age Table'!C$5,'Euro Age Table'!G$5,E165='Euro Age Table'!C$6,'Euro Age Table'!G$6,E165='Euro Age Table'!C$7,'Euro Age Table'!G$7,E165='Euro Age Table'!C$8,'Euro Age Table'!G$8,E165='Euro Age Table'!C$9,'Euro Age Table'!G$9,E165='Euro Age Table'!C$10,'Euro Age Table'!G$10,E165='Euro Age Table'!C$11,'Euro Age Table'!G$11)</f>
        <v>3</v>
      </c>
      <c r="Y165" s="46">
        <f>X165*'Eilat Car Data'!F$7</f>
        <v>148200</v>
      </c>
      <c r="Z165" s="121">
        <f>'T3 N2O PC-Diesel LPG'!B7</f>
        <v>11</v>
      </c>
      <c r="AA165" s="124">
        <f t="shared" si="10"/>
        <v>8333199.4304157961</v>
      </c>
    </row>
    <row r="166" spans="1:27" ht="12.5">
      <c r="A166" s="54" t="s">
        <v>6</v>
      </c>
      <c r="B166" s="53"/>
      <c r="C166" s="53"/>
      <c r="D166" s="53"/>
      <c r="E166" s="53"/>
      <c r="F166" s="94"/>
      <c r="G166" s="93">
        <f>'Eilat Car Data'!B6</f>
        <v>633</v>
      </c>
      <c r="H166" s="46">
        <f>SUM(G199:G260)</f>
        <v>623.63410105544597</v>
      </c>
      <c r="I166" s="46"/>
      <c r="J166" s="46"/>
      <c r="K166" s="46">
        <f t="shared" si="8"/>
        <v>0</v>
      </c>
      <c r="L166" s="46"/>
      <c r="M166" s="46"/>
      <c r="N166" s="46"/>
      <c r="O166" s="46"/>
      <c r="P166" s="46">
        <f t="shared" si="9"/>
        <v>0</v>
      </c>
      <c r="Q166" s="46"/>
      <c r="R166" s="46"/>
      <c r="S166" s="46"/>
      <c r="T166" s="46"/>
      <c r="U166" s="46"/>
      <c r="V166" s="46">
        <f>44.011*(U166/(12.011+1.008*'Tier 3 CO2 Tables'!B$6+16*'Tier 3 CO2 Tables'!C$6))</f>
        <v>0</v>
      </c>
      <c r="W166" s="46"/>
      <c r="X166" s="46" t="e" cm="1">
        <f t="array" ref="X166">_xlfn.IFS(E166='Euro Age Table'!C$5,'Euro Age Table'!G$5,E166='Euro Age Table'!C$6,'Euro Age Table'!G$6,E166='Euro Age Table'!C$7,'Euro Age Table'!G$7,E166='Euro Age Table'!C$8,'Euro Age Table'!G$8,E166='Euro Age Table'!C$9,'Euro Age Table'!G$9,E166='Euro Age Table'!C$10,'Euro Age Table'!G$10,E166='Euro Age Table'!C$11,'Euro Age Table'!G$11)</f>
        <v>#N/A</v>
      </c>
      <c r="Y166" s="46"/>
      <c r="Z166" s="46"/>
      <c r="AA166" s="124">
        <f t="shared" si="10"/>
        <v>0</v>
      </c>
    </row>
    <row r="167" spans="1:27" ht="12.5">
      <c r="A167" s="55" t="s">
        <v>75</v>
      </c>
      <c r="B167" s="48" t="s">
        <v>20</v>
      </c>
      <c r="C167" s="49" t="s">
        <v>76</v>
      </c>
      <c r="D167" s="56" t="s">
        <v>77</v>
      </c>
      <c r="E167" s="50" t="s">
        <v>54</v>
      </c>
      <c r="F167" s="80">
        <v>2.0630296828710773E-4</v>
      </c>
      <c r="G167" s="103">
        <f t="shared" ref="G167:G267" si="12">F167*$G$166</f>
        <v>0.1305897789257392</v>
      </c>
      <c r="H167" s="46"/>
      <c r="I167" s="46">
        <f>G167*'Eilat Car Data'!F$6</f>
        <v>3617.3368762429759</v>
      </c>
      <c r="J167" s="46">
        <f>I167*'Tier 1 Coefficients'!I$8*3</f>
        <v>1085201.0628728927</v>
      </c>
      <c r="K167" s="46">
        <f t="shared" si="8"/>
        <v>1085.2010628728926</v>
      </c>
      <c r="L167" s="46">
        <f>K167*'Tier 1 Coefficients'!D$3</f>
        <v>3439.0021682441966</v>
      </c>
      <c r="M167" s="46">
        <f>K167*0.95*'Tier 1 Coefficients'!C$21</f>
        <v>2618.5901647122901</v>
      </c>
      <c r="N167" s="46">
        <f>K167*3.32*'Tier 1 Coefficients'!C$45</f>
        <v>183.74624396563817</v>
      </c>
      <c r="O167" s="46">
        <f>I167*'Tier 2 FC'!D$30</f>
        <v>640268.62709500676</v>
      </c>
      <c r="P167" s="46">
        <f t="shared" si="9"/>
        <v>640.26862709500676</v>
      </c>
      <c r="Q167" s="46">
        <f>P167*'Tier 1 Coefficients'!D$3</f>
        <v>2029.0112792640764</v>
      </c>
      <c r="R167" s="46">
        <f>$I167*'T2 HDV'!D$2</f>
        <v>21.704021257457857</v>
      </c>
      <c r="S167" s="46">
        <f>$I167*'T2 HDV'!E$2</f>
        <v>7198.5003837235217</v>
      </c>
      <c r="T167" s="46">
        <f>44.011*(P167/(12.011+1.008*'Tier 3 CO2 Tables'!B$3+16*'Tier 3 CO2 Tables'!C$3))</f>
        <v>2029.3177347837043</v>
      </c>
      <c r="U167" s="46">
        <f>I167*'Tier 3 CO2 Tables'!H$15/10000</f>
        <v>0.56430455269390423</v>
      </c>
      <c r="V167" s="46">
        <f>44.011*(U167/(12.011+1.008*'Tier 3 CO2 Tables'!B$6+16*'Tier 3 CO2 Tables'!C$6))</f>
        <v>1.7604367327640498</v>
      </c>
      <c r="W167" s="46">
        <f>I167*'T3 Methane'!D$28</f>
        <v>506427.16267401661</v>
      </c>
      <c r="X167" s="46" cm="1">
        <f t="array" ref="X167">_xlfn.IFS(E167='Euro Age Table'!C$5,'Euro Age Table'!G$5,E167='Euro Age Table'!C$6,'Euro Age Table'!G$6,E167='Euro Age Table'!C$7,'Euro Age Table'!G$7,E167='Euro Age Table'!C$8,'Euro Age Table'!G$8,E167='Euro Age Table'!C$9,'Euro Age Table'!G$9,E167='Euro Age Table'!C$10,'Euro Age Table'!G$10,E167='Euro Age Table'!C$11,'Euro Age Table'!G$11)</f>
        <v>27</v>
      </c>
      <c r="Y167" s="46">
        <f>X167*'Eilat Car Data'!F$6</f>
        <v>747900</v>
      </c>
      <c r="Z167" s="46">
        <f>'T3 N2O HDV'!C$2</f>
        <v>6</v>
      </c>
      <c r="AA167" s="124">
        <f t="shared" si="10"/>
        <v>21704.021257457855</v>
      </c>
    </row>
    <row r="168" spans="1:27" ht="12.5">
      <c r="A168" s="55" t="s">
        <v>75</v>
      </c>
      <c r="B168" s="48" t="s">
        <v>20</v>
      </c>
      <c r="C168" s="49" t="s">
        <v>76</v>
      </c>
      <c r="D168" s="56" t="s">
        <v>77</v>
      </c>
      <c r="E168" s="50" t="s">
        <v>55</v>
      </c>
      <c r="F168" s="97">
        <v>5.6114407374093303E-4</v>
      </c>
      <c r="G168" s="99">
        <f t="shared" si="12"/>
        <v>0.35520419867801062</v>
      </c>
      <c r="H168" s="46"/>
      <c r="I168" s="46">
        <f>G168*'Eilat Car Data'!F$6</f>
        <v>9839.1563033808943</v>
      </c>
      <c r="J168" s="46">
        <f>I168*'Tier 1 Coefficients'!I$8*3</f>
        <v>2951746.8910142682</v>
      </c>
      <c r="K168" s="46">
        <f t="shared" si="8"/>
        <v>2951.7468910142679</v>
      </c>
      <c r="L168" s="46">
        <f>K168*'Tier 1 Coefficients'!D$3</f>
        <v>9354.0858976242143</v>
      </c>
      <c r="M168" s="46">
        <f>K168*0.95*'Tier 1 Coefficients'!C$21</f>
        <v>7122.5652480174276</v>
      </c>
      <c r="N168" s="46">
        <f>K168*3.32*'Tier 1 Coefficients'!C$45</f>
        <v>499.78978358653575</v>
      </c>
      <c r="O168" s="46">
        <f>I168*'Tier 2 FC'!D$30</f>
        <v>1741530.6656984184</v>
      </c>
      <c r="P168" s="46">
        <f t="shared" si="9"/>
        <v>1741.5306656984185</v>
      </c>
      <c r="Q168" s="46">
        <f>P168*'Tier 1 Coefficients'!D$3</f>
        <v>5518.910679598288</v>
      </c>
      <c r="R168" s="46">
        <f>$I168*'T2 HDV'!D$2</f>
        <v>59.034937820285364</v>
      </c>
      <c r="S168" s="46">
        <f>$I168*'T2 HDV'!E$2</f>
        <v>19579.92104372798</v>
      </c>
      <c r="T168" s="46">
        <f>44.011*(P168/(12.011+1.008*'Tier 3 CO2 Tables'!B$3+16*'Tier 3 CO2 Tables'!C$3))</f>
        <v>5519.7442386116754</v>
      </c>
      <c r="U168" s="46">
        <f>I168*'Tier 3 CO2 Tables'!H$15/10000</f>
        <v>1.5349083833274195</v>
      </c>
      <c r="V168" s="46">
        <f>44.011*(U168/(12.011+1.008*'Tier 3 CO2 Tables'!B$6+16*'Tier 3 CO2 Tables'!C$6))</f>
        <v>4.7883879131182159</v>
      </c>
      <c r="W168" s="46">
        <f>I168*'T3 Methane'!D$28</f>
        <v>1377481.8824733251</v>
      </c>
      <c r="X168" s="46" cm="1">
        <f t="array" ref="X168">_xlfn.IFS(E168='Euro Age Table'!C$5,'Euro Age Table'!G$5,E168='Euro Age Table'!C$6,'Euro Age Table'!G$6,E168='Euro Age Table'!C$7,'Euro Age Table'!G$7,E168='Euro Age Table'!C$8,'Euro Age Table'!G$8,E168='Euro Age Table'!C$9,'Euro Age Table'!G$9,E168='Euro Age Table'!C$10,'Euro Age Table'!G$10,E168='Euro Age Table'!C$11,'Euro Age Table'!G$11)</f>
        <v>23</v>
      </c>
      <c r="Y168" s="46">
        <f>X168*'Eilat Car Data'!F$6</f>
        <v>637100</v>
      </c>
      <c r="Z168" s="46">
        <f>'T3 N2O HDV'!C$2</f>
        <v>6</v>
      </c>
      <c r="AA168" s="124">
        <f t="shared" si="10"/>
        <v>59034.93782028537</v>
      </c>
    </row>
    <row r="169" spans="1:27" ht="12.5">
      <c r="A169" s="55" t="s">
        <v>75</v>
      </c>
      <c r="B169" s="48" t="s">
        <v>20</v>
      </c>
      <c r="C169" s="49" t="s">
        <v>76</v>
      </c>
      <c r="D169" s="56" t="s">
        <v>77</v>
      </c>
      <c r="E169" s="50" t="s">
        <v>56</v>
      </c>
      <c r="F169" s="97">
        <v>2.6406779940749787E-4</v>
      </c>
      <c r="G169" s="99">
        <f t="shared" si="12"/>
        <v>0.16715491702494614</v>
      </c>
      <c r="H169" s="46"/>
      <c r="I169" s="46">
        <f>G169*'Eilat Car Data'!F$6</f>
        <v>4630.1912015910084</v>
      </c>
      <c r="J169" s="46">
        <f>I169*'Tier 1 Coefficients'!I$8*3</f>
        <v>1389057.3604773027</v>
      </c>
      <c r="K169" s="46">
        <f t="shared" si="8"/>
        <v>1389.0573604773026</v>
      </c>
      <c r="L169" s="46">
        <f>K169*'Tier 1 Coefficients'!D$3</f>
        <v>4401.922775352572</v>
      </c>
      <c r="M169" s="46">
        <f>K169*0.95*'Tier 1 Coefficients'!C$21</f>
        <v>3351.7954108317308</v>
      </c>
      <c r="N169" s="46">
        <f>K169*3.32*'Tier 1 Coefficients'!C$45</f>
        <v>235.19519227601683</v>
      </c>
      <c r="O169" s="46">
        <f>I169*'Tier 2 FC'!D$30</f>
        <v>819543.84268160851</v>
      </c>
      <c r="P169" s="46">
        <f t="shared" si="9"/>
        <v>819.54384268160857</v>
      </c>
      <c r="Q169" s="46">
        <f>P169*'Tier 1 Coefficients'!D$3</f>
        <v>2597.1344374580176</v>
      </c>
      <c r="R169" s="46">
        <f>$I169*'T2 HDV'!D$2</f>
        <v>27.781147209546052</v>
      </c>
      <c r="S169" s="46">
        <f>$I169*'T2 HDV'!E$2</f>
        <v>9214.0804911661071</v>
      </c>
      <c r="T169" s="46">
        <f>44.011*(P169/(12.011+1.008*'Tier 3 CO2 Tables'!B$3+16*'Tier 3 CO2 Tables'!C$3))</f>
        <v>2597.5267005231412</v>
      </c>
      <c r="U169" s="46">
        <f>I169*'Tier 3 CO2 Tables'!H$15/10000</f>
        <v>0.72230982744819727</v>
      </c>
      <c r="V169" s="46">
        <f>44.011*(U169/(12.011+1.008*'Tier 3 CO2 Tables'!B$6+16*'Tier 3 CO2 Tables'!C$6))</f>
        <v>2.2533590179379832</v>
      </c>
      <c r="W169" s="46">
        <f>I169*'T3 Methane'!D$28</f>
        <v>648226.7682227412</v>
      </c>
      <c r="X169" s="46" cm="1">
        <f t="array" ref="X169">_xlfn.IFS(E169='Euro Age Table'!C$5,'Euro Age Table'!G$5,E169='Euro Age Table'!C$6,'Euro Age Table'!G$6,E169='Euro Age Table'!C$7,'Euro Age Table'!G$7,E169='Euro Age Table'!C$8,'Euro Age Table'!G$8,E169='Euro Age Table'!C$9,'Euro Age Table'!G$9,E169='Euro Age Table'!C$10,'Euro Age Table'!G$10,E169='Euro Age Table'!C$11,'Euro Age Table'!G$11)</f>
        <v>18</v>
      </c>
      <c r="Y169" s="46">
        <f>X169*'Eilat Car Data'!F$6</f>
        <v>498600</v>
      </c>
      <c r="Z169" s="46">
        <f>'T3 N2O HDV'!C$2</f>
        <v>6</v>
      </c>
      <c r="AA169" s="124">
        <f t="shared" si="10"/>
        <v>27781.147209546049</v>
      </c>
    </row>
    <row r="170" spans="1:27" ht="12.5">
      <c r="A170" s="55" t="s">
        <v>75</v>
      </c>
      <c r="B170" s="48" t="s">
        <v>20</v>
      </c>
      <c r="C170" s="49" t="s">
        <v>76</v>
      </c>
      <c r="D170" s="56" t="s">
        <v>77</v>
      </c>
      <c r="E170" s="50" t="s">
        <v>57</v>
      </c>
      <c r="F170" s="97">
        <v>5.5289195500944871E-4</v>
      </c>
      <c r="G170" s="99">
        <f t="shared" si="12"/>
        <v>0.34998060752098104</v>
      </c>
      <c r="H170" s="46"/>
      <c r="I170" s="46">
        <f>G170*'Eilat Car Data'!F$6</f>
        <v>9694.462828331174</v>
      </c>
      <c r="J170" s="46">
        <f>I170*'Tier 1 Coefficients'!I$8*3</f>
        <v>2908338.8484993521</v>
      </c>
      <c r="K170" s="46">
        <f t="shared" si="8"/>
        <v>2908.338848499352</v>
      </c>
      <c r="L170" s="46">
        <f>K170*'Tier 1 Coefficients'!D$3</f>
        <v>9216.5258108944472</v>
      </c>
      <c r="M170" s="46">
        <f>K170*0.95*'Tier 1 Coefficients'!C$21</f>
        <v>7017.8216414289363</v>
      </c>
      <c r="N170" s="46">
        <f>K170*3.32*'Tier 1 Coefficients'!C$45</f>
        <v>492.43993382791024</v>
      </c>
      <c r="O170" s="46">
        <f>I170*'Tier 2 FC'!D$30</f>
        <v>1715919.9206146179</v>
      </c>
      <c r="P170" s="46">
        <f t="shared" si="9"/>
        <v>1715.9199206146179</v>
      </c>
      <c r="Q170" s="46">
        <f>P170*'Tier 1 Coefficients'!D$3</f>
        <v>5437.7502284277243</v>
      </c>
      <c r="R170" s="46">
        <f>$I170*'T2 HDV'!D$2</f>
        <v>58.166776969987048</v>
      </c>
      <c r="S170" s="46">
        <f>$I170*'T2 HDV'!E$2</f>
        <v>19291.981028379036</v>
      </c>
      <c r="T170" s="46">
        <f>44.011*(P170/(12.011+1.008*'Tier 3 CO2 Tables'!B$3+16*'Tier 3 CO2 Tables'!C$3))</f>
        <v>5438.5715292203267</v>
      </c>
      <c r="U170" s="46">
        <f>I170*'Tier 3 CO2 Tables'!H$15/10000</f>
        <v>1.5123362012196633</v>
      </c>
      <c r="V170" s="46">
        <f>44.011*(U170/(12.011+1.008*'Tier 3 CO2 Tables'!B$6+16*'Tier 3 CO2 Tables'!C$6))</f>
        <v>4.7179704438076531</v>
      </c>
      <c r="W170" s="46">
        <f>I170*'T3 Methane'!D$28</f>
        <v>1357224.7959663644</v>
      </c>
      <c r="X170" s="46" cm="1">
        <f t="array" ref="X170">_xlfn.IFS(E170='Euro Age Table'!C$5,'Euro Age Table'!G$5,E170='Euro Age Table'!C$6,'Euro Age Table'!G$6,E170='Euro Age Table'!C$7,'Euro Age Table'!G$7,E170='Euro Age Table'!C$8,'Euro Age Table'!G$8,E170='Euro Age Table'!C$9,'Euro Age Table'!G$9,E170='Euro Age Table'!C$10,'Euro Age Table'!G$10,E170='Euro Age Table'!C$11,'Euro Age Table'!G$11)</f>
        <v>16</v>
      </c>
      <c r="Y170" s="46">
        <f>X170*'Eilat Car Data'!F$6</f>
        <v>443200</v>
      </c>
      <c r="Z170" s="46">
        <f>'T3 N2O HDV'!C$2</f>
        <v>6</v>
      </c>
      <c r="AA170" s="124">
        <f t="shared" si="10"/>
        <v>58166.776969987041</v>
      </c>
    </row>
    <row r="171" spans="1:27" ht="12.5">
      <c r="A171" s="55" t="s">
        <v>75</v>
      </c>
      <c r="B171" s="48" t="s">
        <v>20</v>
      </c>
      <c r="C171" s="49" t="s">
        <v>76</v>
      </c>
      <c r="D171" s="56" t="s">
        <v>77</v>
      </c>
      <c r="E171" s="50" t="s">
        <v>58</v>
      </c>
      <c r="F171" s="97">
        <v>5.8590042993538589E-4</v>
      </c>
      <c r="G171" s="99">
        <f t="shared" si="12"/>
        <v>0.37087497214909926</v>
      </c>
      <c r="H171" s="46"/>
      <c r="I171" s="46">
        <f>G171*'Eilat Car Data'!F$6</f>
        <v>10273.23672853005</v>
      </c>
      <c r="J171" s="46">
        <f>I171*'Tier 1 Coefficients'!I$8*3</f>
        <v>3081971.0185590149</v>
      </c>
      <c r="K171" s="46">
        <f t="shared" si="8"/>
        <v>3081.9710185590147</v>
      </c>
      <c r="L171" s="46">
        <f>K171*'Tier 1 Coefficients'!D$3</f>
        <v>9766.7661578135176</v>
      </c>
      <c r="M171" s="46">
        <f>K171*0.95*'Tier 1 Coefficients'!C$21</f>
        <v>7436.7960677829024</v>
      </c>
      <c r="N171" s="46">
        <f>K171*3.32*'Tier 1 Coefficients'!C$45</f>
        <v>521.83933286241233</v>
      </c>
      <c r="O171" s="46">
        <f>I171*'Tier 2 FC'!D$30</f>
        <v>1818362.9009498188</v>
      </c>
      <c r="P171" s="46">
        <f t="shared" si="9"/>
        <v>1818.3629009498188</v>
      </c>
      <c r="Q171" s="46">
        <f>P171*'Tier 1 Coefficients'!D$3</f>
        <v>5762.3920331099762</v>
      </c>
      <c r="R171" s="46">
        <f>$I171*'T2 HDV'!D$2</f>
        <v>61.6394203711803</v>
      </c>
      <c r="S171" s="46">
        <f>$I171*'T2 HDV'!E$2</f>
        <v>20443.741089774798</v>
      </c>
      <c r="T171" s="46">
        <f>44.011*(P171/(12.011+1.008*'Tier 3 CO2 Tables'!B$3+16*'Tier 3 CO2 Tables'!C$3))</f>
        <v>5763.2623667857197</v>
      </c>
      <c r="U171" s="46">
        <f>I171*'Tier 3 CO2 Tables'!H$15/10000</f>
        <v>1.6026249296506878</v>
      </c>
      <c r="V171" s="46">
        <f>44.011*(U171/(12.011+1.008*'Tier 3 CO2 Tables'!B$6+16*'Tier 3 CO2 Tables'!C$6))</f>
        <v>4.9996403210499016</v>
      </c>
      <c r="W171" s="46">
        <f>I171*'T3 Methane'!D$28</f>
        <v>1438253.1419942069</v>
      </c>
      <c r="X171" s="46" cm="1">
        <f t="array" ref="X171">_xlfn.IFS(E171='Euro Age Table'!C$5,'Euro Age Table'!G$5,E171='Euro Age Table'!C$6,'Euro Age Table'!G$6,E171='Euro Age Table'!C$7,'Euro Age Table'!G$7,E171='Euro Age Table'!C$8,'Euro Age Table'!G$8,E171='Euro Age Table'!C$9,'Euro Age Table'!G$9,E171='Euro Age Table'!C$10,'Euro Age Table'!G$10,E171='Euro Age Table'!C$11,'Euro Age Table'!G$11)</f>
        <v>13</v>
      </c>
      <c r="Y171" s="46">
        <f>X171*'Eilat Car Data'!F$6</f>
        <v>360100</v>
      </c>
      <c r="Z171" s="46">
        <f>'T3 N2O HDV'!C$2</f>
        <v>6</v>
      </c>
      <c r="AA171" s="124">
        <f t="shared" si="10"/>
        <v>61639.420371180298</v>
      </c>
    </row>
    <row r="172" spans="1:27" ht="12.5">
      <c r="A172" s="55" t="s">
        <v>75</v>
      </c>
      <c r="B172" s="48" t="s">
        <v>20</v>
      </c>
      <c r="C172" s="49" t="s">
        <v>76</v>
      </c>
      <c r="D172" s="56" t="s">
        <v>77</v>
      </c>
      <c r="E172" s="50" t="s">
        <v>59</v>
      </c>
      <c r="F172" s="97">
        <v>1.254322047185615E-3</v>
      </c>
      <c r="G172" s="99">
        <f t="shared" si="12"/>
        <v>0.79398585586849424</v>
      </c>
      <c r="H172" s="46"/>
      <c r="I172" s="46">
        <f>G172*'Eilat Car Data'!F$6</f>
        <v>21993.408207557291</v>
      </c>
      <c r="J172" s="46">
        <f>I172*'Tier 1 Coefficients'!I$8*3</f>
        <v>6598022.4622671865</v>
      </c>
      <c r="K172" s="46">
        <f t="shared" si="8"/>
        <v>6598.0224622671867</v>
      </c>
      <c r="L172" s="46">
        <f>K172*'Tier 1 Coefficients'!D$3</f>
        <v>20909.133182924714</v>
      </c>
      <c r="M172" s="46">
        <f>K172*0.95*'Tier 1 Coefficients'!C$21</f>
        <v>15921.028201450719</v>
      </c>
      <c r="N172" s="46">
        <f>K172*3.32*'Tier 1 Coefficients'!C$45</f>
        <v>1117.17716331108</v>
      </c>
      <c r="O172" s="46">
        <f>I172*'Tier 2 FC'!D$30</f>
        <v>3892833.2527376404</v>
      </c>
      <c r="P172" s="46">
        <f t="shared" si="9"/>
        <v>3892.8332527376406</v>
      </c>
      <c r="Q172" s="46">
        <f>P172*'Tier 1 Coefficients'!D$3</f>
        <v>12336.388577925583</v>
      </c>
      <c r="R172" s="46">
        <f>$I172*'T2 HDV'!D$2</f>
        <v>131.96044924534374</v>
      </c>
      <c r="S172" s="46">
        <f>$I172*'T2 HDV'!E$2</f>
        <v>43766.882333039008</v>
      </c>
      <c r="T172" s="46">
        <f>44.011*(P172/(12.011+1.008*'Tier 3 CO2 Tables'!B$3+16*'Tier 3 CO2 Tables'!C$3))</f>
        <v>12338.251827484919</v>
      </c>
      <c r="U172" s="46">
        <f>I172*'Tier 3 CO2 Tables'!H$15/10000</f>
        <v>3.4309716803789381</v>
      </c>
      <c r="V172" s="46">
        <f>44.011*(U172/(12.011+1.008*'Tier 3 CO2 Tables'!B$6+16*'Tier 3 CO2 Tables'!C$6))</f>
        <v>10.703455335205424</v>
      </c>
      <c r="W172" s="46">
        <f>I172*'T3 Methane'!D$28</f>
        <v>3079077.1490580207</v>
      </c>
      <c r="X172" s="46" cm="1">
        <f t="array" ref="X172">_xlfn.IFS(E172='Euro Age Table'!C$5,'Euro Age Table'!G$5,E172='Euro Age Table'!C$6,'Euro Age Table'!G$6,E172='Euro Age Table'!C$7,'Euro Age Table'!G$7,E172='Euro Age Table'!C$8,'Euro Age Table'!G$8,E172='Euro Age Table'!C$9,'Euro Age Table'!G$9,E172='Euro Age Table'!C$10,'Euro Age Table'!G$10,E172='Euro Age Table'!C$11,'Euro Age Table'!G$11)</f>
        <v>9</v>
      </c>
      <c r="Y172" s="46">
        <f>X172*'Eilat Car Data'!F$6</f>
        <v>249300</v>
      </c>
      <c r="Z172" s="46">
        <f>'T3 N2O HDV'!C$2</f>
        <v>6</v>
      </c>
      <c r="AA172" s="124">
        <f t="shared" si="10"/>
        <v>131960.44924534374</v>
      </c>
    </row>
    <row r="173" spans="1:27" ht="12.5">
      <c r="A173" s="57" t="s">
        <v>75</v>
      </c>
      <c r="B173" s="51" t="s">
        <v>20</v>
      </c>
      <c r="C173" s="51" t="s">
        <v>76</v>
      </c>
      <c r="D173" s="56" t="s">
        <v>77</v>
      </c>
      <c r="E173" s="51" t="s">
        <v>60</v>
      </c>
      <c r="F173" s="97">
        <v>0</v>
      </c>
      <c r="G173" s="99">
        <f t="shared" si="12"/>
        <v>0</v>
      </c>
      <c r="H173" s="46"/>
      <c r="I173" s="46">
        <f>G173*'Eilat Car Data'!F$6</f>
        <v>0</v>
      </c>
      <c r="J173" s="46">
        <f>I173*'Tier 1 Coefficients'!I$8*3</f>
        <v>0</v>
      </c>
      <c r="K173" s="46">
        <f t="shared" si="8"/>
        <v>0</v>
      </c>
      <c r="L173" s="46">
        <f>K173*'Tier 1 Coefficients'!D$3</f>
        <v>0</v>
      </c>
      <c r="M173" s="46">
        <f>K173*0.95*'Tier 1 Coefficients'!C$21</f>
        <v>0</v>
      </c>
      <c r="N173" s="46">
        <f>K173*3.32*'Tier 1 Coefficients'!C$45</f>
        <v>0</v>
      </c>
      <c r="O173" s="46">
        <f>I173*'Tier 2 FC'!D$30</f>
        <v>0</v>
      </c>
      <c r="P173" s="46">
        <f t="shared" si="9"/>
        <v>0</v>
      </c>
      <c r="Q173" s="46">
        <f>P173*'Tier 1 Coefficients'!D$3</f>
        <v>0</v>
      </c>
      <c r="R173" s="46">
        <f>$I173*'T2 HDV'!D$2</f>
        <v>0</v>
      </c>
      <c r="S173" s="46">
        <f>$I173*'T2 HDV'!E$2</f>
        <v>0</v>
      </c>
      <c r="T173" s="46">
        <f>44.011*(P173/(12.011+1.008*'Tier 3 CO2 Tables'!B$3+16*'Tier 3 CO2 Tables'!C$3))</f>
        <v>0</v>
      </c>
      <c r="U173" s="46">
        <f>I173*'Tier 3 CO2 Tables'!H$15/10000</f>
        <v>0</v>
      </c>
      <c r="V173" s="46">
        <f>44.011*(U173/(12.011+1.008*'Tier 3 CO2 Tables'!B$6+16*'Tier 3 CO2 Tables'!C$6))</f>
        <v>0</v>
      </c>
      <c r="W173" s="46">
        <f>I173*'T3 Methane'!D$28</f>
        <v>0</v>
      </c>
      <c r="X173" s="46" cm="1">
        <f t="array" ref="X173">_xlfn.IFS(E173='Euro Age Table'!C$5,'Euro Age Table'!G$5,E173='Euro Age Table'!C$6,'Euro Age Table'!G$6,E173='Euro Age Table'!C$7,'Euro Age Table'!G$7,E173='Euro Age Table'!C$8,'Euro Age Table'!G$8,E173='Euro Age Table'!C$9,'Euro Age Table'!G$9,E173='Euro Age Table'!C$10,'Euro Age Table'!G$10,E173='Euro Age Table'!C$11,'Euro Age Table'!G$11)</f>
        <v>3</v>
      </c>
      <c r="Y173" s="46">
        <f>X173*'Eilat Car Data'!F$6</f>
        <v>83100</v>
      </c>
      <c r="Z173" s="46">
        <f>'T3 N2O HDV'!C$2</f>
        <v>6</v>
      </c>
      <c r="AA173" s="124">
        <f t="shared" si="10"/>
        <v>0</v>
      </c>
    </row>
    <row r="174" spans="1:27" ht="12.5">
      <c r="A174" s="58" t="s">
        <v>78</v>
      </c>
      <c r="B174" s="49" t="s">
        <v>22</v>
      </c>
      <c r="C174" s="49" t="s">
        <v>79</v>
      </c>
      <c r="D174" s="59" t="s">
        <v>80</v>
      </c>
      <c r="E174" s="50" t="s">
        <v>59</v>
      </c>
      <c r="F174" s="97">
        <v>1.5018856091301442E-3</v>
      </c>
      <c r="G174" s="99">
        <f t="shared" si="12"/>
        <v>0.9506935905793813</v>
      </c>
      <c r="H174" s="46"/>
      <c r="I174" s="46">
        <f>G174*'Eilat Car Data'!F$6</f>
        <v>26334.21245904886</v>
      </c>
      <c r="J174" s="46">
        <f>I174*'Tier 1 Coefficients'!I$10</f>
        <v>6320210.9901717268</v>
      </c>
      <c r="K174" s="46">
        <f t="shared" si="8"/>
        <v>6320.2109901717267</v>
      </c>
      <c r="L174" s="46">
        <f>K174*'Tier 1 Coefficients'!D$4</f>
        <v>20028.748627854202</v>
      </c>
      <c r="M174" s="46">
        <f>K174*'Tier 1 Coefficients'!C$21</f>
        <v>16053.335915036187</v>
      </c>
      <c r="N174" s="46">
        <f>K174*'Tier 1 Coefficients'!C$45</f>
        <v>322.33076049875802</v>
      </c>
      <c r="O174" s="46">
        <f>I174*'Tier 2 FC'!D$36</f>
        <v>5530184.6164002605</v>
      </c>
      <c r="P174" s="46">
        <f t="shared" si="9"/>
        <v>5530.1846164002609</v>
      </c>
      <c r="Q174" s="46">
        <f>P174*'Tier 1 Coefficients'!D$4</f>
        <v>17525.155049372428</v>
      </c>
      <c r="R174" s="46">
        <f>$I174*'T2 HDV'!D16</f>
        <v>289.67633704953744</v>
      </c>
      <c r="S174" s="121">
        <f>$I174*'T2 HDV'!E16</f>
        <v>12798.427255097746</v>
      </c>
      <c r="T174" s="46">
        <f>44.011*(P174/(12.011+1.008*'Tier 3 CO2 Tables'!B$4+16*'Tier 3 CO2 Tables'!C$4))</f>
        <v>17527.801993996196</v>
      </c>
      <c r="U174" s="46">
        <f>I174*'Tier 3 CO2 Tables'!H$15/10000</f>
        <v>4.1081371436116223</v>
      </c>
      <c r="V174" s="46">
        <f>44.011*(U174/(12.011+1.008*'Tier 3 CO2 Tables'!B$6+16*'Tier 3 CO2 Tables'!C$6))</f>
        <v>12.815979414522282</v>
      </c>
      <c r="W174" s="46">
        <f>I174*'T3 Methane'!D$30</f>
        <v>4608487.1803335501</v>
      </c>
      <c r="X174" s="46" cm="1">
        <f t="array" ref="X174">_xlfn.IFS(E174='Euro Age Table'!C$5,'Euro Age Table'!G$5,E174='Euro Age Table'!C$6,'Euro Age Table'!G$6,E174='Euro Age Table'!C$7,'Euro Age Table'!G$7,E174='Euro Age Table'!C$8,'Euro Age Table'!G$8,E174='Euro Age Table'!C$9,'Euro Age Table'!G$9,E174='Euro Age Table'!C$10,'Euro Age Table'!G$10,E174='Euro Age Table'!C$11,'Euro Age Table'!G$11)</f>
        <v>9</v>
      </c>
      <c r="Y174" s="46">
        <f>X174*'Eilat Car Data'!F$6</f>
        <v>249300</v>
      </c>
      <c r="Z174" s="46">
        <f>'T3 N2O HDV'!C15</f>
        <v>29.8</v>
      </c>
      <c r="AA174" s="124">
        <f t="shared" si="10"/>
        <v>784759.5312796561</v>
      </c>
    </row>
    <row r="175" spans="1:27" ht="12.5">
      <c r="A175" s="58" t="s">
        <v>78</v>
      </c>
      <c r="B175" s="49" t="s">
        <v>22</v>
      </c>
      <c r="C175" s="49" t="s">
        <v>79</v>
      </c>
      <c r="D175" s="57" t="s">
        <v>80</v>
      </c>
      <c r="E175" s="50" t="s">
        <v>60</v>
      </c>
      <c r="F175" s="97">
        <v>1.3698517094263953E-3</v>
      </c>
      <c r="G175" s="99">
        <f t="shared" si="12"/>
        <v>0.86711613206690819</v>
      </c>
      <c r="H175" s="46"/>
      <c r="I175" s="46">
        <f>G175*'Eilat Car Data'!F$6</f>
        <v>24019.116858253357</v>
      </c>
      <c r="J175" s="46">
        <f>I175*'Tier 1 Coefficients'!I$10</f>
        <v>5764588.0459808055</v>
      </c>
      <c r="K175" s="46">
        <f t="shared" si="8"/>
        <v>5764.5880459808059</v>
      </c>
      <c r="L175" s="46">
        <f>K175*'Tier 1 Coefficients'!D$4</f>
        <v>18267.979517713175</v>
      </c>
      <c r="M175" s="46">
        <f>K175*'Tier 1 Coefficients'!C$21</f>
        <v>14642.053636791246</v>
      </c>
      <c r="N175" s="46">
        <f>K175*'Tier 1 Coefficients'!C$45</f>
        <v>293.99399034502107</v>
      </c>
      <c r="O175" s="46">
        <f>I175*'Tier 2 FC'!D$36</f>
        <v>5044014.5402332051</v>
      </c>
      <c r="P175" s="46">
        <f t="shared" si="9"/>
        <v>5044.0145402332055</v>
      </c>
      <c r="Q175" s="46">
        <f>P175*'Tier 1 Coefficients'!D$4</f>
        <v>15984.482077999028</v>
      </c>
      <c r="R175" s="46">
        <f>$I175*'T2 HDV'!D17</f>
        <v>216.17205172428021</v>
      </c>
      <c r="S175" s="121">
        <f>$I175*'T2 HDV'!E17</f>
        <v>11673.290793111131</v>
      </c>
      <c r="T175" s="46">
        <f>44.011*(P175/(12.011+1.008*'Tier 3 CO2 Tables'!B$4+16*'Tier 3 CO2 Tables'!C$4))</f>
        <v>15986.896324194333</v>
      </c>
      <c r="U175" s="46">
        <f>I175*'Tier 3 CO2 Tables'!H$15/10000</f>
        <v>3.7469822298875237</v>
      </c>
      <c r="V175" s="46">
        <f>44.011*(U175/(12.011+1.008*'Tier 3 CO2 Tables'!B$6+16*'Tier 3 CO2 Tables'!C$6))</f>
        <v>11.689299905553289</v>
      </c>
      <c r="W175" s="46">
        <f>I175*'T3 Methane'!D$30</f>
        <v>4203345.4501943374</v>
      </c>
      <c r="X175" s="46" cm="1">
        <f t="array" ref="X175">_xlfn.IFS(E175='Euro Age Table'!C$5,'Euro Age Table'!G$5,E175='Euro Age Table'!C$6,'Euro Age Table'!G$6,E175='Euro Age Table'!C$7,'Euro Age Table'!G$7,E175='Euro Age Table'!C$8,'Euro Age Table'!G$8,E175='Euro Age Table'!C$9,'Euro Age Table'!G$9,E175='Euro Age Table'!C$10,'Euro Age Table'!G$10,E175='Euro Age Table'!C$11,'Euro Age Table'!G$11)</f>
        <v>3</v>
      </c>
      <c r="Y175" s="46">
        <f>X175*'Eilat Car Data'!F$6</f>
        <v>83100</v>
      </c>
      <c r="Z175" s="46">
        <f>'T3 N2O HDV'!C16</f>
        <v>37</v>
      </c>
      <c r="AA175" s="124">
        <f t="shared" si="10"/>
        <v>888707.32375537418</v>
      </c>
    </row>
    <row r="176" spans="1:27" ht="12.5">
      <c r="A176" s="58" t="s">
        <v>78</v>
      </c>
      <c r="B176" s="49" t="s">
        <v>22</v>
      </c>
      <c r="C176" s="49" t="s">
        <v>79</v>
      </c>
      <c r="D176" s="56" t="s">
        <v>81</v>
      </c>
      <c r="E176" s="50" t="s">
        <v>57</v>
      </c>
      <c r="F176" s="97">
        <v>1.5679025589820187E-4</v>
      </c>
      <c r="G176" s="99">
        <f t="shared" si="12"/>
        <v>9.924823198356178E-2</v>
      </c>
      <c r="H176" s="46"/>
      <c r="I176" s="46">
        <f>G176*'Eilat Car Data'!F$6</f>
        <v>2749.1760259446614</v>
      </c>
      <c r="J176" s="46">
        <f>I176*'Tier 1 Coefficients'!I$10</f>
        <v>659802.24622671877</v>
      </c>
      <c r="K176" s="46">
        <f t="shared" si="8"/>
        <v>659.80224622671881</v>
      </c>
      <c r="L176" s="46">
        <f>K176*'Tier 1 Coefficients'!D$4</f>
        <v>2090.913318292472</v>
      </c>
      <c r="M176" s="46">
        <f>K176*'Tier 1 Coefficients'!C$21</f>
        <v>1675.8977054158659</v>
      </c>
      <c r="N176" s="46">
        <f>K176*'Tier 1 Coefficients'!C$45</f>
        <v>33.64991455756266</v>
      </c>
      <c r="O176" s="46">
        <f>I176*'Tier 2 FC'!D$36</f>
        <v>577326.96544837893</v>
      </c>
      <c r="P176" s="46">
        <f t="shared" si="9"/>
        <v>577.32696544837893</v>
      </c>
      <c r="Q176" s="46">
        <f>P176*'Tier 1 Coefficients'!D$4</f>
        <v>1829.549153505913</v>
      </c>
      <c r="R176" s="46">
        <f>$I176*'T2 HDV'!D14</f>
        <v>7.9726104752395175</v>
      </c>
      <c r="S176" s="121">
        <f>$I176*'T2 HDV'!E14</f>
        <v>1336.0995486091053</v>
      </c>
      <c r="T176" s="46">
        <f>44.011*(P176/(12.011+1.008*'Tier 3 CO2 Tables'!B$4+16*'Tier 3 CO2 Tables'!C$4))</f>
        <v>1829.8254828897129</v>
      </c>
      <c r="U176" s="46">
        <f>I176*'Tier 3 CO2 Tables'!H$15/10000</f>
        <v>0.42887146004736726</v>
      </c>
      <c r="V176" s="46">
        <f>44.011*(U176/(12.011+1.008*'Tier 3 CO2 Tables'!B$6+16*'Tier 3 CO2 Tables'!C$6))</f>
        <v>1.337931916900678</v>
      </c>
      <c r="W176" s="46">
        <f>I176*'T3 Methane'!D$30</f>
        <v>481105.80454031576</v>
      </c>
      <c r="X176" s="46" cm="1">
        <f t="array" ref="X176">_xlfn.IFS(E176='Euro Age Table'!C$5,'Euro Age Table'!G$5,E176='Euro Age Table'!C$6,'Euro Age Table'!G$6,E176='Euro Age Table'!C$7,'Euro Age Table'!G$7,E176='Euro Age Table'!C$8,'Euro Age Table'!G$8,E176='Euro Age Table'!C$9,'Euro Age Table'!G$9,E176='Euro Age Table'!C$10,'Euro Age Table'!G$10,E176='Euro Age Table'!C$11,'Euro Age Table'!G$11)</f>
        <v>16</v>
      </c>
      <c r="Y176" s="46">
        <f>X176*'Eilat Car Data'!F$6</f>
        <v>443200</v>
      </c>
      <c r="Z176" s="46">
        <f>'T3 N2O HDV'!C13</f>
        <v>5</v>
      </c>
      <c r="AA176" s="124">
        <f t="shared" si="10"/>
        <v>13745.880129723308</v>
      </c>
    </row>
    <row r="177" spans="1:27" ht="12.5">
      <c r="A177" s="58" t="s">
        <v>78</v>
      </c>
      <c r="B177" s="49" t="s">
        <v>22</v>
      </c>
      <c r="C177" s="49" t="s">
        <v>79</v>
      </c>
      <c r="D177" s="56" t="s">
        <v>81</v>
      </c>
      <c r="E177" s="51" t="s">
        <v>60</v>
      </c>
      <c r="F177" s="97">
        <v>1.2460699284541307E-3</v>
      </c>
      <c r="G177" s="99">
        <f t="shared" si="12"/>
        <v>0.78876226471146471</v>
      </c>
      <c r="H177" s="46"/>
      <c r="I177" s="46">
        <f>G177*'Eilat Car Data'!F$6</f>
        <v>21848.714732507571</v>
      </c>
      <c r="J177" s="46">
        <f>I177*'Tier 1 Coefficients'!I$10</f>
        <v>5243691.5358018167</v>
      </c>
      <c r="K177" s="46">
        <f t="shared" si="8"/>
        <v>5243.6915358018168</v>
      </c>
      <c r="L177" s="46">
        <f>K177*'Tier 1 Coefficients'!D$4</f>
        <v>16617.258476955958</v>
      </c>
      <c r="M177" s="46">
        <f>K177*'Tier 1 Coefficients'!C$21</f>
        <v>13318.976500936615</v>
      </c>
      <c r="N177" s="46">
        <f>K177*'Tier 1 Coefficients'!C$45</f>
        <v>267.42826832589265</v>
      </c>
      <c r="O177" s="46">
        <f>I177*'Tier 2 FC'!D$36</f>
        <v>4588230.0938265901</v>
      </c>
      <c r="P177" s="46">
        <f t="shared" si="9"/>
        <v>4588.2300938265898</v>
      </c>
      <c r="Q177" s="46">
        <f>P177*'Tier 1 Coefficients'!D$4</f>
        <v>14540.101167336463</v>
      </c>
      <c r="R177" s="46">
        <f>$I177*'T2 HDV'!D17</f>
        <v>196.63843259256814</v>
      </c>
      <c r="S177" s="121">
        <f>$I177*'T2 HDV'!E17</f>
        <v>10618.47535999868</v>
      </c>
      <c r="T177" s="46">
        <f>44.011*(P177/(12.011+1.008*'Tier 3 CO2 Tables'!B$4+16*'Tier 3 CO2 Tables'!C$4))</f>
        <v>14542.297258755085</v>
      </c>
      <c r="U177" s="46">
        <f>I177*'Tier 3 CO2 Tables'!H$15/10000</f>
        <v>3.4083994982711809</v>
      </c>
      <c r="V177" s="46">
        <f>44.011*(U177/(12.011+1.008*'Tier 3 CO2 Tables'!B$6+16*'Tier 3 CO2 Tables'!C$6))</f>
        <v>10.63303786589486</v>
      </c>
      <c r="W177" s="46">
        <f>I177*'T3 Methane'!D$30</f>
        <v>3823525.0781888249</v>
      </c>
      <c r="X177" s="46" cm="1">
        <f t="array" ref="X177">_xlfn.IFS(E177='Euro Age Table'!C$5,'Euro Age Table'!G$5,E177='Euro Age Table'!C$6,'Euro Age Table'!G$6,E177='Euro Age Table'!C$7,'Euro Age Table'!G$7,E177='Euro Age Table'!C$8,'Euro Age Table'!G$8,E177='Euro Age Table'!C$9,'Euro Age Table'!G$9,E177='Euro Age Table'!C$10,'Euro Age Table'!G$10,E177='Euro Age Table'!C$11,'Euro Age Table'!G$11)</f>
        <v>3</v>
      </c>
      <c r="Y177" s="46">
        <f>X177*'Eilat Car Data'!F$6</f>
        <v>83100</v>
      </c>
      <c r="Z177" s="46">
        <f>'T3 N2O HDV'!C16</f>
        <v>37</v>
      </c>
      <c r="AA177" s="124">
        <f t="shared" si="10"/>
        <v>808402.44510278013</v>
      </c>
    </row>
    <row r="178" spans="1:27" ht="12.5">
      <c r="A178" s="58" t="s">
        <v>78</v>
      </c>
      <c r="B178" s="49" t="s">
        <v>22</v>
      </c>
      <c r="C178" s="49" t="s">
        <v>79</v>
      </c>
      <c r="D178" s="59" t="s">
        <v>82</v>
      </c>
      <c r="E178" s="50" t="s">
        <v>54</v>
      </c>
      <c r="F178" s="97">
        <v>4.1260593657421542E-5</v>
      </c>
      <c r="G178" s="99">
        <f t="shared" si="12"/>
        <v>2.6117955785147837E-2</v>
      </c>
      <c r="H178" s="46"/>
      <c r="I178" s="46">
        <f>G178*'Eilat Car Data'!F$6</f>
        <v>723.46737524859509</v>
      </c>
      <c r="J178" s="46">
        <f>I178*'Tier 1 Coefficients'!I$10</f>
        <v>173632.17005966284</v>
      </c>
      <c r="K178" s="46">
        <f t="shared" si="8"/>
        <v>173.63217005966283</v>
      </c>
      <c r="L178" s="46">
        <f>K178*'Tier 1 Coefficients'!D$4</f>
        <v>550.2403469190715</v>
      </c>
      <c r="M178" s="46">
        <f>K178*'Tier 1 Coefficients'!C$21</f>
        <v>441.0257119515436</v>
      </c>
      <c r="N178" s="46">
        <f>K178*'Tier 1 Coefficients'!C$45</f>
        <v>8.8552406730428039</v>
      </c>
      <c r="O178" s="46">
        <f>I178*'Tier 2 FC'!D$36</f>
        <v>151928.14880220496</v>
      </c>
      <c r="P178" s="46">
        <f t="shared" si="9"/>
        <v>151.92814880220496</v>
      </c>
      <c r="Q178" s="46">
        <f>P178*'Tier 1 Coefficients'!D$4</f>
        <v>481.46030355418753</v>
      </c>
      <c r="R178" s="46">
        <f>$I178*'T2 HDV'!D19</f>
        <v>2.0980553882209256</v>
      </c>
      <c r="S178" s="121">
        <f>$I178*'T2 HDV'!E19</f>
        <v>351.60514437081719</v>
      </c>
      <c r="T178" s="46">
        <f>44.011*(P178/(12.011+1.008*'Tier 3 CO2 Tables'!B$4+16*'Tier 3 CO2 Tables'!C$4))</f>
        <v>481.53302181308231</v>
      </c>
      <c r="U178" s="46">
        <f>I178*'Tier 3 CO2 Tables'!H$15/10000</f>
        <v>0.11286091053878083</v>
      </c>
      <c r="V178" s="46">
        <f>44.011*(U178/(12.011+1.008*'Tier 3 CO2 Tables'!B$6+16*'Tier 3 CO2 Tables'!C$6))</f>
        <v>0.35208734655280993</v>
      </c>
      <c r="W178" s="46">
        <f>I178*'T3 Methane'!D$30</f>
        <v>126606.79066850414</v>
      </c>
      <c r="X178" s="46" cm="1">
        <f t="array" ref="X178">_xlfn.IFS(E178='Euro Age Table'!C$5,'Euro Age Table'!G$5,E178='Euro Age Table'!C$6,'Euro Age Table'!G$6,E178='Euro Age Table'!C$7,'Euro Age Table'!G$7,E178='Euro Age Table'!C$8,'Euro Age Table'!G$8,E178='Euro Age Table'!C$9,'Euro Age Table'!G$9,E178='Euro Age Table'!C$10,'Euro Age Table'!G$10,E178='Euro Age Table'!C$11,'Euro Age Table'!G$11)</f>
        <v>27</v>
      </c>
      <c r="Y178" s="46">
        <f>X178*'Eilat Car Data'!F$6</f>
        <v>747900</v>
      </c>
      <c r="Z178" s="46">
        <f>'T3 N2O HDV'!C17</f>
        <v>30</v>
      </c>
      <c r="AA178" s="124">
        <f t="shared" si="10"/>
        <v>21704.021257457855</v>
      </c>
    </row>
    <row r="179" spans="1:27" ht="12.5">
      <c r="A179" s="58" t="s">
        <v>78</v>
      </c>
      <c r="B179" s="49" t="s">
        <v>22</v>
      </c>
      <c r="C179" s="49" t="s">
        <v>79</v>
      </c>
      <c r="D179" s="56" t="s">
        <v>82</v>
      </c>
      <c r="E179" s="50" t="s">
        <v>55</v>
      </c>
      <c r="F179" s="97">
        <v>8.2521187314843085E-6</v>
      </c>
      <c r="G179" s="99">
        <f t="shared" si="12"/>
        <v>5.223591157029567E-3</v>
      </c>
      <c r="H179" s="46"/>
      <c r="I179" s="46">
        <f>G179*'Eilat Car Data'!F$6</f>
        <v>144.69347504971901</v>
      </c>
      <c r="J179" s="46">
        <f>I179*'Tier 1 Coefficients'!I$10</f>
        <v>34726.434011932564</v>
      </c>
      <c r="K179" s="46">
        <f t="shared" si="8"/>
        <v>34.726434011932561</v>
      </c>
      <c r="L179" s="46">
        <f>K179*'Tier 1 Coefficients'!D$4</f>
        <v>110.04806938381429</v>
      </c>
      <c r="M179" s="46">
        <f>K179*'Tier 1 Coefficients'!C$21</f>
        <v>88.205142390308708</v>
      </c>
      <c r="N179" s="46">
        <f>K179*'Tier 1 Coefficients'!C$45</f>
        <v>1.7710481346085605</v>
      </c>
      <c r="O179" s="46">
        <f>I179*'Tier 2 FC'!D$36</f>
        <v>30385.629760440992</v>
      </c>
      <c r="P179" s="46">
        <f t="shared" si="9"/>
        <v>30.385629760440992</v>
      </c>
      <c r="Q179" s="46">
        <f>P179*'Tier 1 Coefficients'!D$4</f>
        <v>96.292060710837504</v>
      </c>
      <c r="R179" s="46">
        <f>$I179*'T2 HDV'!D20</f>
        <v>0.41961107764418509</v>
      </c>
      <c r="S179" s="121">
        <f>$I179*'T2 HDV'!E20</f>
        <v>70.321028874163432</v>
      </c>
      <c r="T179" s="46">
        <f>44.011*(P179/(12.011+1.008*'Tier 3 CO2 Tables'!B$4+16*'Tier 3 CO2 Tables'!C$4))</f>
        <v>96.306604362616454</v>
      </c>
      <c r="U179" s="46">
        <f>I179*'Tier 3 CO2 Tables'!H$15/10000</f>
        <v>2.2572182107756165E-2</v>
      </c>
      <c r="V179" s="46">
        <f>44.011*(U179/(12.011+1.008*'Tier 3 CO2 Tables'!B$6+16*'Tier 3 CO2 Tables'!C$6))</f>
        <v>7.0417469310561975E-2</v>
      </c>
      <c r="W179" s="46">
        <f>I179*'T3 Methane'!D$30</f>
        <v>25321.358133700825</v>
      </c>
      <c r="X179" s="46" cm="1">
        <f t="array" ref="X179">_xlfn.IFS(E179='Euro Age Table'!C$5,'Euro Age Table'!G$5,E179='Euro Age Table'!C$6,'Euro Age Table'!G$6,E179='Euro Age Table'!C$7,'Euro Age Table'!G$7,E179='Euro Age Table'!C$8,'Euro Age Table'!G$8,E179='Euro Age Table'!C$9,'Euro Age Table'!G$9,E179='Euro Age Table'!C$10,'Euro Age Table'!G$10,E179='Euro Age Table'!C$11,'Euro Age Table'!G$11)</f>
        <v>23</v>
      </c>
      <c r="Y179" s="46">
        <f>X179*'Eilat Car Data'!F$6</f>
        <v>637100</v>
      </c>
      <c r="Z179" s="46">
        <f>'T3 N2O HDV'!C18</f>
        <v>17</v>
      </c>
      <c r="AA179" s="124">
        <f t="shared" si="10"/>
        <v>2459.7890758452231</v>
      </c>
    </row>
    <row r="180" spans="1:27" ht="12.5">
      <c r="A180" s="58" t="s">
        <v>78</v>
      </c>
      <c r="B180" s="49" t="s">
        <v>22</v>
      </c>
      <c r="C180" s="49" t="s">
        <v>79</v>
      </c>
      <c r="D180" s="56" t="s">
        <v>82</v>
      </c>
      <c r="E180" s="50" t="s">
        <v>56</v>
      </c>
      <c r="F180" s="97">
        <v>8.2521187314843085E-6</v>
      </c>
      <c r="G180" s="99">
        <f t="shared" si="12"/>
        <v>5.223591157029567E-3</v>
      </c>
      <c r="H180" s="46"/>
      <c r="I180" s="46">
        <f>G180*'Eilat Car Data'!F$6</f>
        <v>144.69347504971901</v>
      </c>
      <c r="J180" s="46">
        <f>I180*'Tier 1 Coefficients'!I$10</f>
        <v>34726.434011932564</v>
      </c>
      <c r="K180" s="46">
        <f t="shared" si="8"/>
        <v>34.726434011932561</v>
      </c>
      <c r="L180" s="46">
        <f>K180*'Tier 1 Coefficients'!D$4</f>
        <v>110.04806938381429</v>
      </c>
      <c r="M180" s="46">
        <f>K180*'Tier 1 Coefficients'!C$21</f>
        <v>88.205142390308708</v>
      </c>
      <c r="N180" s="46">
        <f>K180*'Tier 1 Coefficients'!C$45</f>
        <v>1.7710481346085605</v>
      </c>
      <c r="O180" s="46">
        <f>I180*'Tier 2 FC'!D$36</f>
        <v>30385.629760440992</v>
      </c>
      <c r="P180" s="46">
        <f t="shared" si="9"/>
        <v>30.385629760440992</v>
      </c>
      <c r="Q180" s="46">
        <f>P180*'Tier 1 Coefficients'!D$4</f>
        <v>96.292060710837504</v>
      </c>
      <c r="R180" s="46">
        <f>$I180*'T2 HDV'!D21</f>
        <v>0.41961107764418509</v>
      </c>
      <c r="S180" s="121">
        <f>$I180*'T2 HDV'!E21</f>
        <v>70.321028874163432</v>
      </c>
      <c r="T180" s="46">
        <f>44.011*(P180/(12.011+1.008*'Tier 3 CO2 Tables'!B$4+16*'Tier 3 CO2 Tables'!C$4))</f>
        <v>96.306604362616454</v>
      </c>
      <c r="U180" s="46">
        <f>I180*'Tier 3 CO2 Tables'!H$15/10000</f>
        <v>2.2572182107756165E-2</v>
      </c>
      <c r="V180" s="46">
        <f>44.011*(U180/(12.011+1.008*'Tier 3 CO2 Tables'!B$6+16*'Tier 3 CO2 Tables'!C$6))</f>
        <v>7.0417469310561975E-2</v>
      </c>
      <c r="W180" s="46">
        <f>I180*'T3 Methane'!D$30</f>
        <v>25321.358133700825</v>
      </c>
      <c r="X180" s="46" cm="1">
        <f t="array" ref="X180">_xlfn.IFS(E180='Euro Age Table'!C$5,'Euro Age Table'!G$5,E180='Euro Age Table'!C$6,'Euro Age Table'!G$6,E180='Euro Age Table'!C$7,'Euro Age Table'!G$7,E180='Euro Age Table'!C$8,'Euro Age Table'!G$8,E180='Euro Age Table'!C$9,'Euro Age Table'!G$9,E180='Euro Age Table'!C$10,'Euro Age Table'!G$10,E180='Euro Age Table'!C$11,'Euro Age Table'!G$11)</f>
        <v>18</v>
      </c>
      <c r="Y180" s="46">
        <f>X180*'Eilat Car Data'!F$6</f>
        <v>498600</v>
      </c>
      <c r="Z180" s="46">
        <f>'T3 N2O HDV'!C19</f>
        <v>17</v>
      </c>
      <c r="AA180" s="124">
        <f t="shared" si="10"/>
        <v>2459.7890758452231</v>
      </c>
    </row>
    <row r="181" spans="1:27" ht="12.5">
      <c r="A181" s="58" t="s">
        <v>78</v>
      </c>
      <c r="B181" s="49" t="s">
        <v>22</v>
      </c>
      <c r="C181" s="49" t="s">
        <v>79</v>
      </c>
      <c r="D181" s="56" t="s">
        <v>82</v>
      </c>
      <c r="E181" s="50" t="s">
        <v>57</v>
      </c>
      <c r="F181" s="97">
        <v>1.6504237462968617E-5</v>
      </c>
      <c r="G181" s="99">
        <f t="shared" si="12"/>
        <v>1.0447182314059134E-2</v>
      </c>
      <c r="H181" s="46"/>
      <c r="I181" s="46">
        <f>G181*'Eilat Car Data'!F$6</f>
        <v>289.38695009943802</v>
      </c>
      <c r="J181" s="46">
        <f>I181*'Tier 1 Coefficients'!I$10</f>
        <v>69452.868023865129</v>
      </c>
      <c r="K181" s="46">
        <f t="shared" si="8"/>
        <v>69.452868023865122</v>
      </c>
      <c r="L181" s="46">
        <f>K181*'Tier 1 Coefficients'!D$4</f>
        <v>220.09613876762859</v>
      </c>
      <c r="M181" s="46">
        <f>K181*'Tier 1 Coefficients'!C$21</f>
        <v>176.41028478061742</v>
      </c>
      <c r="N181" s="46">
        <f>K181*'Tier 1 Coefficients'!C$45</f>
        <v>3.542096269217121</v>
      </c>
      <c r="O181" s="46">
        <f>I181*'Tier 2 FC'!D$36</f>
        <v>60771.259520881984</v>
      </c>
      <c r="P181" s="46">
        <f t="shared" si="9"/>
        <v>60.771259520881983</v>
      </c>
      <c r="Q181" s="46">
        <f>P181*'Tier 1 Coefficients'!D$4</f>
        <v>192.58412142167501</v>
      </c>
      <c r="R181" s="46">
        <f>$I181*'T2 HDV'!D22</f>
        <v>0.83922215528837019</v>
      </c>
      <c r="S181" s="121">
        <f>$I181*'T2 HDV'!E22</f>
        <v>140.64205774832686</v>
      </c>
      <c r="T181" s="46">
        <f>44.011*(P181/(12.011+1.008*'Tier 3 CO2 Tables'!B$4+16*'Tier 3 CO2 Tables'!C$4))</f>
        <v>192.61320872523291</v>
      </c>
      <c r="U181" s="46">
        <f>I181*'Tier 3 CO2 Tables'!H$15/10000</f>
        <v>4.514436421551233E-2</v>
      </c>
      <c r="V181" s="46">
        <f>44.011*(U181/(12.011+1.008*'Tier 3 CO2 Tables'!B$6+16*'Tier 3 CO2 Tables'!C$6))</f>
        <v>0.14083493862112395</v>
      </c>
      <c r="W181" s="46">
        <f>I181*'T3 Methane'!D$30</f>
        <v>50642.716267401651</v>
      </c>
      <c r="X181" s="46" cm="1">
        <f t="array" ref="X181">_xlfn.IFS(E181='Euro Age Table'!C$5,'Euro Age Table'!G$5,E181='Euro Age Table'!C$6,'Euro Age Table'!G$6,E181='Euro Age Table'!C$7,'Euro Age Table'!G$7,E181='Euro Age Table'!C$8,'Euro Age Table'!G$8,E181='Euro Age Table'!C$9,'Euro Age Table'!G$9,E181='Euro Age Table'!C$10,'Euro Age Table'!G$10,E181='Euro Age Table'!C$11,'Euro Age Table'!G$11)</f>
        <v>16</v>
      </c>
      <c r="Y181" s="46">
        <f>X181*'Eilat Car Data'!F$6</f>
        <v>443200</v>
      </c>
      <c r="Z181" s="46">
        <f>'T3 N2O HDV'!C20</f>
        <v>8</v>
      </c>
      <c r="AA181" s="124">
        <f t="shared" si="10"/>
        <v>2315.0956007955042</v>
      </c>
    </row>
    <row r="182" spans="1:27" ht="12.5">
      <c r="A182" s="58" t="s">
        <v>78</v>
      </c>
      <c r="B182" s="49" t="s">
        <v>22</v>
      </c>
      <c r="C182" s="49" t="s">
        <v>79</v>
      </c>
      <c r="D182" s="56" t="s">
        <v>82</v>
      </c>
      <c r="E182" s="50" t="s">
        <v>58</v>
      </c>
      <c r="F182" s="97">
        <v>1.4853813716671755E-4</v>
      </c>
      <c r="G182" s="99">
        <f t="shared" si="12"/>
        <v>9.402464082653221E-2</v>
      </c>
      <c r="H182" s="46"/>
      <c r="I182" s="46">
        <f>G182*'Eilat Car Data'!F$6</f>
        <v>2604.4825508949421</v>
      </c>
      <c r="J182" s="46">
        <f>I182*'Tier 1 Coefficients'!I$10</f>
        <v>625075.81221478607</v>
      </c>
      <c r="K182" s="46">
        <f t="shared" si="8"/>
        <v>625.07581221478608</v>
      </c>
      <c r="L182" s="46">
        <f>K182*'Tier 1 Coefficients'!D$4</f>
        <v>1980.8652489086571</v>
      </c>
      <c r="M182" s="46">
        <f>K182*'Tier 1 Coefficients'!C$21</f>
        <v>1587.6925630255566</v>
      </c>
      <c r="N182" s="46">
        <f>K182*'Tier 1 Coefficients'!C$45</f>
        <v>31.87886642295409</v>
      </c>
      <c r="O182" s="46">
        <f>I182*'Tier 2 FC'!D$36</f>
        <v>546941.3356879378</v>
      </c>
      <c r="P182" s="46">
        <f t="shared" si="9"/>
        <v>546.94133568793779</v>
      </c>
      <c r="Q182" s="46">
        <f>P182*'Tier 1 Coefficients'!D$4</f>
        <v>1733.2570927950749</v>
      </c>
      <c r="R182" s="46">
        <f>$I182*'T2 HDV'!D23</f>
        <v>7.5529993975953316</v>
      </c>
      <c r="S182" s="121">
        <f>$I182*'T2 HDV'!E23</f>
        <v>1265.7785197349417</v>
      </c>
      <c r="T182" s="46">
        <f>44.011*(P182/(12.011+1.008*'Tier 3 CO2 Tables'!B$4+16*'Tier 3 CO2 Tables'!C$4))</f>
        <v>1733.5188785270961</v>
      </c>
      <c r="U182" s="46">
        <f>I182*'Tier 3 CO2 Tables'!H$15/10000</f>
        <v>0.40629927793961096</v>
      </c>
      <c r="V182" s="46">
        <f>44.011*(U182/(12.011+1.008*'Tier 3 CO2 Tables'!B$6+16*'Tier 3 CO2 Tables'!C$6))</f>
        <v>1.2675144475901157</v>
      </c>
      <c r="W182" s="46">
        <f>I182*'T3 Methane'!D$30</f>
        <v>455784.44640661485</v>
      </c>
      <c r="X182" s="46" cm="1">
        <f t="array" ref="X182">_xlfn.IFS(E182='Euro Age Table'!C$5,'Euro Age Table'!G$5,E182='Euro Age Table'!C$6,'Euro Age Table'!G$6,E182='Euro Age Table'!C$7,'Euro Age Table'!G$7,E182='Euro Age Table'!C$8,'Euro Age Table'!G$8,E182='Euro Age Table'!C$9,'Euro Age Table'!G$9,E182='Euro Age Table'!C$10,'Euro Age Table'!G$10,E182='Euro Age Table'!C$11,'Euro Age Table'!G$11)</f>
        <v>13</v>
      </c>
      <c r="Y182" s="46">
        <f>X182*'Eilat Car Data'!F$6</f>
        <v>360100</v>
      </c>
      <c r="Z182" s="46">
        <f>'T3 N2O HDV'!C21</f>
        <v>17.399999999999999</v>
      </c>
      <c r="AA182" s="124">
        <f t="shared" si="10"/>
        <v>45317.996385571991</v>
      </c>
    </row>
    <row r="183" spans="1:27" ht="12.5">
      <c r="A183" s="58" t="s">
        <v>78</v>
      </c>
      <c r="B183" s="49" t="s">
        <v>22</v>
      </c>
      <c r="C183" s="49" t="s">
        <v>79</v>
      </c>
      <c r="D183" s="56" t="s">
        <v>82</v>
      </c>
      <c r="E183" s="50" t="s">
        <v>59</v>
      </c>
      <c r="F183" s="97">
        <v>3.9610169911124681E-4</v>
      </c>
      <c r="G183" s="99">
        <f t="shared" si="12"/>
        <v>0.25073237553741923</v>
      </c>
      <c r="H183" s="46"/>
      <c r="I183" s="46">
        <f>G183*'Eilat Car Data'!F$6</f>
        <v>6945.286802386513</v>
      </c>
      <c r="J183" s="46">
        <f>I183*'Tier 1 Coefficients'!I$10</f>
        <v>1666868.8325727631</v>
      </c>
      <c r="K183" s="46">
        <f t="shared" si="8"/>
        <v>1666.868832572763</v>
      </c>
      <c r="L183" s="46">
        <f>K183*'Tier 1 Coefficients'!D$4</f>
        <v>5282.3073304230866</v>
      </c>
      <c r="M183" s="46">
        <f>K183*'Tier 1 Coefficients'!C$21</f>
        <v>4233.846834734818</v>
      </c>
      <c r="N183" s="46">
        <f>K183*'Tier 1 Coefficients'!C$45</f>
        <v>85.010310461210906</v>
      </c>
      <c r="O183" s="46">
        <f>I183*'Tier 2 FC'!D$36</f>
        <v>1458510.2285011678</v>
      </c>
      <c r="P183" s="46">
        <f t="shared" si="9"/>
        <v>1458.5102285011678</v>
      </c>
      <c r="Q183" s="46">
        <f>P183*'Tier 1 Coefficients'!D$4</f>
        <v>4622.0189141202009</v>
      </c>
      <c r="R183" s="46">
        <f>$I183*'T2 HDV'!D24</f>
        <v>76.398154826251641</v>
      </c>
      <c r="S183" s="121">
        <f>$I183*'T2 HDV'!E24</f>
        <v>3375.4093859598452</v>
      </c>
      <c r="T183" s="46">
        <f>44.011*(P183/(12.011+1.008*'Tier 3 CO2 Tables'!B$4+16*'Tier 3 CO2 Tables'!C$4))</f>
        <v>4622.71700940559</v>
      </c>
      <c r="U183" s="46">
        <f>I183*'Tier 3 CO2 Tables'!H$15/10000</f>
        <v>1.0834647411722962</v>
      </c>
      <c r="V183" s="46">
        <f>44.011*(U183/(12.011+1.008*'Tier 3 CO2 Tables'!B$6+16*'Tier 3 CO2 Tables'!C$6))</f>
        <v>3.3800385269069757</v>
      </c>
      <c r="W183" s="46">
        <f>I183*'T3 Methane'!D$30</f>
        <v>1215425.1904176397</v>
      </c>
      <c r="X183" s="46" cm="1">
        <f t="array" ref="X183">_xlfn.IFS(E183='Euro Age Table'!C$5,'Euro Age Table'!G$5,E183='Euro Age Table'!C$6,'Euro Age Table'!G$6,E183='Euro Age Table'!C$7,'Euro Age Table'!G$7,E183='Euro Age Table'!C$8,'Euro Age Table'!G$8,E183='Euro Age Table'!C$9,'Euro Age Table'!G$9,E183='Euro Age Table'!C$10,'Euro Age Table'!G$10,E183='Euro Age Table'!C$11,'Euro Age Table'!G$11)</f>
        <v>9</v>
      </c>
      <c r="Y183" s="46">
        <f>X183*'Eilat Car Data'!F$6</f>
        <v>249300</v>
      </c>
      <c r="Z183" s="46">
        <f>'T3 N2O HDV'!C22</f>
        <v>45.6</v>
      </c>
      <c r="AA183" s="124">
        <f t="shared" si="10"/>
        <v>316705.07818882499</v>
      </c>
    </row>
    <row r="184" spans="1:27" ht="12.5">
      <c r="A184" s="58" t="s">
        <v>78</v>
      </c>
      <c r="B184" s="49" t="s">
        <v>22</v>
      </c>
      <c r="C184" s="49" t="s">
        <v>79</v>
      </c>
      <c r="D184" s="57" t="s">
        <v>82</v>
      </c>
      <c r="E184" s="51" t="s">
        <v>60</v>
      </c>
      <c r="F184" s="97">
        <v>7.096822109076505E-4</v>
      </c>
      <c r="G184" s="99">
        <f t="shared" si="12"/>
        <v>0.44922883950454279</v>
      </c>
      <c r="H184" s="46"/>
      <c r="I184" s="46">
        <f>G184*'Eilat Car Data'!F$6</f>
        <v>12443.638854275836</v>
      </c>
      <c r="J184" s="46">
        <f>I184*'Tier 1 Coefficients'!I$10</f>
        <v>2986473.3250262006</v>
      </c>
      <c r="K184" s="46">
        <f t="shared" si="8"/>
        <v>2986.4733250262007</v>
      </c>
      <c r="L184" s="46">
        <f>K184*'Tier 1 Coefficients'!D$4</f>
        <v>9464.1339670080306</v>
      </c>
      <c r="M184" s="46">
        <f>K184*'Tier 1 Coefficients'!C$21</f>
        <v>7585.6422455665497</v>
      </c>
      <c r="N184" s="46">
        <f>K184*'Tier 1 Coefficients'!C$45</f>
        <v>152.31013957633621</v>
      </c>
      <c r="O184" s="46">
        <f>I184*'Tier 2 FC'!D$36</f>
        <v>2613164.1593979257</v>
      </c>
      <c r="P184" s="46">
        <f t="shared" si="9"/>
        <v>2613.1641593979257</v>
      </c>
      <c r="Q184" s="46">
        <f>P184*'Tier 1 Coefficients'!D$4</f>
        <v>8281.1172211320263</v>
      </c>
      <c r="R184" s="46">
        <f>$I184*'T2 HDV'!D25</f>
        <v>111.99274968848252</v>
      </c>
      <c r="S184" s="121">
        <f>$I184*'T2 HDV'!E25</f>
        <v>6047.6084831780563</v>
      </c>
      <c r="T184" s="46">
        <f>44.011*(P184/(12.011+1.008*'Tier 3 CO2 Tables'!B$4+16*'Tier 3 CO2 Tables'!C$4))</f>
        <v>8282.3679751850159</v>
      </c>
      <c r="U184" s="46">
        <f>I184*'Tier 3 CO2 Tables'!H$15/10000</f>
        <v>1.9412076612670306</v>
      </c>
      <c r="V184" s="46">
        <f>44.011*(U184/(12.011+1.008*'Tier 3 CO2 Tables'!B$6+16*'Tier 3 CO2 Tables'!C$6))</f>
        <v>6.0559023607083322</v>
      </c>
      <c r="W184" s="46">
        <f>I184*'T3 Methane'!D$30</f>
        <v>2177636.7994982712</v>
      </c>
      <c r="X184" s="46" cm="1">
        <f t="array" ref="X184">_xlfn.IFS(E184='Euro Age Table'!C$5,'Euro Age Table'!G$5,E184='Euro Age Table'!C$6,'Euro Age Table'!G$6,E184='Euro Age Table'!C$7,'Euro Age Table'!G$7,E184='Euro Age Table'!C$8,'Euro Age Table'!G$8,E184='Euro Age Table'!C$9,'Euro Age Table'!G$9,E184='Euro Age Table'!C$10,'Euro Age Table'!G$10,E184='Euro Age Table'!C$11,'Euro Age Table'!G$11)</f>
        <v>3</v>
      </c>
      <c r="Y184" s="46">
        <f>X184*'Eilat Car Data'!F$6</f>
        <v>83100</v>
      </c>
      <c r="Z184" s="46">
        <f>'T3 N2O HDV'!C23</f>
        <v>56.5</v>
      </c>
      <c r="AA184" s="124">
        <f t="shared" si="10"/>
        <v>703065.59526658477</v>
      </c>
    </row>
    <row r="185" spans="1:27" ht="12.5">
      <c r="A185" s="58" t="s">
        <v>78</v>
      </c>
      <c r="B185" s="49" t="s">
        <v>22</v>
      </c>
      <c r="C185" s="49" t="s">
        <v>79</v>
      </c>
      <c r="D185" s="56" t="s">
        <v>83</v>
      </c>
      <c r="E185" s="50" t="s">
        <v>54</v>
      </c>
      <c r="F185" s="97">
        <v>4.1260593657421542E-5</v>
      </c>
      <c r="G185" s="99">
        <f t="shared" si="12"/>
        <v>2.6117955785147837E-2</v>
      </c>
      <c r="H185" s="46"/>
      <c r="I185" s="46">
        <f>G185*'Eilat Car Data'!F$6</f>
        <v>723.46737524859509</v>
      </c>
      <c r="J185" s="46">
        <f>I185*'Tier 1 Coefficients'!I$10</f>
        <v>173632.17005966284</v>
      </c>
      <c r="K185" s="46">
        <f t="shared" si="8"/>
        <v>173.63217005966283</v>
      </c>
      <c r="L185" s="46">
        <f>K185*'Tier 1 Coefficients'!D$4</f>
        <v>550.2403469190715</v>
      </c>
      <c r="M185" s="46">
        <f>K185*'Tier 1 Coefficients'!C$21</f>
        <v>441.0257119515436</v>
      </c>
      <c r="N185" s="46">
        <f>K185*'Tier 1 Coefficients'!C$45</f>
        <v>8.8552406730428039</v>
      </c>
      <c r="O185" s="46">
        <f>I185*'Tier 2 FC'!D$37</f>
        <v>214869.81044883275</v>
      </c>
      <c r="P185" s="46">
        <f t="shared" si="9"/>
        <v>214.86981044883277</v>
      </c>
      <c r="Q185" s="46">
        <f>P185*'Tier 1 Coefficients'!D$4</f>
        <v>680.92242931235103</v>
      </c>
      <c r="R185" s="46">
        <f>$I185*'T2 HDV'!D19</f>
        <v>2.0980553882209256</v>
      </c>
      <c r="S185" s="121">
        <f>$I185*'T2 HDV'!E19</f>
        <v>351.60514437081719</v>
      </c>
      <c r="T185" s="46">
        <f>44.011*(P185/(12.011+1.008*'Tier 3 CO2 Tables'!B$4+16*'Tier 3 CO2 Tables'!C$4))</f>
        <v>681.02527370707355</v>
      </c>
      <c r="U185" s="46">
        <f>I185*'Tier 3 CO2 Tables'!H$15/10000</f>
        <v>0.11286091053878083</v>
      </c>
      <c r="V185" s="46">
        <f>44.011*(U185/(12.011+1.008*'Tier 3 CO2 Tables'!B$6+16*'Tier 3 CO2 Tables'!C$6))</f>
        <v>0.35208734655280993</v>
      </c>
      <c r="W185" s="46">
        <f>I185*'T3 Methane'!D$30</f>
        <v>126606.79066850414</v>
      </c>
      <c r="X185" s="46" cm="1">
        <f t="array" ref="X185">_xlfn.IFS(E185='Euro Age Table'!C$5,'Euro Age Table'!G$5,E185='Euro Age Table'!C$6,'Euro Age Table'!G$6,E185='Euro Age Table'!C$7,'Euro Age Table'!G$7,E185='Euro Age Table'!C$8,'Euro Age Table'!G$8,E185='Euro Age Table'!C$9,'Euro Age Table'!G$9,E185='Euro Age Table'!C$10,'Euro Age Table'!G$10,E185='Euro Age Table'!C$11,'Euro Age Table'!G$11)</f>
        <v>27</v>
      </c>
      <c r="Y185" s="46">
        <f>X185*'Eilat Car Data'!F$6</f>
        <v>747900</v>
      </c>
      <c r="Z185" s="46">
        <f>'T3 N2O HDV'!C24</f>
        <v>30</v>
      </c>
      <c r="AA185" s="124">
        <f t="shared" si="10"/>
        <v>21704.021257457855</v>
      </c>
    </row>
    <row r="186" spans="1:27" ht="12.5">
      <c r="A186" s="58" t="s">
        <v>78</v>
      </c>
      <c r="B186" s="49" t="s">
        <v>22</v>
      </c>
      <c r="C186" s="49" t="s">
        <v>79</v>
      </c>
      <c r="D186" s="56" t="s">
        <v>83</v>
      </c>
      <c r="E186" s="50" t="s">
        <v>55</v>
      </c>
      <c r="F186" s="97">
        <v>8.2521187314843085E-6</v>
      </c>
      <c r="G186" s="99">
        <f t="shared" si="12"/>
        <v>5.223591157029567E-3</v>
      </c>
      <c r="H186" s="46"/>
      <c r="I186" s="46">
        <f>G186*'Eilat Car Data'!F$6</f>
        <v>144.69347504971901</v>
      </c>
      <c r="J186" s="46">
        <f>I186*'Tier 1 Coefficients'!I$10</f>
        <v>34726.434011932564</v>
      </c>
      <c r="K186" s="46">
        <f t="shared" si="8"/>
        <v>34.726434011932561</v>
      </c>
      <c r="L186" s="46">
        <f>K186*'Tier 1 Coefficients'!D$4</f>
        <v>110.04806938381429</v>
      </c>
      <c r="M186" s="46">
        <f>K186*'Tier 1 Coefficients'!C$21</f>
        <v>88.205142390308708</v>
      </c>
      <c r="N186" s="46">
        <f>K186*'Tier 1 Coefficients'!C$45</f>
        <v>1.7710481346085605</v>
      </c>
      <c r="O186" s="46">
        <f>I186*'Tier 2 FC'!D$38</f>
        <v>36318.062237479469</v>
      </c>
      <c r="P186" s="46">
        <f t="shared" si="9"/>
        <v>36.318062237479467</v>
      </c>
      <c r="Q186" s="46">
        <f>P186*'Tier 1 Coefficients'!D$4</f>
        <v>115.09193923057244</v>
      </c>
      <c r="R186" s="46">
        <f>$I186*'T2 HDV'!D20</f>
        <v>0.41961107764418509</v>
      </c>
      <c r="S186" s="121">
        <f>$I186*'T2 HDV'!E20</f>
        <v>70.321028874163432</v>
      </c>
      <c r="T186" s="46">
        <f>44.011*(P186/(12.011+1.008*'Tier 3 CO2 Tables'!B$4+16*'Tier 3 CO2 Tables'!C$4))</f>
        <v>115.10932235722251</v>
      </c>
      <c r="U186" s="46">
        <f>I186*'Tier 3 CO2 Tables'!H$15/10000</f>
        <v>2.2572182107756165E-2</v>
      </c>
      <c r="V186" s="46">
        <f>44.011*(U186/(12.011+1.008*'Tier 3 CO2 Tables'!B$6+16*'Tier 3 CO2 Tables'!C$6))</f>
        <v>7.0417469310561975E-2</v>
      </c>
      <c r="W186" s="46">
        <f>I186*'T3 Methane'!D$30</f>
        <v>25321.358133700825</v>
      </c>
      <c r="X186" s="46" cm="1">
        <f t="array" ref="X186">_xlfn.IFS(E186='Euro Age Table'!C$5,'Euro Age Table'!G$5,E186='Euro Age Table'!C$6,'Euro Age Table'!G$6,E186='Euro Age Table'!C$7,'Euro Age Table'!G$7,E186='Euro Age Table'!C$8,'Euro Age Table'!G$8,E186='Euro Age Table'!C$9,'Euro Age Table'!G$9,E186='Euro Age Table'!C$10,'Euro Age Table'!G$10,E186='Euro Age Table'!C$11,'Euro Age Table'!G$11)</f>
        <v>23</v>
      </c>
      <c r="Y186" s="46">
        <f>X186*'Eilat Car Data'!F$6</f>
        <v>637100</v>
      </c>
      <c r="Z186" s="46">
        <f>'T3 N2O HDV'!C25</f>
        <v>18</v>
      </c>
      <c r="AA186" s="124">
        <f t="shared" si="10"/>
        <v>2604.4825508949421</v>
      </c>
    </row>
    <row r="187" spans="1:27" ht="12.5">
      <c r="A187" s="58" t="s">
        <v>78</v>
      </c>
      <c r="B187" s="49" t="s">
        <v>22</v>
      </c>
      <c r="C187" s="49" t="s">
        <v>79</v>
      </c>
      <c r="D187" s="56" t="s">
        <v>83</v>
      </c>
      <c r="E187" s="50" t="s">
        <v>56</v>
      </c>
      <c r="F187" s="97">
        <v>3.3008474925937234E-5</v>
      </c>
      <c r="G187" s="99">
        <f t="shared" si="12"/>
        <v>2.0894364628118268E-2</v>
      </c>
      <c r="H187" s="46"/>
      <c r="I187" s="46">
        <f>G187*'Eilat Car Data'!F$6</f>
        <v>578.77390019887605</v>
      </c>
      <c r="J187" s="46">
        <f>I187*'Tier 1 Coefficients'!I$10</f>
        <v>138905.73604773026</v>
      </c>
      <c r="K187" s="46">
        <f t="shared" si="8"/>
        <v>138.90573604773024</v>
      </c>
      <c r="L187" s="46">
        <f>K187*'Tier 1 Coefficients'!D$4</f>
        <v>440.19227753525718</v>
      </c>
      <c r="M187" s="46">
        <f>K187*'Tier 1 Coefficients'!C$21</f>
        <v>352.82056956123483</v>
      </c>
      <c r="N187" s="46">
        <f>K187*'Tier 1 Coefficients'!C$45</f>
        <v>7.0841925384342419</v>
      </c>
      <c r="O187" s="46">
        <f>I187*'Tier 2 FC'!D$38</f>
        <v>145272.24894991788</v>
      </c>
      <c r="P187" s="46">
        <f t="shared" si="9"/>
        <v>145.27224894991787</v>
      </c>
      <c r="Q187" s="46">
        <f>P187*'Tier 1 Coefficients'!D$4</f>
        <v>460.36775692228974</v>
      </c>
      <c r="R187" s="46">
        <f>$I187*'T2 HDV'!D21</f>
        <v>1.6784443105767404</v>
      </c>
      <c r="S187" s="121">
        <f>$I187*'T2 HDV'!E21</f>
        <v>281.28411549665373</v>
      </c>
      <c r="T187" s="46">
        <f>44.011*(P187/(12.011+1.008*'Tier 3 CO2 Tables'!B$4+16*'Tier 3 CO2 Tables'!C$4))</f>
        <v>460.43728942889004</v>
      </c>
      <c r="U187" s="46">
        <f>I187*'Tier 3 CO2 Tables'!H$15/10000</f>
        <v>9.0288728431024659E-2</v>
      </c>
      <c r="V187" s="46">
        <f>44.011*(U187/(12.011+1.008*'Tier 3 CO2 Tables'!B$6+16*'Tier 3 CO2 Tables'!C$6))</f>
        <v>0.2816698772422479</v>
      </c>
      <c r="W187" s="46">
        <f>I187*'T3 Methane'!D$30</f>
        <v>101285.4325348033</v>
      </c>
      <c r="X187" s="46" cm="1">
        <f t="array" ref="X187">_xlfn.IFS(E187='Euro Age Table'!C$5,'Euro Age Table'!G$5,E187='Euro Age Table'!C$6,'Euro Age Table'!G$6,E187='Euro Age Table'!C$7,'Euro Age Table'!G$7,E187='Euro Age Table'!C$8,'Euro Age Table'!G$8,E187='Euro Age Table'!C$9,'Euro Age Table'!G$9,E187='Euro Age Table'!C$10,'Euro Age Table'!G$10,E187='Euro Age Table'!C$11,'Euro Age Table'!G$11)</f>
        <v>18</v>
      </c>
      <c r="Y187" s="46">
        <f>X187*'Eilat Car Data'!F$6</f>
        <v>498600</v>
      </c>
      <c r="Z187" s="46">
        <f>'T3 N2O HDV'!C26</f>
        <v>18</v>
      </c>
      <c r="AA187" s="124">
        <f t="shared" si="10"/>
        <v>10417.930203579768</v>
      </c>
    </row>
    <row r="188" spans="1:27" ht="12.5">
      <c r="A188" s="58" t="s">
        <v>78</v>
      </c>
      <c r="B188" s="49" t="s">
        <v>22</v>
      </c>
      <c r="C188" s="49" t="s">
        <v>79</v>
      </c>
      <c r="D188" s="56" t="s">
        <v>83</v>
      </c>
      <c r="E188" s="50" t="s">
        <v>57</v>
      </c>
      <c r="F188" s="97">
        <v>1.5679025589820187E-4</v>
      </c>
      <c r="G188" s="99">
        <f t="shared" si="12"/>
        <v>9.924823198356178E-2</v>
      </c>
      <c r="H188" s="46"/>
      <c r="I188" s="46">
        <f>G188*'Eilat Car Data'!F$6</f>
        <v>2749.1760259446614</v>
      </c>
      <c r="J188" s="46">
        <f>I188*'Tier 1 Coefficients'!I$10</f>
        <v>659802.24622671877</v>
      </c>
      <c r="K188" s="46">
        <f t="shared" si="8"/>
        <v>659.80224622671881</v>
      </c>
      <c r="L188" s="46">
        <f>K188*'Tier 1 Coefficients'!D$4</f>
        <v>2090.913318292472</v>
      </c>
      <c r="M188" s="46">
        <f>K188*'Tier 1 Coefficients'!C$21</f>
        <v>1675.8977054158659</v>
      </c>
      <c r="N188" s="46">
        <f>K188*'Tier 1 Coefficients'!C$45</f>
        <v>33.64991455756266</v>
      </c>
      <c r="O188" s="46">
        <f>I188*'Tier 2 FC'!D$38</f>
        <v>690043.18251210998</v>
      </c>
      <c r="P188" s="46">
        <f t="shared" si="9"/>
        <v>690.04318251210998</v>
      </c>
      <c r="Q188" s="46">
        <f>P188*'Tier 1 Coefficients'!D$4</f>
        <v>2186.7468453808765</v>
      </c>
      <c r="R188" s="46">
        <f>$I188*'T2 HDV'!D22</f>
        <v>7.9726104752395175</v>
      </c>
      <c r="S188" s="121">
        <f>$I188*'T2 HDV'!E22</f>
        <v>1336.0995486091053</v>
      </c>
      <c r="T188" s="46">
        <f>44.011*(P188/(12.011+1.008*'Tier 3 CO2 Tables'!B$4+16*'Tier 3 CO2 Tables'!C$4))</f>
        <v>2187.0771247872281</v>
      </c>
      <c r="U188" s="46">
        <f>I188*'Tier 3 CO2 Tables'!H$15/10000</f>
        <v>0.42887146004736726</v>
      </c>
      <c r="V188" s="46">
        <f>44.011*(U188/(12.011+1.008*'Tier 3 CO2 Tables'!B$6+16*'Tier 3 CO2 Tables'!C$6))</f>
        <v>1.337931916900678</v>
      </c>
      <c r="W188" s="46">
        <f>I188*'T3 Methane'!D$30</f>
        <v>481105.80454031576</v>
      </c>
      <c r="X188" s="46" cm="1">
        <f t="array" ref="X188">_xlfn.IFS(E188='Euro Age Table'!C$5,'Euro Age Table'!G$5,E188='Euro Age Table'!C$6,'Euro Age Table'!G$6,E188='Euro Age Table'!C$7,'Euro Age Table'!G$7,E188='Euro Age Table'!C$8,'Euro Age Table'!G$8,E188='Euro Age Table'!C$9,'Euro Age Table'!G$9,E188='Euro Age Table'!C$10,'Euro Age Table'!G$10,E188='Euro Age Table'!C$11,'Euro Age Table'!G$11)</f>
        <v>16</v>
      </c>
      <c r="Y188" s="46">
        <f>X188*'Eilat Car Data'!F$6</f>
        <v>443200</v>
      </c>
      <c r="Z188" s="46">
        <f>'T3 N2O HDV'!C27</f>
        <v>9</v>
      </c>
      <c r="AA188" s="124">
        <f t="shared" si="10"/>
        <v>24742.584233501952</v>
      </c>
    </row>
    <row r="189" spans="1:27" ht="12.5">
      <c r="A189" s="58" t="s">
        <v>78</v>
      </c>
      <c r="B189" s="49" t="s">
        <v>22</v>
      </c>
      <c r="C189" s="49" t="s">
        <v>79</v>
      </c>
      <c r="D189" s="56" t="s">
        <v>83</v>
      </c>
      <c r="E189" s="50" t="s">
        <v>58</v>
      </c>
      <c r="F189" s="97">
        <v>1.4853813716671755E-4</v>
      </c>
      <c r="G189" s="99">
        <f t="shared" si="12"/>
        <v>9.402464082653221E-2</v>
      </c>
      <c r="H189" s="46"/>
      <c r="I189" s="46">
        <f>G189*'Eilat Car Data'!F$6</f>
        <v>2604.4825508949421</v>
      </c>
      <c r="J189" s="46">
        <f>I189*'Tier 1 Coefficients'!I$10</f>
        <v>625075.81221478607</v>
      </c>
      <c r="K189" s="46">
        <f t="shared" si="8"/>
        <v>625.07581221478608</v>
      </c>
      <c r="L189" s="46">
        <f>K189*'Tier 1 Coefficients'!D$4</f>
        <v>1980.8652489086571</v>
      </c>
      <c r="M189" s="46">
        <f>K189*'Tier 1 Coefficients'!C$21</f>
        <v>1587.6925630255566</v>
      </c>
      <c r="N189" s="46">
        <f>K189*'Tier 1 Coefficients'!C$45</f>
        <v>31.87886642295409</v>
      </c>
      <c r="O189" s="46">
        <f>I189*'Tier 2 FC'!D$38</f>
        <v>653725.12027463049</v>
      </c>
      <c r="P189" s="46">
        <f t="shared" si="9"/>
        <v>653.72512027463051</v>
      </c>
      <c r="Q189" s="46">
        <f>P189*'Tier 1 Coefficients'!D$4</f>
        <v>2071.6549061503042</v>
      </c>
      <c r="R189" s="46">
        <f>$I189*'T2 HDV'!D23</f>
        <v>7.5529993975953316</v>
      </c>
      <c r="S189" s="121">
        <f>$I189*'T2 HDV'!E23</f>
        <v>1265.7785197349417</v>
      </c>
      <c r="T189" s="46">
        <f>44.011*(P189/(12.011+1.008*'Tier 3 CO2 Tables'!B$4+16*'Tier 3 CO2 Tables'!C$4))</f>
        <v>2071.9678024300056</v>
      </c>
      <c r="U189" s="46">
        <f>I189*'Tier 3 CO2 Tables'!H$15/10000</f>
        <v>0.40629927793961096</v>
      </c>
      <c r="V189" s="46">
        <f>44.011*(U189/(12.011+1.008*'Tier 3 CO2 Tables'!B$6+16*'Tier 3 CO2 Tables'!C$6))</f>
        <v>1.2675144475901157</v>
      </c>
      <c r="W189" s="46">
        <f>I189*'T3 Methane'!D$30</f>
        <v>455784.44640661485</v>
      </c>
      <c r="X189" s="46" cm="1">
        <f t="array" ref="X189">_xlfn.IFS(E189='Euro Age Table'!C$5,'Euro Age Table'!G$5,E189='Euro Age Table'!C$6,'Euro Age Table'!G$6,E189='Euro Age Table'!C$7,'Euro Age Table'!G$7,E189='Euro Age Table'!C$8,'Euro Age Table'!G$8,E189='Euro Age Table'!C$9,'Euro Age Table'!G$9,E189='Euro Age Table'!C$10,'Euro Age Table'!G$10,E189='Euro Age Table'!C$11,'Euro Age Table'!G$11)</f>
        <v>13</v>
      </c>
      <c r="Y189" s="46">
        <f>X189*'Eilat Car Data'!F$6</f>
        <v>360100</v>
      </c>
      <c r="Z189" s="46">
        <f>'T3 N2O HDV'!C28</f>
        <v>19</v>
      </c>
      <c r="AA189" s="124">
        <f t="shared" si="10"/>
        <v>49485.168467003896</v>
      </c>
    </row>
    <row r="190" spans="1:27" ht="12.5">
      <c r="A190" s="58" t="s">
        <v>78</v>
      </c>
      <c r="B190" s="49" t="s">
        <v>22</v>
      </c>
      <c r="C190" s="49" t="s">
        <v>79</v>
      </c>
      <c r="D190" s="56" t="s">
        <v>83</v>
      </c>
      <c r="E190" s="50" t="s">
        <v>59</v>
      </c>
      <c r="F190" s="97">
        <v>3.7959746164827822E-4</v>
      </c>
      <c r="G190" s="99">
        <f t="shared" si="12"/>
        <v>0.24028519322336012</v>
      </c>
      <c r="H190" s="46"/>
      <c r="I190" s="46">
        <f>G190*'Eilat Car Data'!F$6</f>
        <v>6655.8998522870752</v>
      </c>
      <c r="J190" s="46">
        <f>I190*'Tier 1 Coefficients'!I$10</f>
        <v>1597415.9645488979</v>
      </c>
      <c r="K190" s="46">
        <f t="shared" si="8"/>
        <v>1597.4159645488978</v>
      </c>
      <c r="L190" s="46">
        <f>K190*'Tier 1 Coefficients'!D$4</f>
        <v>5062.2111916554577</v>
      </c>
      <c r="M190" s="46">
        <f>K190*'Tier 1 Coefficients'!C$21</f>
        <v>4057.4365499542005</v>
      </c>
      <c r="N190" s="46">
        <f>K190*'Tier 1 Coefficients'!C$45</f>
        <v>81.468214191993781</v>
      </c>
      <c r="O190" s="46">
        <f>I190*'Tier 2 FC'!D$38</f>
        <v>1670630.8629240559</v>
      </c>
      <c r="P190" s="46">
        <f t="shared" si="9"/>
        <v>1670.6308629240559</v>
      </c>
      <c r="Q190" s="46">
        <f>P190*'Tier 1 Coefficients'!D$4</f>
        <v>5294.229204606333</v>
      </c>
      <c r="R190" s="46">
        <f>$I190*'T2 HDV'!D24</f>
        <v>73.21489837515783</v>
      </c>
      <c r="S190" s="121">
        <f>$I190*'T2 HDV'!E24</f>
        <v>3234.7673282115184</v>
      </c>
      <c r="T190" s="46">
        <f>44.011*(P190/(12.011+1.008*'Tier 3 CO2 Tables'!B$4+16*'Tier 3 CO2 Tables'!C$4))</f>
        <v>5295.0288284322369</v>
      </c>
      <c r="U190" s="46">
        <f>I190*'Tier 3 CO2 Tables'!H$15/10000</f>
        <v>1.0383203769567837</v>
      </c>
      <c r="V190" s="46">
        <f>44.011*(U190/(12.011+1.008*'Tier 3 CO2 Tables'!B$6+16*'Tier 3 CO2 Tables'!C$6))</f>
        <v>3.2392035882858514</v>
      </c>
      <c r="W190" s="46">
        <f>I190*'T3 Methane'!D$30</f>
        <v>1164782.4741502381</v>
      </c>
      <c r="X190" s="46" cm="1">
        <f t="array" ref="X190">_xlfn.IFS(E190='Euro Age Table'!C$5,'Euro Age Table'!G$5,E190='Euro Age Table'!C$6,'Euro Age Table'!G$6,E190='Euro Age Table'!C$7,'Euro Age Table'!G$7,E190='Euro Age Table'!C$8,'Euro Age Table'!G$8,E190='Euro Age Table'!C$9,'Euro Age Table'!G$9,E190='Euro Age Table'!C$10,'Euro Age Table'!G$10,E190='Euro Age Table'!C$11,'Euro Age Table'!G$11)</f>
        <v>9</v>
      </c>
      <c r="Y190" s="46">
        <f>X190*'Eilat Car Data'!F$6</f>
        <v>249300</v>
      </c>
      <c r="Z190" s="46">
        <f>'T3 N2O HDV'!C29</f>
        <v>49</v>
      </c>
      <c r="AA190" s="124">
        <f t="shared" si="10"/>
        <v>326139.09276206669</v>
      </c>
    </row>
    <row r="191" spans="1:27" ht="12.5">
      <c r="A191" s="58" t="s">
        <v>78</v>
      </c>
      <c r="B191" s="49" t="s">
        <v>22</v>
      </c>
      <c r="C191" s="49" t="s">
        <v>79</v>
      </c>
      <c r="D191" s="57" t="s">
        <v>83</v>
      </c>
      <c r="E191" s="50" t="s">
        <v>60</v>
      </c>
      <c r="F191" s="97">
        <v>1.5266419653245972E-3</v>
      </c>
      <c r="G191" s="99">
        <f t="shared" si="12"/>
        <v>0.96636436405046999</v>
      </c>
      <c r="H191" s="46"/>
      <c r="I191" s="46">
        <f>G191*'Eilat Car Data'!F$6</f>
        <v>26768.292884198017</v>
      </c>
      <c r="J191" s="46">
        <f>I191*'Tier 1 Coefficients'!I$10</f>
        <v>6424390.2922075242</v>
      </c>
      <c r="K191" s="46">
        <f t="shared" si="8"/>
        <v>6424.390292207524</v>
      </c>
      <c r="L191" s="46">
        <f>K191*'Tier 1 Coefficients'!D$4</f>
        <v>20358.892836005645</v>
      </c>
      <c r="M191" s="46">
        <f>K191*'Tier 1 Coefficients'!C$21</f>
        <v>16317.95134220711</v>
      </c>
      <c r="N191" s="46">
        <f>K191*'Tier 1 Coefficients'!C$45</f>
        <v>327.6439049025837</v>
      </c>
      <c r="O191" s="46">
        <f>I191*'Tier 2 FC'!D$38</f>
        <v>6718841.5139337024</v>
      </c>
      <c r="P191" s="46">
        <f t="shared" si="9"/>
        <v>6718.8415139337021</v>
      </c>
      <c r="Q191" s="46">
        <f>P191*'Tier 1 Coefficients'!D$4</f>
        <v>21292.008757655902</v>
      </c>
      <c r="R191" s="46">
        <f>$I191*'T2 HDV'!D25</f>
        <v>240.91463595778214</v>
      </c>
      <c r="S191" s="121">
        <f>$I191*'T2 HDV'!E25</f>
        <v>13009.390341720236</v>
      </c>
      <c r="T191" s="46">
        <f>44.011*(P191/(12.011+1.008*'Tier 3 CO2 Tables'!B$4+16*'Tier 3 CO2 Tables'!C$4))</f>
        <v>21295.224636086165</v>
      </c>
      <c r="U191" s="46">
        <f>I191*'Tier 3 CO2 Tables'!H$15/10000</f>
        <v>4.1758536899348906</v>
      </c>
      <c r="V191" s="46">
        <f>44.011*(U191/(12.011+1.008*'Tier 3 CO2 Tables'!B$6+16*'Tier 3 CO2 Tables'!C$6))</f>
        <v>13.027231822453967</v>
      </c>
      <c r="W191" s="46">
        <f>I191*'T3 Methane'!D$30</f>
        <v>4684451.254734653</v>
      </c>
      <c r="X191" s="46" cm="1">
        <f t="array" ref="X191">_xlfn.IFS(E191='Euro Age Table'!C$5,'Euro Age Table'!G$5,E191='Euro Age Table'!C$6,'Euro Age Table'!G$6,E191='Euro Age Table'!C$7,'Euro Age Table'!G$7,E191='Euro Age Table'!C$8,'Euro Age Table'!G$8,E191='Euro Age Table'!C$9,'Euro Age Table'!G$9,E191='Euro Age Table'!C$10,'Euro Age Table'!G$10,E191='Euro Age Table'!C$11,'Euro Age Table'!G$11)</f>
        <v>3</v>
      </c>
      <c r="Y191" s="46">
        <f>X191*'Eilat Car Data'!F$6</f>
        <v>83100</v>
      </c>
      <c r="Z191" s="46">
        <f>'T3 N2O HDV'!C30</f>
        <v>61</v>
      </c>
      <c r="AA191" s="124">
        <f t="shared" si="10"/>
        <v>1632865.8659360791</v>
      </c>
    </row>
    <row r="192" spans="1:27" ht="12.5">
      <c r="A192" s="58" t="s">
        <v>78</v>
      </c>
      <c r="B192" s="49" t="s">
        <v>22</v>
      </c>
      <c r="C192" s="49" t="s">
        <v>79</v>
      </c>
      <c r="D192" s="56" t="s">
        <v>84</v>
      </c>
      <c r="E192" s="50" t="s">
        <v>54</v>
      </c>
      <c r="F192" s="97">
        <v>1.6504237462968617E-4</v>
      </c>
      <c r="G192" s="99">
        <f t="shared" si="12"/>
        <v>0.10447182314059135</v>
      </c>
      <c r="H192" s="46"/>
      <c r="I192" s="46">
        <f>G192*'Eilat Car Data'!F$6</f>
        <v>2893.8695009943804</v>
      </c>
      <c r="J192" s="46">
        <f>I192*'Tier 1 Coefficients'!I$10</f>
        <v>694528.68023865134</v>
      </c>
      <c r="K192" s="46">
        <f t="shared" si="8"/>
        <v>694.5286802386513</v>
      </c>
      <c r="L192" s="46">
        <f>K192*'Tier 1 Coefficients'!D$4</f>
        <v>2200.961387676286</v>
      </c>
      <c r="M192" s="46">
        <f>K192*'Tier 1 Coefficients'!C$21</f>
        <v>1764.1028478061744</v>
      </c>
      <c r="N192" s="46">
        <f>K192*'Tier 1 Coefficients'!C$45</f>
        <v>35.420962692171216</v>
      </c>
      <c r="O192" s="46">
        <f>I192*'Tier 2 FC'!D$37</f>
        <v>859479.24179533101</v>
      </c>
      <c r="P192" s="46">
        <f t="shared" si="9"/>
        <v>859.47924179533106</v>
      </c>
      <c r="Q192" s="46">
        <f>P192*'Tier 1 Coefficients'!D$4</f>
        <v>2723.6897172494041</v>
      </c>
      <c r="R192" s="46">
        <f>$I192*'T2 HDV'!D19</f>
        <v>8.3922215528837025</v>
      </c>
      <c r="S192" s="121">
        <f>$I192*'T2 HDV'!E19</f>
        <v>1406.4205774832687</v>
      </c>
      <c r="T192" s="46">
        <f>44.011*(P192/(12.011+1.008*'Tier 3 CO2 Tables'!B$4+16*'Tier 3 CO2 Tables'!C$4))</f>
        <v>2724.1010948282942</v>
      </c>
      <c r="U192" s="46">
        <f>I192*'Tier 3 CO2 Tables'!H$15/10000</f>
        <v>0.45144364215512334</v>
      </c>
      <c r="V192" s="46">
        <f>44.011*(U192/(12.011+1.008*'Tier 3 CO2 Tables'!B$6+16*'Tier 3 CO2 Tables'!C$6))</f>
        <v>1.4083493862112397</v>
      </c>
      <c r="W192" s="46">
        <f>I192*'T3 Methane'!D$30</f>
        <v>506427.16267401655</v>
      </c>
      <c r="X192" s="46" cm="1">
        <f t="array" ref="X192">_xlfn.IFS(E192='Euro Age Table'!C$5,'Euro Age Table'!G$5,E192='Euro Age Table'!C$6,'Euro Age Table'!G$6,E192='Euro Age Table'!C$7,'Euro Age Table'!G$7,E192='Euro Age Table'!C$8,'Euro Age Table'!G$8,E192='Euro Age Table'!C$9,'Euro Age Table'!G$9,E192='Euro Age Table'!C$10,'Euro Age Table'!G$10,E192='Euro Age Table'!C$11,'Euro Age Table'!G$11)</f>
        <v>27</v>
      </c>
      <c r="Y192" s="46">
        <f>X192*'Eilat Car Data'!F$6</f>
        <v>747900</v>
      </c>
      <c r="Z192" s="46">
        <f>'T3 N2O HDV'!C24</f>
        <v>30</v>
      </c>
      <c r="AA192" s="124">
        <f t="shared" si="10"/>
        <v>86816.085029831418</v>
      </c>
    </row>
    <row r="193" spans="1:27" ht="12.5">
      <c r="A193" s="58" t="s">
        <v>78</v>
      </c>
      <c r="B193" s="49" t="s">
        <v>22</v>
      </c>
      <c r="C193" s="49" t="s">
        <v>79</v>
      </c>
      <c r="D193" s="56" t="s">
        <v>84</v>
      </c>
      <c r="E193" s="50" t="s">
        <v>55</v>
      </c>
      <c r="F193" s="97">
        <v>4.9512712388905851E-5</v>
      </c>
      <c r="G193" s="99">
        <f t="shared" si="12"/>
        <v>3.1341546942177403E-2</v>
      </c>
      <c r="H193" s="46"/>
      <c r="I193" s="46">
        <f>G193*'Eilat Car Data'!F$6</f>
        <v>868.16085029831413</v>
      </c>
      <c r="J193" s="46">
        <f>I193*'Tier 1 Coefficients'!I$10</f>
        <v>208358.60407159539</v>
      </c>
      <c r="K193" s="46">
        <f t="shared" si="8"/>
        <v>208.35860407159538</v>
      </c>
      <c r="L193" s="46">
        <f>K193*'Tier 1 Coefficients'!D$4</f>
        <v>660.28841630288582</v>
      </c>
      <c r="M193" s="46">
        <f>K193*'Tier 1 Coefficients'!C$21</f>
        <v>529.23085434185225</v>
      </c>
      <c r="N193" s="46">
        <f>K193*'Tier 1 Coefficients'!C$45</f>
        <v>10.626288807651363</v>
      </c>
      <c r="O193" s="46">
        <f>I193*'Tier 2 FC'!D$38</f>
        <v>217908.37342487686</v>
      </c>
      <c r="P193" s="46">
        <f t="shared" si="9"/>
        <v>217.90837342487686</v>
      </c>
      <c r="Q193" s="46">
        <f>P193*'Tier 1 Coefficients'!D$4</f>
        <v>690.55163538343481</v>
      </c>
      <c r="R193" s="46">
        <f>$I193*'T2 HDV'!D20</f>
        <v>2.5176664658651107</v>
      </c>
      <c r="S193" s="121">
        <f>$I193*'T2 HDV'!E20</f>
        <v>421.92617324498065</v>
      </c>
      <c r="T193" s="46">
        <f>44.011*(P193/(12.011+1.008*'Tier 3 CO2 Tables'!B$4+16*'Tier 3 CO2 Tables'!C$4))</f>
        <v>690.65593414333523</v>
      </c>
      <c r="U193" s="46">
        <f>I193*'Tier 3 CO2 Tables'!H$15/10000</f>
        <v>0.13543309264653702</v>
      </c>
      <c r="V193" s="46">
        <f>44.011*(U193/(12.011+1.008*'Tier 3 CO2 Tables'!B$6+16*'Tier 3 CO2 Tables'!C$6))</f>
        <v>0.42250481586337196</v>
      </c>
      <c r="W193" s="46">
        <f>I193*'T3 Methane'!D$30</f>
        <v>151928.14880220496</v>
      </c>
      <c r="X193" s="46" cm="1">
        <f t="array" ref="X193">_xlfn.IFS(E193='Euro Age Table'!C$5,'Euro Age Table'!G$5,E193='Euro Age Table'!C$6,'Euro Age Table'!G$6,E193='Euro Age Table'!C$7,'Euro Age Table'!G$7,E193='Euro Age Table'!C$8,'Euro Age Table'!G$8,E193='Euro Age Table'!C$9,'Euro Age Table'!G$9,E193='Euro Age Table'!C$10,'Euro Age Table'!G$10,E193='Euro Age Table'!C$11,'Euro Age Table'!G$11)</f>
        <v>23</v>
      </c>
      <c r="Y193" s="46">
        <f>X193*'Eilat Car Data'!F$6</f>
        <v>637100</v>
      </c>
      <c r="Z193" s="46">
        <f>'T3 N2O HDV'!C25</f>
        <v>18</v>
      </c>
      <c r="AA193" s="124">
        <f t="shared" si="10"/>
        <v>15626.895305369655</v>
      </c>
    </row>
    <row r="194" spans="1:27" ht="12.5">
      <c r="A194" s="58" t="s">
        <v>78</v>
      </c>
      <c r="B194" s="49" t="s">
        <v>22</v>
      </c>
      <c r="C194" s="49" t="s">
        <v>79</v>
      </c>
      <c r="D194" s="56" t="s">
        <v>84</v>
      </c>
      <c r="E194" s="50" t="s">
        <v>56</v>
      </c>
      <c r="F194" s="97">
        <v>9.0773306046327393E-5</v>
      </c>
      <c r="G194" s="99">
        <f t="shared" si="12"/>
        <v>5.7459502727325237E-2</v>
      </c>
      <c r="H194" s="46"/>
      <c r="I194" s="46">
        <f>G194*'Eilat Car Data'!F$6</f>
        <v>1591.6282255469091</v>
      </c>
      <c r="J194" s="46">
        <f>I194*'Tier 1 Coefficients'!I$10</f>
        <v>381990.77413125819</v>
      </c>
      <c r="K194" s="46">
        <f t="shared" si="8"/>
        <v>381.99077413125821</v>
      </c>
      <c r="L194" s="46">
        <f>K194*'Tier 1 Coefficients'!D$4</f>
        <v>1210.5287632219572</v>
      </c>
      <c r="M194" s="46">
        <f>K194*'Tier 1 Coefficients'!C$21</f>
        <v>970.25656629339585</v>
      </c>
      <c r="N194" s="46">
        <f>K194*'Tier 1 Coefficients'!C$45</f>
        <v>19.481529480694167</v>
      </c>
      <c r="O194" s="46">
        <f>I194*'Tier 2 FC'!D$38</f>
        <v>399498.68461227417</v>
      </c>
      <c r="P194" s="46">
        <f t="shared" si="9"/>
        <v>399.49868461227419</v>
      </c>
      <c r="Q194" s="46">
        <f>P194*'Tier 1 Coefficients'!D$4</f>
        <v>1266.0113315362969</v>
      </c>
      <c r="R194" s="46">
        <f>$I194*'T2 HDV'!D21</f>
        <v>4.6157218540860363</v>
      </c>
      <c r="S194" s="121">
        <f>$I194*'T2 HDV'!E21</f>
        <v>773.53131761579778</v>
      </c>
      <c r="T194" s="46">
        <f>44.011*(P194/(12.011+1.008*'Tier 3 CO2 Tables'!B$4+16*'Tier 3 CO2 Tables'!C$4))</f>
        <v>1266.2025459294478</v>
      </c>
      <c r="U194" s="46">
        <f>I194*'Tier 3 CO2 Tables'!H$15/10000</f>
        <v>0.24829400318531783</v>
      </c>
      <c r="V194" s="46">
        <f>44.011*(U194/(12.011+1.008*'Tier 3 CO2 Tables'!B$6+16*'Tier 3 CO2 Tables'!C$6))</f>
        <v>0.77459216241618178</v>
      </c>
      <c r="W194" s="46">
        <f>I194*'T3 Methane'!D$30</f>
        <v>278534.93947070907</v>
      </c>
      <c r="X194" s="46" cm="1">
        <f t="array" ref="X194">_xlfn.IFS(E194='Euro Age Table'!C$5,'Euro Age Table'!G$5,E194='Euro Age Table'!C$6,'Euro Age Table'!G$6,E194='Euro Age Table'!C$7,'Euro Age Table'!G$7,E194='Euro Age Table'!C$8,'Euro Age Table'!G$8,E194='Euro Age Table'!C$9,'Euro Age Table'!G$9,E194='Euro Age Table'!C$10,'Euro Age Table'!G$10,E194='Euro Age Table'!C$11,'Euro Age Table'!G$11)</f>
        <v>18</v>
      </c>
      <c r="Y194" s="46">
        <f>X194*'Eilat Car Data'!F$6</f>
        <v>498600</v>
      </c>
      <c r="Z194" s="46">
        <f>'T3 N2O HDV'!C26</f>
        <v>18</v>
      </c>
      <c r="AA194" s="124">
        <f t="shared" si="10"/>
        <v>28649.308059844363</v>
      </c>
    </row>
    <row r="195" spans="1:27" ht="12.5">
      <c r="A195" s="58" t="s">
        <v>78</v>
      </c>
      <c r="B195" s="49" t="s">
        <v>22</v>
      </c>
      <c r="C195" s="49" t="s">
        <v>79</v>
      </c>
      <c r="D195" s="56" t="s">
        <v>84</v>
      </c>
      <c r="E195" s="50" t="s">
        <v>57</v>
      </c>
      <c r="F195" s="97">
        <v>1.0727754350929601E-4</v>
      </c>
      <c r="G195" s="99">
        <f t="shared" si="12"/>
        <v>6.7906685041384376E-2</v>
      </c>
      <c r="H195" s="46"/>
      <c r="I195" s="46">
        <f>G195*'Eilat Car Data'!F$6</f>
        <v>1881.0151756463472</v>
      </c>
      <c r="J195" s="46">
        <f>I195*'Tier 1 Coefficients'!I$10</f>
        <v>451443.64215512335</v>
      </c>
      <c r="K195" s="46">
        <f t="shared" si="8"/>
        <v>451.44364215512337</v>
      </c>
      <c r="L195" s="46">
        <f>K195*'Tier 1 Coefficients'!D$4</f>
        <v>1430.6249019895861</v>
      </c>
      <c r="M195" s="46">
        <f>K195*'Tier 1 Coefficients'!C$21</f>
        <v>1146.6668510740133</v>
      </c>
      <c r="N195" s="46">
        <f>K195*'Tier 1 Coefficients'!C$45</f>
        <v>23.02362574991129</v>
      </c>
      <c r="O195" s="46">
        <f>I195*'Tier 2 FC'!D$38</f>
        <v>472134.80908723315</v>
      </c>
      <c r="P195" s="46">
        <f t="shared" si="9"/>
        <v>472.13480908723318</v>
      </c>
      <c r="Q195" s="46">
        <f>P195*'Tier 1 Coefficients'!D$4</f>
        <v>1496.1952099974419</v>
      </c>
      <c r="R195" s="46">
        <f>$I195*'T2 HDV'!D22</f>
        <v>5.4549440093744064</v>
      </c>
      <c r="S195" s="121">
        <f>$I195*'T2 HDV'!E22</f>
        <v>914.17337536412469</v>
      </c>
      <c r="T195" s="46">
        <f>44.011*(P195/(12.011+1.008*'Tier 3 CO2 Tables'!B$4+16*'Tier 3 CO2 Tables'!C$4))</f>
        <v>1496.4211906438929</v>
      </c>
      <c r="U195" s="46">
        <f>I195*'Tier 3 CO2 Tables'!H$15/10000</f>
        <v>0.29343836740083018</v>
      </c>
      <c r="V195" s="46">
        <f>44.011*(U195/(12.011+1.008*'Tier 3 CO2 Tables'!B$6+16*'Tier 3 CO2 Tables'!C$6))</f>
        <v>0.91542710103730596</v>
      </c>
      <c r="W195" s="46">
        <f>I195*'T3 Methane'!D$30</f>
        <v>329177.65573811077</v>
      </c>
      <c r="X195" s="46" cm="1">
        <f t="array" ref="X195">_xlfn.IFS(E195='Euro Age Table'!C$5,'Euro Age Table'!G$5,E195='Euro Age Table'!C$6,'Euro Age Table'!G$6,E195='Euro Age Table'!C$7,'Euro Age Table'!G$7,E195='Euro Age Table'!C$8,'Euro Age Table'!G$8,E195='Euro Age Table'!C$9,'Euro Age Table'!G$9,E195='Euro Age Table'!C$10,'Euro Age Table'!G$10,E195='Euro Age Table'!C$11,'Euro Age Table'!G$11)</f>
        <v>16</v>
      </c>
      <c r="Y195" s="46">
        <f>X195*'Eilat Car Data'!F$6</f>
        <v>443200</v>
      </c>
      <c r="Z195" s="46">
        <f>'T3 N2O HDV'!C27</f>
        <v>9</v>
      </c>
      <c r="AA195" s="124">
        <f t="shared" si="10"/>
        <v>16929.136580817125</v>
      </c>
    </row>
    <row r="196" spans="1:27" ht="12.5">
      <c r="A196" s="58" t="s">
        <v>78</v>
      </c>
      <c r="B196" s="49" t="s">
        <v>22</v>
      </c>
      <c r="C196" s="49" t="s">
        <v>79</v>
      </c>
      <c r="D196" s="56" t="s">
        <v>84</v>
      </c>
      <c r="E196" s="50" t="s">
        <v>58</v>
      </c>
      <c r="F196" s="97">
        <v>1.6504237462968617E-4</v>
      </c>
      <c r="G196" s="99">
        <f t="shared" si="12"/>
        <v>0.10447182314059135</v>
      </c>
      <c r="H196" s="46"/>
      <c r="I196" s="46">
        <f>G196*'Eilat Car Data'!F$6</f>
        <v>2893.8695009943804</v>
      </c>
      <c r="J196" s="46">
        <f>I196*'Tier 1 Coefficients'!I$10</f>
        <v>694528.68023865134</v>
      </c>
      <c r="K196" s="46">
        <f t="shared" ref="K196:K259" si="13">J196/1000</f>
        <v>694.5286802386513</v>
      </c>
      <c r="L196" s="46">
        <f>K196*'Tier 1 Coefficients'!D$4</f>
        <v>2200.961387676286</v>
      </c>
      <c r="M196" s="46">
        <f>K196*'Tier 1 Coefficients'!C$21</f>
        <v>1764.1028478061744</v>
      </c>
      <c r="N196" s="46">
        <f>K196*'Tier 1 Coefficients'!C$45</f>
        <v>35.420962692171216</v>
      </c>
      <c r="O196" s="46">
        <f>I196*'Tier 2 FC'!D$38</f>
        <v>726361.24474958947</v>
      </c>
      <c r="P196" s="46">
        <f t="shared" ref="P196:P259" si="14">O196/1000</f>
        <v>726.36124474958945</v>
      </c>
      <c r="Q196" s="46">
        <f>P196*'Tier 1 Coefficients'!D$4</f>
        <v>2301.8387846114488</v>
      </c>
      <c r="R196" s="46">
        <f>$I196*'T2 HDV'!D23</f>
        <v>8.3922215528837025</v>
      </c>
      <c r="S196" s="121">
        <f>$I196*'T2 HDV'!E23</f>
        <v>1406.4205774832687</v>
      </c>
      <c r="T196" s="46">
        <f>44.011*(P196/(12.011+1.008*'Tier 3 CO2 Tables'!B$4+16*'Tier 3 CO2 Tables'!C$4))</f>
        <v>2302.1864471444505</v>
      </c>
      <c r="U196" s="46">
        <f>I196*'Tier 3 CO2 Tables'!H$15/10000</f>
        <v>0.45144364215512334</v>
      </c>
      <c r="V196" s="46">
        <f>44.011*(U196/(12.011+1.008*'Tier 3 CO2 Tables'!B$6+16*'Tier 3 CO2 Tables'!C$6))</f>
        <v>1.4083493862112397</v>
      </c>
      <c r="W196" s="46">
        <f>I196*'T3 Methane'!D$30</f>
        <v>506427.16267401655</v>
      </c>
      <c r="X196" s="46" cm="1">
        <f t="array" ref="X196">_xlfn.IFS(E196='Euro Age Table'!C$5,'Euro Age Table'!G$5,E196='Euro Age Table'!C$6,'Euro Age Table'!G$6,E196='Euro Age Table'!C$7,'Euro Age Table'!G$7,E196='Euro Age Table'!C$8,'Euro Age Table'!G$8,E196='Euro Age Table'!C$9,'Euro Age Table'!G$9,E196='Euro Age Table'!C$10,'Euro Age Table'!G$10,E196='Euro Age Table'!C$11,'Euro Age Table'!G$11)</f>
        <v>13</v>
      </c>
      <c r="Y196" s="46">
        <f>X196*'Eilat Car Data'!F$6</f>
        <v>360100</v>
      </c>
      <c r="Z196" s="46">
        <f>'T3 N2O HDV'!C28</f>
        <v>19</v>
      </c>
      <c r="AA196" s="124">
        <f t="shared" ref="AA196:AA259" si="15">Z196*I196</f>
        <v>54983.52051889323</v>
      </c>
    </row>
    <row r="197" spans="1:27" ht="12.5">
      <c r="A197" s="58" t="s">
        <v>78</v>
      </c>
      <c r="B197" s="49" t="s">
        <v>22</v>
      </c>
      <c r="C197" s="49" t="s">
        <v>79</v>
      </c>
      <c r="D197" s="56" t="s">
        <v>84</v>
      </c>
      <c r="E197" s="50" t="s">
        <v>59</v>
      </c>
      <c r="F197" s="97">
        <v>5.4463983627796439E-4</v>
      </c>
      <c r="G197" s="99">
        <f t="shared" si="12"/>
        <v>0.34475701636395145</v>
      </c>
      <c r="H197" s="46"/>
      <c r="I197" s="46">
        <f>G197*'Eilat Car Data'!F$6</f>
        <v>9549.7693532814556</v>
      </c>
      <c r="J197" s="46">
        <f>I197*'Tier 1 Coefficients'!I$10</f>
        <v>2291944.6447875495</v>
      </c>
      <c r="K197" s="46">
        <f t="shared" si="13"/>
        <v>2291.9446447875494</v>
      </c>
      <c r="L197" s="46">
        <f>K197*'Tier 1 Coefficients'!D$4</f>
        <v>7263.1725793317437</v>
      </c>
      <c r="M197" s="46">
        <f>K197*'Tier 1 Coefficients'!C$21</f>
        <v>5821.5393977603753</v>
      </c>
      <c r="N197" s="46">
        <f>K197*'Tier 1 Coefficients'!C$45</f>
        <v>116.88917688416501</v>
      </c>
      <c r="O197" s="46">
        <f>I197*'Tier 2 FC'!D$38</f>
        <v>2396992.1076736455</v>
      </c>
      <c r="P197" s="46">
        <f t="shared" si="14"/>
        <v>2396.9921076736455</v>
      </c>
      <c r="Q197" s="46">
        <f>P197*'Tier 1 Coefficients'!D$4</f>
        <v>7596.0679892177823</v>
      </c>
      <c r="R197" s="46">
        <f>$I197*'T2 HDV'!D24</f>
        <v>105.047462886096</v>
      </c>
      <c r="S197" s="121">
        <f>$I197*'T2 HDV'!E24</f>
        <v>4641.1879056947873</v>
      </c>
      <c r="T197" s="46">
        <f>44.011*(P197/(12.011+1.008*'Tier 3 CO2 Tables'!B$4+16*'Tier 3 CO2 Tables'!C$4))</f>
        <v>7597.2152755766874</v>
      </c>
      <c r="U197" s="46">
        <f>I197*'Tier 3 CO2 Tables'!H$15/10000</f>
        <v>1.4897640191119073</v>
      </c>
      <c r="V197" s="46">
        <f>44.011*(U197/(12.011+1.008*'Tier 3 CO2 Tables'!B$6+16*'Tier 3 CO2 Tables'!C$6))</f>
        <v>4.647552974497092</v>
      </c>
      <c r="W197" s="46">
        <f>I197*'T3 Methane'!D$30</f>
        <v>1671209.6368242546</v>
      </c>
      <c r="X197" s="46" cm="1">
        <f t="array" ref="X197">_xlfn.IFS(E197='Euro Age Table'!C$5,'Euro Age Table'!G$5,E197='Euro Age Table'!C$6,'Euro Age Table'!G$6,E197='Euro Age Table'!C$7,'Euro Age Table'!G$7,E197='Euro Age Table'!C$8,'Euro Age Table'!G$8,E197='Euro Age Table'!C$9,'Euro Age Table'!G$9,E197='Euro Age Table'!C$10,'Euro Age Table'!G$10,E197='Euro Age Table'!C$11,'Euro Age Table'!G$11)</f>
        <v>9</v>
      </c>
      <c r="Y197" s="46">
        <f>X197*'Eilat Car Data'!F$6</f>
        <v>249300</v>
      </c>
      <c r="Z197" s="46">
        <f>'T3 N2O HDV'!C29</f>
        <v>49</v>
      </c>
      <c r="AA197" s="124">
        <f t="shared" si="15"/>
        <v>467938.69831079134</v>
      </c>
    </row>
    <row r="198" spans="1:27" ht="12.5">
      <c r="A198" s="60" t="s">
        <v>78</v>
      </c>
      <c r="B198" s="49" t="s">
        <v>22</v>
      </c>
      <c r="C198" s="51" t="s">
        <v>79</v>
      </c>
      <c r="D198" s="57" t="s">
        <v>84</v>
      </c>
      <c r="E198" s="50" t="s">
        <v>60</v>
      </c>
      <c r="F198" s="97">
        <v>1.8732309520469381E-3</v>
      </c>
      <c r="G198" s="99">
        <f t="shared" si="12"/>
        <v>1.1857551926457117</v>
      </c>
      <c r="H198" s="46"/>
      <c r="I198" s="46">
        <f>G198*'Eilat Car Data'!F$6</f>
        <v>32845.418836286211</v>
      </c>
      <c r="J198" s="46">
        <f>I198*'Tier 1 Coefficients'!I$10</f>
        <v>7882900.5207086904</v>
      </c>
      <c r="K198" s="46">
        <f t="shared" si="13"/>
        <v>7882.9005207086902</v>
      </c>
      <c r="L198" s="46">
        <f>K198*'Tier 1 Coefficients'!D$4</f>
        <v>24980.911750125841</v>
      </c>
      <c r="M198" s="46">
        <f>K198*'Tier 1 Coefficients'!C$21</f>
        <v>20022.567322600073</v>
      </c>
      <c r="N198" s="46">
        <f>K198*'Tier 1 Coefficients'!C$45</f>
        <v>402.0279265561432</v>
      </c>
      <c r="O198" s="46">
        <f>I198*'Tier 2 FC'!D$38</f>
        <v>8244200.1279078387</v>
      </c>
      <c r="P198" s="46">
        <f t="shared" si="14"/>
        <v>8244.2001279078395</v>
      </c>
      <c r="Q198" s="46">
        <f>P198*'Tier 1 Coefficients'!D$4</f>
        <v>26125.870205339943</v>
      </c>
      <c r="R198" s="46">
        <f>$I198*'T2 HDV'!D25</f>
        <v>295.60876952657588</v>
      </c>
      <c r="S198" s="121">
        <f>$I198*'T2 HDV'!E25</f>
        <v>15962.873554435098</v>
      </c>
      <c r="T198" s="46">
        <f>44.011*(P198/(12.011+1.008*'Tier 3 CO2 Tables'!B$4+16*'Tier 3 CO2 Tables'!C$4))</f>
        <v>26129.816175089512</v>
      </c>
      <c r="U198" s="46">
        <f>I198*'Tier 3 CO2 Tables'!H$15/10000</f>
        <v>5.1238853384606493</v>
      </c>
      <c r="V198" s="46">
        <f>44.011*(U198/(12.011+1.008*'Tier 3 CO2 Tables'!B$6+16*'Tier 3 CO2 Tables'!C$6))</f>
        <v>15.984765533497569</v>
      </c>
      <c r="W198" s="46">
        <f>I198*'T3 Methane'!D$30</f>
        <v>5747948.296350087</v>
      </c>
      <c r="X198" s="46" cm="1">
        <f t="array" ref="X198">_xlfn.IFS(E198='Euro Age Table'!C$5,'Euro Age Table'!G$5,E198='Euro Age Table'!C$6,'Euro Age Table'!G$6,E198='Euro Age Table'!C$7,'Euro Age Table'!G$7,E198='Euro Age Table'!C$8,'Euro Age Table'!G$8,E198='Euro Age Table'!C$9,'Euro Age Table'!G$9,E198='Euro Age Table'!C$10,'Euro Age Table'!G$10,E198='Euro Age Table'!C$11,'Euro Age Table'!G$11)</f>
        <v>3</v>
      </c>
      <c r="Y198" s="46">
        <f>X198*'Eilat Car Data'!F$6</f>
        <v>83100</v>
      </c>
      <c r="Z198" s="46">
        <f>'T3 N2O HDV'!C30</f>
        <v>61</v>
      </c>
      <c r="AA198" s="124">
        <f t="shared" si="15"/>
        <v>2003570.5490134589</v>
      </c>
    </row>
    <row r="199" spans="1:27" ht="12.5">
      <c r="A199" s="58" t="s">
        <v>75</v>
      </c>
      <c r="B199" s="49" t="s">
        <v>22</v>
      </c>
      <c r="C199" s="49" t="s">
        <v>76</v>
      </c>
      <c r="D199" s="56" t="s">
        <v>77</v>
      </c>
      <c r="E199" s="50" t="s">
        <v>54</v>
      </c>
      <c r="F199" s="97">
        <v>5.6494004835741574E-2</v>
      </c>
      <c r="G199" s="99">
        <f t="shared" si="12"/>
        <v>35.760705061024417</v>
      </c>
      <c r="H199" s="46"/>
      <c r="I199" s="46">
        <f>G199*'Eilat Car Data'!F$6</f>
        <v>990571.53019037633</v>
      </c>
      <c r="J199" s="46">
        <f>I199*'Tier 1 Coefficients'!I$10</f>
        <v>237737167.24569032</v>
      </c>
      <c r="K199" s="46">
        <f t="shared" si="13"/>
        <v>237737.1672456903</v>
      </c>
      <c r="L199" s="46">
        <f>K199*'Tier 1 Coefficients'!D$4</f>
        <v>753389.08300159255</v>
      </c>
      <c r="M199" s="46">
        <f>K199*'Tier 1 Coefficients'!C$21</f>
        <v>603852.40480405337</v>
      </c>
      <c r="N199" s="46">
        <f>K199*'Tier 1 Coefficients'!C$45</f>
        <v>12124.595529530205</v>
      </c>
      <c r="O199" s="46">
        <f>I199*'Tier 2 FC'!D31</f>
        <v>123821441.27379704</v>
      </c>
      <c r="P199" s="46">
        <f t="shared" si="14"/>
        <v>123821.44127379704</v>
      </c>
      <c r="Q199" s="46">
        <f>P199*'Tier 1 Coefficients'!D$4</f>
        <v>392390.14739666285</v>
      </c>
      <c r="R199" s="46">
        <f>$I199*'T2 HDV'!D3</f>
        <v>28726.574375520915</v>
      </c>
      <c r="S199" s="121">
        <f>$I199*'T2 HDV'!E3</f>
        <v>481417.76367252291</v>
      </c>
      <c r="T199" s="46">
        <f>44.011*(P199/(12.011+1.008*'Tier 3 CO2 Tables'!B$4+16*'Tier 3 CO2 Tables'!C$4))</f>
        <v>392449.41277766199</v>
      </c>
      <c r="U199" s="46">
        <f>I199*'Tier 3 CO2 Tables'!H$15/10000</f>
        <v>154.52915870969872</v>
      </c>
      <c r="V199" s="46">
        <f>44.011*(U199/(12.011+1.008*'Tier 3 CO2 Tables'!B$6+16*'Tier 3 CO2 Tables'!C$6))</f>
        <v>482.0779949001074</v>
      </c>
      <c r="W199" s="46">
        <f>I199*'T3 Methane'!D$29</f>
        <v>84198580.066181988</v>
      </c>
      <c r="X199" s="46" cm="1">
        <f t="array" ref="X199">_xlfn.IFS(E199='Euro Age Table'!C$5,'Euro Age Table'!G$5,E199='Euro Age Table'!C$6,'Euro Age Table'!G$6,E199='Euro Age Table'!C$7,'Euro Age Table'!G$7,E199='Euro Age Table'!C$8,'Euro Age Table'!G$8,E199='Euro Age Table'!C$9,'Euro Age Table'!G$9,E199='Euro Age Table'!C$10,'Euro Age Table'!G$10,E199='Euro Age Table'!C$11,'Euro Age Table'!G$11)</f>
        <v>27</v>
      </c>
      <c r="Y199" s="46">
        <f>X199*'Eilat Car Data'!F$6</f>
        <v>747900</v>
      </c>
      <c r="Z199" s="46">
        <f>'T3 N2O HDV'!C3</f>
        <v>30</v>
      </c>
      <c r="AA199" s="124">
        <f t="shared" si="15"/>
        <v>29717145.905711289</v>
      </c>
    </row>
    <row r="200" spans="1:27" ht="12.5">
      <c r="A200" s="58" t="s">
        <v>75</v>
      </c>
      <c r="B200" s="49" t="s">
        <v>22</v>
      </c>
      <c r="C200" s="49" t="s">
        <v>76</v>
      </c>
      <c r="D200" s="56" t="s">
        <v>77</v>
      </c>
      <c r="E200" s="50" t="s">
        <v>55</v>
      </c>
      <c r="F200" s="97">
        <v>5.6593030260519386E-2</v>
      </c>
      <c r="G200" s="99">
        <f t="shared" si="12"/>
        <v>35.82338815490877</v>
      </c>
      <c r="H200" s="46"/>
      <c r="I200" s="46">
        <f>G200*'Eilat Car Data'!F$6</f>
        <v>992307.85189097293</v>
      </c>
      <c r="J200" s="46">
        <f>I200*'Tier 1 Coefficients'!I$10</f>
        <v>238153884.45383349</v>
      </c>
      <c r="K200" s="46">
        <f t="shared" si="13"/>
        <v>238153.88445383348</v>
      </c>
      <c r="L200" s="46">
        <f>K200*'Tier 1 Coefficients'!D$4</f>
        <v>754709.6598341983</v>
      </c>
      <c r="M200" s="46">
        <f>K200*'Tier 1 Coefficients'!C$21</f>
        <v>604910.866512737</v>
      </c>
      <c r="N200" s="46">
        <f>K200*'Tier 1 Coefficients'!C$45</f>
        <v>12145.848107145506</v>
      </c>
      <c r="O200" s="46">
        <f>I200*'Tier 2 FC'!D$32</f>
        <v>100223093.04098827</v>
      </c>
      <c r="P200" s="46">
        <f t="shared" si="14"/>
        <v>100223.09304098827</v>
      </c>
      <c r="Q200" s="46">
        <f>P200*'Tier 1 Coefficients'!D$4</f>
        <v>317606.98184689181</v>
      </c>
      <c r="R200" s="46">
        <f>$I200*'T2 HDV'!D4</f>
        <v>4961.5392594548648</v>
      </c>
      <c r="S200" s="121">
        <f>$I200*'T2 HDV'!E4</f>
        <v>482261.61601901281</v>
      </c>
      <c r="T200" s="46">
        <f>44.011*(P200/(12.011+1.008*'Tier 3 CO2 Tables'!B$4+16*'Tier 3 CO2 Tables'!C$4))</f>
        <v>317654.95221238659</v>
      </c>
      <c r="U200" s="46">
        <f>I200*'Tier 3 CO2 Tables'!H$15/10000</f>
        <v>154.80002489499176</v>
      </c>
      <c r="V200" s="46">
        <f>44.011*(U200/(12.011+1.008*'Tier 3 CO2 Tables'!B$6+16*'Tier 3 CO2 Tables'!C$6))</f>
        <v>482.92300453183401</v>
      </c>
      <c r="W200" s="46">
        <f>I200*'T3 Methane'!D$29</f>
        <v>84346167.410732701</v>
      </c>
      <c r="X200" s="46" cm="1">
        <f t="array" ref="X200">_xlfn.IFS(E200='Euro Age Table'!C$5,'Euro Age Table'!G$5,E200='Euro Age Table'!C$6,'Euro Age Table'!G$6,E200='Euro Age Table'!C$7,'Euro Age Table'!G$7,E200='Euro Age Table'!C$8,'Euro Age Table'!G$8,E200='Euro Age Table'!C$9,'Euro Age Table'!G$9,E200='Euro Age Table'!C$10,'Euro Age Table'!G$10,E200='Euro Age Table'!C$11,'Euro Age Table'!G$11)</f>
        <v>23</v>
      </c>
      <c r="Y200" s="46">
        <f>X200*'Eilat Car Data'!F$6</f>
        <v>637100</v>
      </c>
      <c r="Z200" s="46">
        <f>'T3 N2O HDV'!C4</f>
        <v>6</v>
      </c>
      <c r="AA200" s="124">
        <f t="shared" si="15"/>
        <v>5953847.1113458378</v>
      </c>
    </row>
    <row r="201" spans="1:27" ht="12.5">
      <c r="A201" s="58" t="s">
        <v>75</v>
      </c>
      <c r="B201" s="49" t="s">
        <v>22</v>
      </c>
      <c r="C201" s="49" t="s">
        <v>76</v>
      </c>
      <c r="D201" s="56" t="s">
        <v>77</v>
      </c>
      <c r="E201" s="50" t="s">
        <v>56</v>
      </c>
      <c r="F201" s="97">
        <v>2.470684348206402E-2</v>
      </c>
      <c r="G201" s="99">
        <f t="shared" si="12"/>
        <v>15.639431924146525</v>
      </c>
      <c r="H201" s="46"/>
      <c r="I201" s="46">
        <f>G201*'Eilat Car Data'!F$6</f>
        <v>433212.26429885876</v>
      </c>
      <c r="J201" s="46">
        <f>I201*'Tier 1 Coefficients'!I$10</f>
        <v>103970943.4317261</v>
      </c>
      <c r="K201" s="46">
        <f t="shared" si="13"/>
        <v>103970.9434317261</v>
      </c>
      <c r="L201" s="46">
        <f>K201*'Tier 1 Coefficients'!D$4</f>
        <v>329483.91973514005</v>
      </c>
      <c r="M201" s="46">
        <f>K201*'Tier 1 Coefficients'!C$21</f>
        <v>264086.1963165843</v>
      </c>
      <c r="N201" s="46">
        <f>K201*'Tier 1 Coefficients'!C$45</f>
        <v>5302.5181150180306</v>
      </c>
      <c r="O201" s="46">
        <f>I201*'Tier 2 FC'!D$32</f>
        <v>43754438.694184735</v>
      </c>
      <c r="P201" s="46">
        <f t="shared" si="14"/>
        <v>43754.438694184733</v>
      </c>
      <c r="Q201" s="46">
        <f>P201*'Tier 1 Coefficients'!D$4</f>
        <v>138657.81622187141</v>
      </c>
      <c r="R201" s="46">
        <f>$I201*'T2 HDV'!D5</f>
        <v>1732.8490571954351</v>
      </c>
      <c r="S201" s="121">
        <f>$I201*'T2 HDV'!E5</f>
        <v>210541.16044924536</v>
      </c>
      <c r="T201" s="46">
        <f>44.011*(P201/(12.011+1.008*'Tier 3 CO2 Tables'!B$4+16*'Tier 3 CO2 Tables'!C$4))</f>
        <v>138678.7586649002</v>
      </c>
      <c r="U201" s="46">
        <f>I201*'Tier 3 CO2 Tables'!H$15/10000</f>
        <v>67.581113230621966</v>
      </c>
      <c r="V201" s="46">
        <f>44.011*(U201/(12.011+1.008*'Tier 3 CO2 Tables'!B$6+16*'Tier 3 CO2 Tables'!C$6))</f>
        <v>210.82990311582259</v>
      </c>
      <c r="W201" s="46">
        <f>I201*'T3 Methane'!D$29</f>
        <v>36823042.465402998</v>
      </c>
      <c r="X201" s="46" cm="1">
        <f t="array" ref="X201">_xlfn.IFS(E201='Euro Age Table'!C$5,'Euro Age Table'!G$5,E201='Euro Age Table'!C$6,'Euro Age Table'!G$6,E201='Euro Age Table'!C$7,'Euro Age Table'!G$7,E201='Euro Age Table'!C$8,'Euro Age Table'!G$8,E201='Euro Age Table'!C$9,'Euro Age Table'!G$9,E201='Euro Age Table'!C$10,'Euro Age Table'!G$10,E201='Euro Age Table'!C$11,'Euro Age Table'!G$11)</f>
        <v>18</v>
      </c>
      <c r="Y201" s="46">
        <f>X201*'Eilat Car Data'!F$6</f>
        <v>498600</v>
      </c>
      <c r="Z201" s="46">
        <f>'T3 N2O HDV'!C5</f>
        <v>5</v>
      </c>
      <c r="AA201" s="124">
        <f t="shared" si="15"/>
        <v>2166061.3214942939</v>
      </c>
    </row>
    <row r="202" spans="1:27" ht="12.5">
      <c r="A202" s="58" t="s">
        <v>75</v>
      </c>
      <c r="B202" s="49" t="s">
        <v>22</v>
      </c>
      <c r="C202" s="49" t="s">
        <v>76</v>
      </c>
      <c r="D202" s="56" t="s">
        <v>77</v>
      </c>
      <c r="E202" s="50" t="s">
        <v>57</v>
      </c>
      <c r="F202" s="97">
        <v>7.8494153373878744E-2</v>
      </c>
      <c r="G202" s="99">
        <f t="shared" si="12"/>
        <v>49.686799085665243</v>
      </c>
      <c r="H202" s="46"/>
      <c r="I202" s="46">
        <f>G202*'Eilat Car Data'!F$6</f>
        <v>1376324.3346729272</v>
      </c>
      <c r="J202" s="46">
        <f>I202*'Tier 1 Coefficients'!I$10</f>
        <v>330317840.32150251</v>
      </c>
      <c r="K202" s="46">
        <f t="shared" si="13"/>
        <v>330317.84032150253</v>
      </c>
      <c r="L202" s="46">
        <f>K202*'Tier 1 Coefficients'!D$4</f>
        <v>1046777.2359788415</v>
      </c>
      <c r="M202" s="46">
        <f>K202*'Tier 1 Coefficients'!C$21</f>
        <v>839007.31441661646</v>
      </c>
      <c r="N202" s="46">
        <f>K202*'Tier 1 Coefficients'!C$45</f>
        <v>16846.209856396628</v>
      </c>
      <c r="O202" s="46">
        <f>I202*'Tier 2 FC'!D$32</f>
        <v>139008757.80196565</v>
      </c>
      <c r="P202" s="46">
        <f t="shared" si="14"/>
        <v>139008.75780196566</v>
      </c>
      <c r="Q202" s="46">
        <f>P202*'Tier 1 Coefficients'!D$4</f>
        <v>440518.75347442919</v>
      </c>
      <c r="R202" s="46">
        <f>$I202*'T2 HDV'!D6</f>
        <v>4128.9730040187815</v>
      </c>
      <c r="S202" s="121">
        <f>$I202*'T2 HDV'!E6</f>
        <v>668893.62665104261</v>
      </c>
      <c r="T202" s="46">
        <f>44.011*(P202/(12.011+1.008*'Tier 3 CO2 Tables'!B$4+16*'Tier 3 CO2 Tables'!C$4))</f>
        <v>440585.28804960952</v>
      </c>
      <c r="U202" s="46">
        <f>I202*'Tier 3 CO2 Tables'!H$15/10000</f>
        <v>214.70659620897663</v>
      </c>
      <c r="V202" s="46">
        <f>44.011*(U202/(12.011+1.008*'Tier 3 CO2 Tables'!B$6+16*'Tier 3 CO2 Tables'!C$6))</f>
        <v>669.81096808206553</v>
      </c>
      <c r="W202" s="46">
        <f>I202*'T3 Methane'!D$29</f>
        <v>116987568.44719881</v>
      </c>
      <c r="X202" s="46" cm="1">
        <f t="array" ref="X202">_xlfn.IFS(E202='Euro Age Table'!C$5,'Euro Age Table'!G$5,E202='Euro Age Table'!C$6,'Euro Age Table'!G$6,E202='Euro Age Table'!C$7,'Euro Age Table'!G$7,E202='Euro Age Table'!C$8,'Euro Age Table'!G$8,E202='Euro Age Table'!C$9,'Euro Age Table'!G$9,E202='Euro Age Table'!C$10,'Euro Age Table'!G$10,E202='Euro Age Table'!C$11,'Euro Age Table'!G$11)</f>
        <v>16</v>
      </c>
      <c r="Y202" s="46">
        <f>X202*'Eilat Car Data'!F$6</f>
        <v>443200</v>
      </c>
      <c r="Z202" s="46">
        <f>'T3 N2O HDV'!C6</f>
        <v>3</v>
      </c>
      <c r="AA202" s="124">
        <f t="shared" si="15"/>
        <v>4128973.0040187817</v>
      </c>
    </row>
    <row r="203" spans="1:27" ht="12.5">
      <c r="A203" s="58" t="s">
        <v>75</v>
      </c>
      <c r="B203" s="49" t="s">
        <v>22</v>
      </c>
      <c r="C203" s="49" t="s">
        <v>76</v>
      </c>
      <c r="D203" s="56" t="s">
        <v>77</v>
      </c>
      <c r="E203" s="50" t="s">
        <v>58</v>
      </c>
      <c r="F203" s="97">
        <v>0.11297975755275166</v>
      </c>
      <c r="G203" s="99">
        <f t="shared" si="12"/>
        <v>71.516186530891801</v>
      </c>
      <c r="H203" s="46"/>
      <c r="I203" s="46">
        <f>G203*'Eilat Car Data'!F$6</f>
        <v>1980998.366905703</v>
      </c>
      <c r="J203" s="46">
        <f>I203*'Tier 1 Coefficients'!I$10</f>
        <v>475439608.0573687</v>
      </c>
      <c r="K203" s="46">
        <f t="shared" si="13"/>
        <v>475439.60805736872</v>
      </c>
      <c r="L203" s="46">
        <f>K203*'Tier 1 Coefficients'!D$4</f>
        <v>1506668.1179338016</v>
      </c>
      <c r="M203" s="46">
        <f>K203*'Tier 1 Coefficients'!C$21</f>
        <v>1207616.6044657165</v>
      </c>
      <c r="N203" s="46">
        <f>K203*'Tier 1 Coefficients'!C$45</f>
        <v>24247.420010925802</v>
      </c>
      <c r="O203" s="46">
        <f>I203*'Tier 2 FC'!D$32</f>
        <v>200080835.05747601</v>
      </c>
      <c r="P203" s="46">
        <f t="shared" si="14"/>
        <v>200080.83505747601</v>
      </c>
      <c r="Q203" s="46">
        <f>P203*'Tier 1 Coefficients'!D$4</f>
        <v>634056.16629714146</v>
      </c>
      <c r="R203" s="46">
        <f>$I203*'T2 HDV'!D7</f>
        <v>11885.990201434219</v>
      </c>
      <c r="S203" s="121">
        <f>$I203*'T2 HDV'!E7</f>
        <v>962765.20631617168</v>
      </c>
      <c r="T203" s="46">
        <f>44.011*(P203/(12.011+1.008*'Tier 3 CO2 Tables'!B$4+16*'Tier 3 CO2 Tables'!C$4))</f>
        <v>634151.93215803232</v>
      </c>
      <c r="U203" s="46">
        <f>I203*'Tier 3 CO2 Tables'!H$15/10000</f>
        <v>309.03574523728969</v>
      </c>
      <c r="V203" s="46">
        <f>44.011*(U203/(12.011+1.008*'Tier 3 CO2 Tables'!B$6+16*'Tier 3 CO2 Tables'!C$6))</f>
        <v>964.08557233090426</v>
      </c>
      <c r="W203" s="46">
        <f>I203*'T3 Methane'!D$29</f>
        <v>168384861.18698475</v>
      </c>
      <c r="X203" s="46" cm="1">
        <f t="array" ref="X203">_xlfn.IFS(E203='Euro Age Table'!C$5,'Euro Age Table'!G$5,E203='Euro Age Table'!C$6,'Euro Age Table'!G$6,E203='Euro Age Table'!C$7,'Euro Age Table'!G$7,E203='Euro Age Table'!C$8,'Euro Age Table'!G$8,E203='Euro Age Table'!C$9,'Euro Age Table'!G$9,E203='Euro Age Table'!C$10,'Euro Age Table'!G$10,E203='Euro Age Table'!C$11,'Euro Age Table'!G$11)</f>
        <v>13</v>
      </c>
      <c r="Y203" s="46">
        <f>X203*'Eilat Car Data'!F$6</f>
        <v>360100</v>
      </c>
      <c r="Z203" s="46">
        <f>'T3 N2O HDV'!C7</f>
        <v>6</v>
      </c>
      <c r="AA203" s="124">
        <f t="shared" si="15"/>
        <v>11885990.201434217</v>
      </c>
    </row>
    <row r="204" spans="1:27" ht="12.5">
      <c r="A204" s="58" t="s">
        <v>75</v>
      </c>
      <c r="B204" s="49" t="s">
        <v>22</v>
      </c>
      <c r="C204" s="49" t="s">
        <v>76</v>
      </c>
      <c r="D204" s="56" t="s">
        <v>77</v>
      </c>
      <c r="E204" s="50" t="s">
        <v>59</v>
      </c>
      <c r="F204" s="97">
        <v>0.20120315891105042</v>
      </c>
      <c r="G204" s="99">
        <f t="shared" si="12"/>
        <v>127.36159959069492</v>
      </c>
      <c r="H204" s="46"/>
      <c r="I204" s="46">
        <f>G204*'Eilat Car Data'!F$6</f>
        <v>3527916.3086622492</v>
      </c>
      <c r="J204" s="46">
        <f>I204*'Tier 1 Coefficients'!I$10</f>
        <v>846699914.0789398</v>
      </c>
      <c r="K204" s="46">
        <f t="shared" si="13"/>
        <v>846699.91407893982</v>
      </c>
      <c r="L204" s="46">
        <f>K204*'Tier 1 Coefficients'!D$4</f>
        <v>2683192.0277161603</v>
      </c>
      <c r="M204" s="46">
        <f>K204*'Tier 1 Coefficients'!C$21</f>
        <v>2150617.7817605073</v>
      </c>
      <c r="N204" s="46">
        <f>K204*'Tier 1 Coefficients'!C$45</f>
        <v>43181.695618025929</v>
      </c>
      <c r="O204" s="46">
        <f>I204*'Tier 2 FC'!D$32</f>
        <v>356319547.17488718</v>
      </c>
      <c r="P204" s="46">
        <f t="shared" si="14"/>
        <v>356319.54717488721</v>
      </c>
      <c r="Q204" s="46">
        <f>P204*'Tier 1 Coefficients'!D$4</f>
        <v>1129176.6449972175</v>
      </c>
      <c r="R204" s="46">
        <f>$I204*'T2 HDV'!D8</f>
        <v>59974.577247258239</v>
      </c>
      <c r="S204" s="121">
        <f>$I204*'T2 HDV'!E8</f>
        <v>1714567.326009853</v>
      </c>
      <c r="T204" s="46">
        <f>44.011*(P204/(12.011+1.008*'Tier 3 CO2 Tables'!B$4+16*'Tier 3 CO2 Tables'!C$4))</f>
        <v>1129347.1923071467</v>
      </c>
      <c r="U204" s="46">
        <f>I204*'Tier 3 CO2 Tables'!H$15/10000</f>
        <v>550.35494415131086</v>
      </c>
      <c r="V204" s="46">
        <f>44.011*(U204/(12.011+1.008*'Tier 3 CO2 Tables'!B$6+16*'Tier 3 CO2 Tables'!C$6))</f>
        <v>1716.9187367301224</v>
      </c>
      <c r="W204" s="46">
        <f>I204*'T3 Methane'!D$29</f>
        <v>299872886.23629117</v>
      </c>
      <c r="X204" s="46" cm="1">
        <f t="array" ref="X204">_xlfn.IFS(E204='Euro Age Table'!C$5,'Euro Age Table'!G$5,E204='Euro Age Table'!C$6,'Euro Age Table'!G$6,E204='Euro Age Table'!C$7,'Euro Age Table'!G$7,E204='Euro Age Table'!C$8,'Euro Age Table'!G$8,E204='Euro Age Table'!C$9,'Euro Age Table'!G$9,E204='Euro Age Table'!C$10,'Euro Age Table'!G$10,E204='Euro Age Table'!C$11,'Euro Age Table'!G$11)</f>
        <v>9</v>
      </c>
      <c r="Y204" s="46">
        <f>X204*'Eilat Car Data'!F$6</f>
        <v>249300</v>
      </c>
      <c r="Z204" s="46">
        <f>'T3 N2O HDV'!C8</f>
        <v>15</v>
      </c>
      <c r="AA204" s="124">
        <f t="shared" si="15"/>
        <v>52918744.629933737</v>
      </c>
    </row>
    <row r="205" spans="1:27" ht="12.5">
      <c r="A205" s="58" t="s">
        <v>75</v>
      </c>
      <c r="B205" s="49" t="s">
        <v>22</v>
      </c>
      <c r="C205" s="49" t="s">
        <v>76</v>
      </c>
      <c r="D205" s="56" t="s">
        <v>77</v>
      </c>
      <c r="E205" s="51" t="s">
        <v>60</v>
      </c>
      <c r="F205" s="97">
        <v>0</v>
      </c>
      <c r="G205" s="99">
        <f t="shared" si="12"/>
        <v>0</v>
      </c>
      <c r="H205" s="46"/>
      <c r="I205" s="46">
        <f>G205*'Eilat Car Data'!F$6</f>
        <v>0</v>
      </c>
      <c r="J205" s="46">
        <f>I205*'Tier 1 Coefficients'!I$10</f>
        <v>0</v>
      </c>
      <c r="K205" s="46">
        <f t="shared" si="13"/>
        <v>0</v>
      </c>
      <c r="L205" s="46">
        <f>K205*'Tier 1 Coefficients'!D$4</f>
        <v>0</v>
      </c>
      <c r="M205" s="46">
        <f>K205*'Tier 1 Coefficients'!C$21</f>
        <v>0</v>
      </c>
      <c r="N205" s="46">
        <f>K205*'Tier 1 Coefficients'!C$45</f>
        <v>0</v>
      </c>
      <c r="O205" s="46">
        <f>I205*'Tier 2 FC'!D$32</f>
        <v>0</v>
      </c>
      <c r="P205" s="46">
        <f t="shared" si="14"/>
        <v>0</v>
      </c>
      <c r="Q205" s="46">
        <f>P205*'Tier 1 Coefficients'!D$4</f>
        <v>0</v>
      </c>
      <c r="R205" s="46">
        <f>$I205*'T2 HDV'!D9</f>
        <v>0</v>
      </c>
      <c r="S205" s="121">
        <f>$I205*'T2 HDV'!E9</f>
        <v>0</v>
      </c>
      <c r="T205" s="46">
        <f>44.011*(P205/(12.011+1.008*'Tier 3 CO2 Tables'!B$4+16*'Tier 3 CO2 Tables'!C$4))</f>
        <v>0</v>
      </c>
      <c r="U205" s="46">
        <f>I205*'Tier 3 CO2 Tables'!H$15/10000</f>
        <v>0</v>
      </c>
      <c r="V205" s="46">
        <f>44.011*(U205/(12.011+1.008*'Tier 3 CO2 Tables'!B$6+16*'Tier 3 CO2 Tables'!C$6))</f>
        <v>0</v>
      </c>
      <c r="W205" s="46">
        <f>I205*'T3 Methane'!D$29</f>
        <v>0</v>
      </c>
      <c r="X205" s="46" cm="1">
        <f t="array" ref="X205">_xlfn.IFS(E205='Euro Age Table'!C$5,'Euro Age Table'!G$5,E205='Euro Age Table'!C$6,'Euro Age Table'!G$6,E205='Euro Age Table'!C$7,'Euro Age Table'!G$7,E205='Euro Age Table'!C$8,'Euro Age Table'!G$8,E205='Euro Age Table'!C$9,'Euro Age Table'!G$9,E205='Euro Age Table'!C$10,'Euro Age Table'!G$10,E205='Euro Age Table'!C$11,'Euro Age Table'!G$11)</f>
        <v>3</v>
      </c>
      <c r="Y205" s="46">
        <f>X205*'Eilat Car Data'!F$6</f>
        <v>83100</v>
      </c>
      <c r="Z205" s="46">
        <f>'T3 N2O HDV'!C9</f>
        <v>18.5</v>
      </c>
      <c r="AA205" s="124">
        <f t="shared" si="15"/>
        <v>0</v>
      </c>
    </row>
    <row r="206" spans="1:27" ht="12.5">
      <c r="A206" s="58" t="s">
        <v>75</v>
      </c>
      <c r="B206" s="49" t="s">
        <v>22</v>
      </c>
      <c r="C206" s="49" t="s">
        <v>76</v>
      </c>
      <c r="D206" s="56" t="s">
        <v>85</v>
      </c>
      <c r="E206" s="50" t="s">
        <v>54</v>
      </c>
      <c r="F206" s="97">
        <v>7.5094280456507211E-4</v>
      </c>
      <c r="G206" s="99">
        <f t="shared" si="12"/>
        <v>0.47534679528969065</v>
      </c>
      <c r="H206" s="46"/>
      <c r="I206" s="46">
        <f>G206*'Eilat Car Data'!F$6</f>
        <v>13167.10622952443</v>
      </c>
      <c r="J206" s="46">
        <f>I206*'Tier 1 Coefficients'!I$10</f>
        <v>3160105.4950858634</v>
      </c>
      <c r="K206" s="46">
        <f t="shared" si="13"/>
        <v>3160.1054950858634</v>
      </c>
      <c r="L206" s="46">
        <f>K206*'Tier 1 Coefficients'!D$4</f>
        <v>10014.374313927101</v>
      </c>
      <c r="M206" s="46">
        <f>K206*'Tier 1 Coefficients'!C$21</f>
        <v>8026.6679575180933</v>
      </c>
      <c r="N206" s="46">
        <f>K206*'Tier 1 Coefficients'!C$45</f>
        <v>161.16538024937901</v>
      </c>
      <c r="O206" s="46">
        <f>I206*'Tier 2 FC'!D$33</f>
        <v>2396413.3337734463</v>
      </c>
      <c r="P206" s="46">
        <f t="shared" si="14"/>
        <v>2396.4133337734461</v>
      </c>
      <c r="Q206" s="46">
        <f>P206*'Tier 1 Coefficients'!D$4</f>
        <v>7594.2338547280506</v>
      </c>
      <c r="R206" s="46">
        <f>$I206*'T2 HDV'!D11</f>
        <v>38.184608065620843</v>
      </c>
      <c r="S206" s="121">
        <f>$I206*'T2 HDV'!E11</f>
        <v>6399.2136275488729</v>
      </c>
      <c r="T206" s="46">
        <f>44.011*(P206/(12.011+1.008*'Tier 3 CO2 Tables'!B$4+16*'Tier 3 CO2 Tables'!C$4))</f>
        <v>7595.3808640650168</v>
      </c>
      <c r="U206" s="46">
        <f>I206*'Tier 3 CO2 Tables'!H$15/10000</f>
        <v>2.0540685718058111</v>
      </c>
      <c r="V206" s="46">
        <f>44.011*(U206/(12.011+1.008*'Tier 3 CO2 Tables'!B$6+16*'Tier 3 CO2 Tables'!C$6))</f>
        <v>6.4079897072611409</v>
      </c>
      <c r="W206" s="46">
        <f>I206*'T3 Methane'!D$29</f>
        <v>1119204.0295095765</v>
      </c>
      <c r="X206" s="46" cm="1">
        <f t="array" ref="X206">_xlfn.IFS(E206='Euro Age Table'!C$5,'Euro Age Table'!G$5,E206='Euro Age Table'!C$6,'Euro Age Table'!G$6,E206='Euro Age Table'!C$7,'Euro Age Table'!G$7,E206='Euro Age Table'!C$8,'Euro Age Table'!G$8,E206='Euro Age Table'!C$9,'Euro Age Table'!G$9,E206='Euro Age Table'!C$10,'Euro Age Table'!G$10,E206='Euro Age Table'!C$11,'Euro Age Table'!G$11)</f>
        <v>27</v>
      </c>
      <c r="Y206" s="46">
        <f>X206*'Eilat Car Data'!F$6</f>
        <v>747900</v>
      </c>
      <c r="Z206" s="46">
        <f>'T3 N2O HDV'!C3</f>
        <v>30</v>
      </c>
      <c r="AA206" s="124">
        <f t="shared" si="15"/>
        <v>395013.18688573292</v>
      </c>
    </row>
    <row r="207" spans="1:27" ht="12.5">
      <c r="A207" s="58" t="s">
        <v>75</v>
      </c>
      <c r="B207" s="49" t="s">
        <v>22</v>
      </c>
      <c r="C207" s="49" t="s">
        <v>76</v>
      </c>
      <c r="D207" s="56" t="s">
        <v>85</v>
      </c>
      <c r="E207" s="50" t="s">
        <v>55</v>
      </c>
      <c r="F207" s="97">
        <v>2.4508792632508395E-3</v>
      </c>
      <c r="G207" s="99">
        <f t="shared" si="12"/>
        <v>1.5514065736377813</v>
      </c>
      <c r="H207" s="46"/>
      <c r="I207" s="46">
        <f>G207*'Eilat Car Data'!F$6</f>
        <v>42973.962089766545</v>
      </c>
      <c r="J207" s="46">
        <f>I207*'Tier 1 Coefficients'!I$10</f>
        <v>10313750.901543971</v>
      </c>
      <c r="K207" s="46">
        <f t="shared" si="13"/>
        <v>10313.750901543972</v>
      </c>
      <c r="L207" s="46">
        <f>K207*'Tier 1 Coefficients'!D$4</f>
        <v>32684.276606992848</v>
      </c>
      <c r="M207" s="46">
        <f>K207*'Tier 1 Coefficients'!C$21</f>
        <v>26196.927289921688</v>
      </c>
      <c r="N207" s="46">
        <f>K207*'Tier 1 Coefficients'!C$45</f>
        <v>526.00129597874252</v>
      </c>
      <c r="O207" s="46">
        <f>I207*'Tier 2 FC'!D$34</f>
        <v>6660964.1239138143</v>
      </c>
      <c r="P207" s="46">
        <f t="shared" si="14"/>
        <v>6660.9641239138145</v>
      </c>
      <c r="Q207" s="46">
        <f>P207*'Tier 1 Coefficients'!D$4</f>
        <v>21108.595308682878</v>
      </c>
      <c r="R207" s="46">
        <f>$I207*'T2 HDV'!D12</f>
        <v>124.62449006032297</v>
      </c>
      <c r="S207" s="121">
        <f>$I207*'T2 HDV'!E12</f>
        <v>20885.345575626539</v>
      </c>
      <c r="T207" s="46">
        <f>44.011*(P207/(12.011+1.008*'Tier 3 CO2 Tables'!B$4+16*'Tier 3 CO2 Tables'!C$4))</f>
        <v>21111.783484919277</v>
      </c>
      <c r="U207" s="46">
        <f>I207*'Tier 3 CO2 Tables'!H$15/10000</f>
        <v>6.703938086003582</v>
      </c>
      <c r="V207" s="46">
        <f>44.011*(U207/(12.011+1.008*'Tier 3 CO2 Tables'!B$6+16*'Tier 3 CO2 Tables'!C$6))</f>
        <v>20.913988385236912</v>
      </c>
      <c r="W207" s="46">
        <f>I207*'T3 Methane'!D$29</f>
        <v>3652786.7776301564</v>
      </c>
      <c r="X207" s="46" cm="1">
        <f t="array" ref="X207">_xlfn.IFS(E207='Euro Age Table'!C$5,'Euro Age Table'!G$5,E207='Euro Age Table'!C$6,'Euro Age Table'!G$6,E207='Euro Age Table'!C$7,'Euro Age Table'!G$7,E207='Euro Age Table'!C$8,'Euro Age Table'!G$8,E207='Euro Age Table'!C$9,'Euro Age Table'!G$9,E207='Euro Age Table'!C$10,'Euro Age Table'!G$10,E207='Euro Age Table'!C$11,'Euro Age Table'!G$11)</f>
        <v>23</v>
      </c>
      <c r="Y207" s="46">
        <f>X207*'Eilat Car Data'!F$6</f>
        <v>637100</v>
      </c>
      <c r="Z207" s="46">
        <f>'T3 N2O HDV'!C4</f>
        <v>6</v>
      </c>
      <c r="AA207" s="124">
        <f t="shared" si="15"/>
        <v>257843.77253859927</v>
      </c>
    </row>
    <row r="208" spans="1:27" ht="12.5">
      <c r="A208" s="58" t="s">
        <v>75</v>
      </c>
      <c r="B208" s="49" t="s">
        <v>22</v>
      </c>
      <c r="C208" s="49" t="s">
        <v>76</v>
      </c>
      <c r="D208" s="56" t="s">
        <v>85</v>
      </c>
      <c r="E208" s="50" t="s">
        <v>56</v>
      </c>
      <c r="F208" s="97">
        <v>3.3338559675196605E-3</v>
      </c>
      <c r="G208" s="99">
        <f t="shared" si="12"/>
        <v>2.1103308274399453</v>
      </c>
      <c r="H208" s="46"/>
      <c r="I208" s="46">
        <f>G208*'Eilat Car Data'!F$6</f>
        <v>58456.163920086481</v>
      </c>
      <c r="J208" s="46">
        <f>I208*'Tier 1 Coefficients'!I$10</f>
        <v>14029479.340820756</v>
      </c>
      <c r="K208" s="46">
        <f t="shared" si="13"/>
        <v>14029.479340820755</v>
      </c>
      <c r="L208" s="46">
        <f>K208*'Tier 1 Coefficients'!D$4</f>
        <v>44459.420031060974</v>
      </c>
      <c r="M208" s="46">
        <f>K208*'Tier 1 Coefficients'!C$21</f>
        <v>35634.877525684722</v>
      </c>
      <c r="N208" s="46">
        <f>K208*'Tier 1 Coefficients'!C$45</f>
        <v>715.50344638185845</v>
      </c>
      <c r="O208" s="46">
        <f>I208*'Tier 2 FC'!D$34</f>
        <v>9060705.4076134041</v>
      </c>
      <c r="P208" s="46">
        <f t="shared" si="14"/>
        <v>9060.7054076134045</v>
      </c>
      <c r="Q208" s="46">
        <f>P208*'Tier 1 Coefficients'!D$4</f>
        <v>28713.375436726878</v>
      </c>
      <c r="R208" s="46">
        <f>$I208*'T2 HDV'!D13</f>
        <v>169.52287536825079</v>
      </c>
      <c r="S208" s="121">
        <f>$I208*'T2 HDV'!E13</f>
        <v>28409.695665162028</v>
      </c>
      <c r="T208" s="46">
        <f>44.011*(P208/(12.011+1.008*'Tier 3 CO2 Tables'!B$4+16*'Tier 3 CO2 Tables'!C$4))</f>
        <v>28717.712215176391</v>
      </c>
      <c r="U208" s="46">
        <f>I208*'Tier 3 CO2 Tables'!H$15/10000</f>
        <v>9.1191615715334926</v>
      </c>
      <c r="V208" s="46">
        <f>44.011*(U208/(12.011+1.008*'Tier 3 CO2 Tables'!B$6+16*'Tier 3 CO2 Tables'!C$6))</f>
        <v>28.448657601467044</v>
      </c>
      <c r="W208" s="46">
        <f>I208*'T3 Methane'!D$29</f>
        <v>4968773.9332073508</v>
      </c>
      <c r="X208" s="46" cm="1">
        <f t="array" ref="X208">_xlfn.IFS(E208='Euro Age Table'!C$5,'Euro Age Table'!G$5,E208='Euro Age Table'!C$6,'Euro Age Table'!G$6,E208='Euro Age Table'!C$7,'Euro Age Table'!G$7,E208='Euro Age Table'!C$8,'Euro Age Table'!G$8,E208='Euro Age Table'!C$9,'Euro Age Table'!G$9,E208='Euro Age Table'!C$10,'Euro Age Table'!G$10,E208='Euro Age Table'!C$11,'Euro Age Table'!G$11)</f>
        <v>18</v>
      </c>
      <c r="Y208" s="46">
        <f>X208*'Eilat Car Data'!F$6</f>
        <v>498600</v>
      </c>
      <c r="Z208" s="46">
        <f>'T3 N2O HDV'!C5</f>
        <v>5</v>
      </c>
      <c r="AA208" s="124">
        <f t="shared" si="15"/>
        <v>292280.81960043241</v>
      </c>
    </row>
    <row r="209" spans="1:27" ht="12.5">
      <c r="A209" s="58" t="s">
        <v>75</v>
      </c>
      <c r="B209" s="49" t="s">
        <v>22</v>
      </c>
      <c r="C209" s="49" t="s">
        <v>76</v>
      </c>
      <c r="D209" s="56" t="s">
        <v>85</v>
      </c>
      <c r="E209" s="50" t="s">
        <v>57</v>
      </c>
      <c r="F209" s="97">
        <v>8.8297670426882094E-3</v>
      </c>
      <c r="G209" s="99">
        <f t="shared" si="12"/>
        <v>5.5892425380216366</v>
      </c>
      <c r="H209" s="46"/>
      <c r="I209" s="46">
        <f>G209*'Eilat Car Data'!F$6</f>
        <v>154822.01830319932</v>
      </c>
      <c r="J209" s="46">
        <f>I209*'Tier 1 Coefficients'!I$10</f>
        <v>37157284.392767839</v>
      </c>
      <c r="K209" s="46">
        <f t="shared" si="13"/>
        <v>37157.28439276784</v>
      </c>
      <c r="L209" s="46">
        <f>K209*'Tier 1 Coefficients'!D$4</f>
        <v>117751.43424068129</v>
      </c>
      <c r="M209" s="46">
        <f>K209*'Tier 1 Coefficients'!C$21</f>
        <v>94379.502357630321</v>
      </c>
      <c r="N209" s="46">
        <f>K209*'Tier 1 Coefficients'!C$45</f>
        <v>1895.0215040311598</v>
      </c>
      <c r="O209" s="46">
        <f>I209*'Tier 2 FC'!D$34</f>
        <v>23997412.836995896</v>
      </c>
      <c r="P209" s="46">
        <f t="shared" si="14"/>
        <v>23997.412836995896</v>
      </c>
      <c r="Q209" s="46">
        <f>P209*'Tier 1 Coefficients'!D$4</f>
        <v>76047.801280439991</v>
      </c>
      <c r="R209" s="46">
        <f>$I209*'T2 HDV'!D14</f>
        <v>448.98385307927799</v>
      </c>
      <c r="S209" s="121">
        <f>$I209*'T2 HDV'!E14</f>
        <v>75243.500895354868</v>
      </c>
      <c r="T209" s="46">
        <f>44.011*(P209/(12.011+1.008*'Tier 3 CO2 Tables'!B$4+16*'Tier 3 CO2 Tables'!C$4))</f>
        <v>76059.287302571131</v>
      </c>
      <c r="U209" s="46">
        <f>I209*'Tier 3 CO2 Tables'!H$15/10000</f>
        <v>24.152234855299096</v>
      </c>
      <c r="V209" s="46">
        <f>44.011*(U209/(12.011+1.008*'Tier 3 CO2 Tables'!B$6+16*'Tier 3 CO2 Tables'!C$6))</f>
        <v>75.346692162301309</v>
      </c>
      <c r="W209" s="46">
        <f>I209*'T3 Methane'!D$29</f>
        <v>13159871.555771943</v>
      </c>
      <c r="X209" s="46" cm="1">
        <f t="array" ref="X209">_xlfn.IFS(E209='Euro Age Table'!C$5,'Euro Age Table'!G$5,E209='Euro Age Table'!C$6,'Euro Age Table'!G$6,E209='Euro Age Table'!C$7,'Euro Age Table'!G$7,E209='Euro Age Table'!C$8,'Euro Age Table'!G$8,E209='Euro Age Table'!C$9,'Euro Age Table'!G$9,E209='Euro Age Table'!C$10,'Euro Age Table'!G$10,E209='Euro Age Table'!C$11,'Euro Age Table'!G$11)</f>
        <v>16</v>
      </c>
      <c r="Y209" s="46">
        <f>X209*'Eilat Car Data'!F$6</f>
        <v>443200</v>
      </c>
      <c r="Z209" s="46">
        <f>'T3 N2O HDV'!C6</f>
        <v>3</v>
      </c>
      <c r="AA209" s="124">
        <f t="shared" si="15"/>
        <v>464466.05490959797</v>
      </c>
    </row>
    <row r="210" spans="1:27" ht="12.5">
      <c r="A210" s="58" t="s">
        <v>75</v>
      </c>
      <c r="B210" s="49" t="s">
        <v>22</v>
      </c>
      <c r="C210" s="49" t="s">
        <v>76</v>
      </c>
      <c r="D210" s="56" t="s">
        <v>85</v>
      </c>
      <c r="E210" s="50" t="s">
        <v>58</v>
      </c>
      <c r="F210" s="97">
        <v>1.6479481106774163E-2</v>
      </c>
      <c r="G210" s="99">
        <f t="shared" si="12"/>
        <v>10.431511540588046</v>
      </c>
      <c r="H210" s="46"/>
      <c r="I210" s="46">
        <f>G210*'Eilat Car Data'!F$6</f>
        <v>288952.86967428884</v>
      </c>
      <c r="J210" s="46">
        <f>I210*'Tier 1 Coefficients'!I$10</f>
        <v>69348688.721829325</v>
      </c>
      <c r="K210" s="46">
        <f t="shared" si="13"/>
        <v>69348.688721829327</v>
      </c>
      <c r="L210" s="46">
        <f>K210*'Tier 1 Coefficients'!D$4</f>
        <v>219765.99455947714</v>
      </c>
      <c r="M210" s="46">
        <f>K210*'Tier 1 Coefficients'!C$21</f>
        <v>176145.66935344649</v>
      </c>
      <c r="N210" s="46">
        <f>K210*'Tier 1 Coefficients'!C$45</f>
        <v>3536.7831248132952</v>
      </c>
      <c r="O210" s="46">
        <f>I210*'Tier 2 FC'!D$34</f>
        <v>44787694.799514771</v>
      </c>
      <c r="P210" s="46">
        <f t="shared" si="14"/>
        <v>44787.694799514771</v>
      </c>
      <c r="Q210" s="46">
        <f>P210*'Tier 1 Coefficients'!D$4</f>
        <v>141932.20481966232</v>
      </c>
      <c r="R210" s="46">
        <f>$I210*'T2 HDV'!D15</f>
        <v>837.96332205543763</v>
      </c>
      <c r="S210" s="121">
        <f>$I210*'T2 HDV'!E15</f>
        <v>140431.09466170438</v>
      </c>
      <c r="T210" s="46">
        <f>44.011*(P210/(12.011+1.008*'Tier 3 CO2 Tables'!B$4+16*'Tier 3 CO2 Tables'!C$4))</f>
        <v>141953.64181610706</v>
      </c>
      <c r="U210" s="46">
        <f>I210*'Tier 3 CO2 Tables'!H$15/10000</f>
        <v>45.076647669189065</v>
      </c>
      <c r="V210" s="46">
        <f>44.011*(U210/(12.011+1.008*'Tier 3 CO2 Tables'!B$6+16*'Tier 3 CO2 Tables'!C$6))</f>
        <v>140.62368621319229</v>
      </c>
      <c r="W210" s="46">
        <f>I210*'T3 Methane'!D$29</f>
        <v>24560993.922314551</v>
      </c>
      <c r="X210" s="46" cm="1">
        <f t="array" ref="X210">_xlfn.IFS(E210='Euro Age Table'!C$5,'Euro Age Table'!G$5,E210='Euro Age Table'!C$6,'Euro Age Table'!G$6,E210='Euro Age Table'!C$7,'Euro Age Table'!G$7,E210='Euro Age Table'!C$8,'Euro Age Table'!G$8,E210='Euro Age Table'!C$9,'Euro Age Table'!G$9,E210='Euro Age Table'!C$10,'Euro Age Table'!G$10,E210='Euro Age Table'!C$11,'Euro Age Table'!G$11)</f>
        <v>13</v>
      </c>
      <c r="Y210" s="46">
        <f>X210*'Eilat Car Data'!F$6</f>
        <v>360100</v>
      </c>
      <c r="Z210" s="46">
        <f>'T3 N2O HDV'!C7</f>
        <v>6</v>
      </c>
      <c r="AA210" s="124">
        <f t="shared" si="15"/>
        <v>1733717.2180457329</v>
      </c>
    </row>
    <row r="211" spans="1:27" ht="12.5">
      <c r="A211" s="58" t="s">
        <v>75</v>
      </c>
      <c r="B211" s="49" t="s">
        <v>22</v>
      </c>
      <c r="C211" s="49" t="s">
        <v>76</v>
      </c>
      <c r="D211" s="56" t="s">
        <v>85</v>
      </c>
      <c r="E211" s="50" t="s">
        <v>59</v>
      </c>
      <c r="F211" s="97">
        <v>8.0053803814129285E-2</v>
      </c>
      <c r="G211" s="99">
        <f t="shared" si="12"/>
        <v>50.67405781434384</v>
      </c>
      <c r="H211" s="46"/>
      <c r="I211" s="46">
        <f>G211*'Eilat Car Data'!F$6</f>
        <v>1403671.4014573244</v>
      </c>
      <c r="J211" s="46">
        <f>I211*'Tier 1 Coefficients'!I$10</f>
        <v>336881136.34975785</v>
      </c>
      <c r="K211" s="46">
        <f t="shared" si="13"/>
        <v>336881.13634975784</v>
      </c>
      <c r="L211" s="46">
        <f>K211*'Tier 1 Coefficients'!D$4</f>
        <v>1067576.3210923825</v>
      </c>
      <c r="M211" s="46">
        <f>K211*'Tier 1 Coefficients'!C$21</f>
        <v>855678.08632838493</v>
      </c>
      <c r="N211" s="46">
        <f>K211*'Tier 1 Coefficients'!C$45</f>
        <v>17180.937953837649</v>
      </c>
      <c r="O211" s="46">
        <f>I211*'Tier 2 FC'!D$34</f>
        <v>217569067.22588527</v>
      </c>
      <c r="P211" s="46">
        <f t="shared" si="14"/>
        <v>217569.06722588529</v>
      </c>
      <c r="Q211" s="46">
        <f>P211*'Tier 1 Coefficients'!D$4</f>
        <v>689476.37403883052</v>
      </c>
      <c r="R211" s="46">
        <f>$I211*'T2 HDV'!D16</f>
        <v>15440.385416030567</v>
      </c>
      <c r="S211" s="121">
        <f>$I211*'T2 HDV'!E16</f>
        <v>682184.30110825959</v>
      </c>
      <c r="T211" s="46">
        <f>44.011*(P211/(12.011+1.008*'Tier 3 CO2 Tables'!B$4+16*'Tier 3 CO2 Tables'!C$4))</f>
        <v>689580.51039461943</v>
      </c>
      <c r="U211" s="46">
        <f>I211*'Tier 3 CO2 Tables'!H$15/10000</f>
        <v>218.97273862734261</v>
      </c>
      <c r="V211" s="46">
        <f>44.011*(U211/(12.011+1.008*'Tier 3 CO2 Tables'!B$6+16*'Tier 3 CO2 Tables'!C$6))</f>
        <v>683.11986978176196</v>
      </c>
      <c r="W211" s="46">
        <f>I211*'T3 Methane'!D$29</f>
        <v>119312069.12387258</v>
      </c>
      <c r="X211" s="46" cm="1">
        <f t="array" ref="X211">_xlfn.IFS(E211='Euro Age Table'!C$5,'Euro Age Table'!G$5,E211='Euro Age Table'!C$6,'Euro Age Table'!G$6,E211='Euro Age Table'!C$7,'Euro Age Table'!G$7,E211='Euro Age Table'!C$8,'Euro Age Table'!G$8,E211='Euro Age Table'!C$9,'Euro Age Table'!G$9,E211='Euro Age Table'!C$10,'Euro Age Table'!G$10,E211='Euro Age Table'!C$11,'Euro Age Table'!G$11)</f>
        <v>9</v>
      </c>
      <c r="Y211" s="46">
        <f>X211*'Eilat Car Data'!F$6</f>
        <v>249300</v>
      </c>
      <c r="Z211" s="46">
        <f>'T3 N2O HDV'!C8</f>
        <v>15</v>
      </c>
      <c r="AA211" s="124">
        <f t="shared" si="15"/>
        <v>21055071.021859866</v>
      </c>
    </row>
    <row r="212" spans="1:27" ht="12.5">
      <c r="A212" s="58" t="s">
        <v>75</v>
      </c>
      <c r="B212" s="49" t="s">
        <v>22</v>
      </c>
      <c r="C212" s="51" t="s">
        <v>76</v>
      </c>
      <c r="D212" s="57" t="s">
        <v>85</v>
      </c>
      <c r="E212" s="51" t="s">
        <v>60</v>
      </c>
      <c r="F212" s="97">
        <v>0</v>
      </c>
      <c r="G212" s="99">
        <f t="shared" si="12"/>
        <v>0</v>
      </c>
      <c r="H212" s="46"/>
      <c r="I212" s="46">
        <f>G212*'Eilat Car Data'!F$6</f>
        <v>0</v>
      </c>
      <c r="J212" s="46">
        <f>I212*'Tier 1 Coefficients'!I$10</f>
        <v>0</v>
      </c>
      <c r="K212" s="46">
        <f t="shared" si="13"/>
        <v>0</v>
      </c>
      <c r="L212" s="46">
        <f>K212*'Tier 1 Coefficients'!D$4</f>
        <v>0</v>
      </c>
      <c r="M212" s="46">
        <f>K212*'Tier 1 Coefficients'!C$21</f>
        <v>0</v>
      </c>
      <c r="N212" s="46">
        <f>K212*'Tier 1 Coefficients'!C$45</f>
        <v>0</v>
      </c>
      <c r="O212" s="46">
        <f>I212*'Tier 2 FC'!D$34</f>
        <v>0</v>
      </c>
      <c r="P212" s="46">
        <f t="shared" si="14"/>
        <v>0</v>
      </c>
      <c r="Q212" s="46">
        <f>P212*'Tier 1 Coefficients'!D$4</f>
        <v>0</v>
      </c>
      <c r="R212" s="46">
        <f>$I212*'T2 HDV'!D17</f>
        <v>0</v>
      </c>
      <c r="S212" s="121">
        <f>$I212*'T2 HDV'!E17</f>
        <v>0</v>
      </c>
      <c r="T212" s="46">
        <f>44.011*(P212/(12.011+1.008*'Tier 3 CO2 Tables'!B$4+16*'Tier 3 CO2 Tables'!C$4))</f>
        <v>0</v>
      </c>
      <c r="U212" s="46">
        <f>I212*'Tier 3 CO2 Tables'!H$15/10000</f>
        <v>0</v>
      </c>
      <c r="V212" s="46">
        <f>44.011*(U212/(12.011+1.008*'Tier 3 CO2 Tables'!B$6+16*'Tier 3 CO2 Tables'!C$6))</f>
        <v>0</v>
      </c>
      <c r="W212" s="46">
        <f>I212*'T3 Methane'!D$29</f>
        <v>0</v>
      </c>
      <c r="X212" s="46" cm="1">
        <f t="array" ref="X212">_xlfn.IFS(E212='Euro Age Table'!C$5,'Euro Age Table'!G$5,E212='Euro Age Table'!C$6,'Euro Age Table'!G$6,E212='Euro Age Table'!C$7,'Euro Age Table'!G$7,E212='Euro Age Table'!C$8,'Euro Age Table'!G$8,E212='Euro Age Table'!C$9,'Euro Age Table'!G$9,E212='Euro Age Table'!C$10,'Euro Age Table'!G$10,E212='Euro Age Table'!C$11,'Euro Age Table'!G$11)</f>
        <v>3</v>
      </c>
      <c r="Y212" s="46">
        <f>X212*'Eilat Car Data'!F$6</f>
        <v>83100</v>
      </c>
      <c r="Z212" s="46">
        <f>'T3 N2O HDV'!C9</f>
        <v>18.5</v>
      </c>
      <c r="AA212" s="124">
        <f t="shared" si="15"/>
        <v>0</v>
      </c>
    </row>
    <row r="213" spans="1:27" ht="12.5">
      <c r="A213" s="58" t="s">
        <v>75</v>
      </c>
      <c r="B213" s="49" t="s">
        <v>22</v>
      </c>
      <c r="C213" s="49" t="s">
        <v>79</v>
      </c>
      <c r="D213" s="56" t="s">
        <v>86</v>
      </c>
      <c r="E213" s="50" t="s">
        <v>54</v>
      </c>
      <c r="F213" s="97">
        <v>1.1552966224078032E-4</v>
      </c>
      <c r="G213" s="99">
        <f t="shared" si="12"/>
        <v>7.3130276198413946E-2</v>
      </c>
      <c r="H213" s="46"/>
      <c r="I213" s="46">
        <f>G213*'Eilat Car Data'!F$6</f>
        <v>2025.7086506960663</v>
      </c>
      <c r="J213" s="46">
        <f>I213*'Tier 1 Coefficients'!I$10</f>
        <v>486170.07616705593</v>
      </c>
      <c r="K213" s="46">
        <f t="shared" si="13"/>
        <v>486.17007616705592</v>
      </c>
      <c r="L213" s="46">
        <f>K213*'Tier 1 Coefficients'!D$4</f>
        <v>1540.6729713734003</v>
      </c>
      <c r="M213" s="46">
        <f>K213*'Tier 1 Coefficients'!C$21</f>
        <v>1234.871993464322</v>
      </c>
      <c r="N213" s="46">
        <f>K213*'Tier 1 Coefficients'!C$45</f>
        <v>24.794673884519849</v>
      </c>
      <c r="O213" s="46">
        <f>I213*'Tier 2 FC'!D$33</f>
        <v>368678.97442668409</v>
      </c>
      <c r="P213" s="46">
        <f t="shared" si="14"/>
        <v>368.67897442668408</v>
      </c>
      <c r="Q213" s="46">
        <f>P213*'Tier 1 Coefficients'!D$4</f>
        <v>1168.3436699581619</v>
      </c>
      <c r="R213" s="46">
        <f>$I213*'T2 HDV'!D11</f>
        <v>5.8745550870185923</v>
      </c>
      <c r="S213" s="121">
        <f>$I213*'T2 HDV'!E11</f>
        <v>984.49440423828821</v>
      </c>
      <c r="T213" s="46">
        <f>44.011*(P213/(12.011+1.008*'Tier 3 CO2 Tables'!B$4+16*'Tier 3 CO2 Tables'!C$4))</f>
        <v>1168.5201329330798</v>
      </c>
      <c r="U213" s="46">
        <f>I213*'Tier 3 CO2 Tables'!H$15/10000</f>
        <v>0.31601054950858637</v>
      </c>
      <c r="V213" s="46">
        <f>44.011*(U213/(12.011+1.008*'Tier 3 CO2 Tables'!B$6+16*'Tier 3 CO2 Tables'!C$6))</f>
        <v>0.98584457034786788</v>
      </c>
      <c r="W213" s="46">
        <f>I213*'T3 Methane'!D$29</f>
        <v>172185.23530916564</v>
      </c>
      <c r="X213" s="46" cm="1">
        <f t="array" ref="X213">_xlfn.IFS(E213='Euro Age Table'!C$5,'Euro Age Table'!G$5,E213='Euro Age Table'!C$6,'Euro Age Table'!G$6,E213='Euro Age Table'!C$7,'Euro Age Table'!G$7,E213='Euro Age Table'!C$8,'Euro Age Table'!G$8,E213='Euro Age Table'!C$9,'Euro Age Table'!G$9,E213='Euro Age Table'!C$10,'Euro Age Table'!G$10,E213='Euro Age Table'!C$11,'Euro Age Table'!G$11)</f>
        <v>27</v>
      </c>
      <c r="Y213" s="46">
        <f>X213*'Eilat Car Data'!F$6</f>
        <v>747900</v>
      </c>
      <c r="Z213" s="46">
        <f>'T3 N2O HDV'!C10</f>
        <v>30</v>
      </c>
      <c r="AA213" s="124">
        <f t="shared" si="15"/>
        <v>60771.259520881991</v>
      </c>
    </row>
    <row r="214" spans="1:27" ht="12.5">
      <c r="A214" s="58" t="s">
        <v>75</v>
      </c>
      <c r="B214" s="49" t="s">
        <v>22</v>
      </c>
      <c r="C214" s="49" t="s">
        <v>79</v>
      </c>
      <c r="D214" s="56" t="s">
        <v>86</v>
      </c>
      <c r="E214" s="50" t="s">
        <v>55</v>
      </c>
      <c r="F214" s="97">
        <v>1.0727754350929601E-4</v>
      </c>
      <c r="G214" s="99">
        <f t="shared" si="12"/>
        <v>6.7906685041384376E-2</v>
      </c>
      <c r="H214" s="46"/>
      <c r="I214" s="46">
        <f>G214*'Eilat Car Data'!F$6</f>
        <v>1881.0151756463472</v>
      </c>
      <c r="J214" s="46">
        <f>I214*'Tier 1 Coefficients'!I$10</f>
        <v>451443.64215512335</v>
      </c>
      <c r="K214" s="46">
        <f t="shared" si="13"/>
        <v>451.44364215512337</v>
      </c>
      <c r="L214" s="46">
        <f>K214*'Tier 1 Coefficients'!D$4</f>
        <v>1430.6249019895861</v>
      </c>
      <c r="M214" s="46">
        <f>K214*'Tier 1 Coefficients'!C$21</f>
        <v>1146.6668510740133</v>
      </c>
      <c r="N214" s="46">
        <f>K214*'Tier 1 Coefficients'!C$45</f>
        <v>23.02362574991129</v>
      </c>
      <c r="O214" s="46">
        <f>I214*'Tier 2 FC'!D$34</f>
        <v>291557.3522251838</v>
      </c>
      <c r="P214" s="46">
        <f t="shared" si="14"/>
        <v>291.55735222518382</v>
      </c>
      <c r="Q214" s="46">
        <f>P214*'Tier 1 Coefficients'!D$4</f>
        <v>923.94524920160757</v>
      </c>
      <c r="R214" s="46">
        <f>$I214*'T2 HDV'!D12</f>
        <v>5.4549440093744064</v>
      </c>
      <c r="S214" s="121">
        <f>$I214*'T2 HDV'!E12</f>
        <v>914.17337536412469</v>
      </c>
      <c r="T214" s="46">
        <f>44.011*(P214/(12.011+1.008*'Tier 3 CO2 Tables'!B$4+16*'Tier 3 CO2 Tables'!C$4))</f>
        <v>924.08479900320083</v>
      </c>
      <c r="U214" s="46">
        <f>I214*'Tier 3 CO2 Tables'!H$15/10000</f>
        <v>0.29343836740083018</v>
      </c>
      <c r="V214" s="46">
        <f>44.011*(U214/(12.011+1.008*'Tier 3 CO2 Tables'!B$6+16*'Tier 3 CO2 Tables'!C$6))</f>
        <v>0.91542710103730596</v>
      </c>
      <c r="W214" s="46">
        <f>I214*'T3 Methane'!D$29</f>
        <v>159886.28992993952</v>
      </c>
      <c r="X214" s="46" cm="1">
        <f t="array" ref="X214">_xlfn.IFS(E214='Euro Age Table'!C$5,'Euro Age Table'!G$5,E214='Euro Age Table'!C$6,'Euro Age Table'!G$6,E214='Euro Age Table'!C$7,'Euro Age Table'!G$7,E214='Euro Age Table'!C$8,'Euro Age Table'!G$8,E214='Euro Age Table'!C$9,'Euro Age Table'!G$9,E214='Euro Age Table'!C$10,'Euro Age Table'!G$10,E214='Euro Age Table'!C$11,'Euro Age Table'!G$11)</f>
        <v>23</v>
      </c>
      <c r="Y214" s="46">
        <f>X214*'Eilat Car Data'!F$6</f>
        <v>637100</v>
      </c>
      <c r="Z214" s="46">
        <f>'T3 N2O HDV'!C11</f>
        <v>11</v>
      </c>
      <c r="AA214" s="124">
        <f t="shared" si="15"/>
        <v>20691.16693210982</v>
      </c>
    </row>
    <row r="215" spans="1:27" ht="12.5">
      <c r="A215" s="58" t="s">
        <v>75</v>
      </c>
      <c r="B215" s="49" t="s">
        <v>22</v>
      </c>
      <c r="C215" s="49" t="s">
        <v>79</v>
      </c>
      <c r="D215" s="56" t="s">
        <v>86</v>
      </c>
      <c r="E215" s="50" t="s">
        <v>56</v>
      </c>
      <c r="F215" s="97">
        <v>5.7764831120390159E-5</v>
      </c>
      <c r="G215" s="99">
        <f t="shared" si="12"/>
        <v>3.6565138099206973E-2</v>
      </c>
      <c r="H215" s="46"/>
      <c r="I215" s="46">
        <f>G215*'Eilat Car Data'!F$6</f>
        <v>1012.8543253480332</v>
      </c>
      <c r="J215" s="46">
        <f>I215*'Tier 1 Coefficients'!I$10</f>
        <v>243085.03808352796</v>
      </c>
      <c r="K215" s="46">
        <f t="shared" si="13"/>
        <v>243.08503808352796</v>
      </c>
      <c r="L215" s="46">
        <f>K215*'Tier 1 Coefficients'!D$4</f>
        <v>770.33648568670014</v>
      </c>
      <c r="M215" s="46">
        <f>K215*'Tier 1 Coefficients'!C$21</f>
        <v>617.43599673216102</v>
      </c>
      <c r="N215" s="46">
        <f>K215*'Tier 1 Coefficients'!C$45</f>
        <v>12.397336942259924</v>
      </c>
      <c r="O215" s="46">
        <f>I215*'Tier 2 FC'!D$34</f>
        <v>156992.42042894513</v>
      </c>
      <c r="P215" s="46">
        <f t="shared" si="14"/>
        <v>156.99242042894514</v>
      </c>
      <c r="Q215" s="46">
        <f>P215*'Tier 1 Coefficients'!D$4</f>
        <v>497.50898033932714</v>
      </c>
      <c r="R215" s="46">
        <f>$I215*'T2 HDV'!D13</f>
        <v>2.9372775435092962</v>
      </c>
      <c r="S215" s="121">
        <f>$I215*'T2 HDV'!E13</f>
        <v>492.24720211914411</v>
      </c>
      <c r="T215" s="46">
        <f>44.011*(P215/(12.011+1.008*'Tier 3 CO2 Tables'!B$4+16*'Tier 3 CO2 Tables'!C$4))</f>
        <v>497.58412254018504</v>
      </c>
      <c r="U215" s="46">
        <f>I215*'Tier 3 CO2 Tables'!H$15/10000</f>
        <v>0.15800527475429318</v>
      </c>
      <c r="V215" s="46">
        <f>44.011*(U215/(12.011+1.008*'Tier 3 CO2 Tables'!B$6+16*'Tier 3 CO2 Tables'!C$6))</f>
        <v>0.49292228517393394</v>
      </c>
      <c r="W215" s="46">
        <f>I215*'T3 Methane'!D$29</f>
        <v>86092.61765458282</v>
      </c>
      <c r="X215" s="46" cm="1">
        <f t="array" ref="X215">_xlfn.IFS(E215='Euro Age Table'!C$5,'Euro Age Table'!G$5,E215='Euro Age Table'!C$6,'Euro Age Table'!G$6,E215='Euro Age Table'!C$7,'Euro Age Table'!G$7,E215='Euro Age Table'!C$8,'Euro Age Table'!G$8,E215='Euro Age Table'!C$9,'Euro Age Table'!G$9,E215='Euro Age Table'!C$10,'Euro Age Table'!G$10,E215='Euro Age Table'!C$11,'Euro Age Table'!G$11)</f>
        <v>18</v>
      </c>
      <c r="Y215" s="46">
        <f>X215*'Eilat Car Data'!F$6</f>
        <v>498600</v>
      </c>
      <c r="Z215" s="46">
        <f>'T3 N2O HDV'!C12</f>
        <v>11</v>
      </c>
      <c r="AA215" s="124">
        <f t="shared" si="15"/>
        <v>11141.397578828364</v>
      </c>
    </row>
    <row r="216" spans="1:27" ht="12.5">
      <c r="A216" s="58" t="s">
        <v>75</v>
      </c>
      <c r="B216" s="49" t="s">
        <v>22</v>
      </c>
      <c r="C216" s="49" t="s">
        <v>79</v>
      </c>
      <c r="D216" s="56" t="s">
        <v>86</v>
      </c>
      <c r="E216" s="50" t="s">
        <v>57</v>
      </c>
      <c r="F216" s="97">
        <v>1.6504237462968617E-5</v>
      </c>
      <c r="G216" s="99">
        <f t="shared" si="12"/>
        <v>1.0447182314059134E-2</v>
      </c>
      <c r="H216" s="46"/>
      <c r="I216" s="46">
        <f>G216*'Eilat Car Data'!F$6</f>
        <v>289.38695009943802</v>
      </c>
      <c r="J216" s="46">
        <f>I216*'Tier 1 Coefficients'!I$10</f>
        <v>69452.868023865129</v>
      </c>
      <c r="K216" s="46">
        <f t="shared" si="13"/>
        <v>69.452868023865122</v>
      </c>
      <c r="L216" s="46">
        <f>K216*'Tier 1 Coefficients'!D$4</f>
        <v>220.09613876762859</v>
      </c>
      <c r="M216" s="46">
        <f>K216*'Tier 1 Coefficients'!C$21</f>
        <v>176.41028478061742</v>
      </c>
      <c r="N216" s="46">
        <f>K216*'Tier 1 Coefficients'!C$45</f>
        <v>3.542096269217121</v>
      </c>
      <c r="O216" s="46">
        <f>I216*'Tier 2 FC'!D$34</f>
        <v>44854.977265412897</v>
      </c>
      <c r="P216" s="46">
        <f t="shared" si="14"/>
        <v>44.854977265412899</v>
      </c>
      <c r="Q216" s="46">
        <f>P216*'Tier 1 Coefficients'!D$4</f>
        <v>142.14542295409348</v>
      </c>
      <c r="R216" s="46">
        <f>$I216*'T2 HDV'!D14</f>
        <v>0.83922215528837019</v>
      </c>
      <c r="S216" s="121">
        <f>$I216*'T2 HDV'!E14</f>
        <v>140.64205774832686</v>
      </c>
      <c r="T216" s="46">
        <f>44.011*(P216/(12.011+1.008*'Tier 3 CO2 Tables'!B$4+16*'Tier 3 CO2 Tables'!C$4))</f>
        <v>142.1668921543386</v>
      </c>
      <c r="U216" s="46">
        <f>I216*'Tier 3 CO2 Tables'!H$15/10000</f>
        <v>4.514436421551233E-2</v>
      </c>
      <c r="V216" s="46">
        <f>44.011*(U216/(12.011+1.008*'Tier 3 CO2 Tables'!B$6+16*'Tier 3 CO2 Tables'!C$6))</f>
        <v>0.14083493862112395</v>
      </c>
      <c r="W216" s="46">
        <f>I216*'T3 Methane'!D$29</f>
        <v>24597.890758452231</v>
      </c>
      <c r="X216" s="46" cm="1">
        <f t="array" ref="X216">_xlfn.IFS(E216='Euro Age Table'!C$5,'Euro Age Table'!G$5,E216='Euro Age Table'!C$6,'Euro Age Table'!G$6,E216='Euro Age Table'!C$7,'Euro Age Table'!G$7,E216='Euro Age Table'!C$8,'Euro Age Table'!G$8,E216='Euro Age Table'!C$9,'Euro Age Table'!G$9,E216='Euro Age Table'!C$10,'Euro Age Table'!G$10,E216='Euro Age Table'!C$11,'Euro Age Table'!G$11)</f>
        <v>16</v>
      </c>
      <c r="Y216" s="46">
        <f>X216*'Eilat Car Data'!F$6</f>
        <v>443200</v>
      </c>
      <c r="Z216" s="46">
        <f>'T3 N2O HDV'!C13</f>
        <v>5</v>
      </c>
      <c r="AA216" s="124">
        <f t="shared" si="15"/>
        <v>1446.9347504971902</v>
      </c>
    </row>
    <row r="217" spans="1:27" ht="12.5">
      <c r="A217" s="58" t="s">
        <v>75</v>
      </c>
      <c r="B217" s="49" t="s">
        <v>22</v>
      </c>
      <c r="C217" s="49" t="s">
        <v>79</v>
      </c>
      <c r="D217" s="56" t="s">
        <v>86</v>
      </c>
      <c r="E217" s="50" t="s">
        <v>58</v>
      </c>
      <c r="F217" s="97">
        <v>3.3008474925937234E-5</v>
      </c>
      <c r="G217" s="99">
        <f t="shared" si="12"/>
        <v>2.0894364628118268E-2</v>
      </c>
      <c r="H217" s="46"/>
      <c r="I217" s="46">
        <f>G217*'Eilat Car Data'!F$6</f>
        <v>578.77390019887605</v>
      </c>
      <c r="J217" s="46">
        <f>I217*'Tier 1 Coefficients'!I$10</f>
        <v>138905.73604773026</v>
      </c>
      <c r="K217" s="46">
        <f t="shared" si="13"/>
        <v>138.90573604773024</v>
      </c>
      <c r="L217" s="46">
        <f>K217*'Tier 1 Coefficients'!D$4</f>
        <v>440.19227753525718</v>
      </c>
      <c r="M217" s="46">
        <f>K217*'Tier 1 Coefficients'!C$21</f>
        <v>352.82056956123483</v>
      </c>
      <c r="N217" s="46">
        <f>K217*'Tier 1 Coefficients'!C$45</f>
        <v>7.0841925384342419</v>
      </c>
      <c r="O217" s="46">
        <f>I217*'Tier 2 FC'!D$34</f>
        <v>89709.954530825795</v>
      </c>
      <c r="P217" s="46">
        <f t="shared" si="14"/>
        <v>89.709954530825797</v>
      </c>
      <c r="Q217" s="46">
        <f>P217*'Tier 1 Coefficients'!D$4</f>
        <v>284.29084590818695</v>
      </c>
      <c r="R217" s="46">
        <f>$I217*'T2 HDV'!D15</f>
        <v>1.6784443105767404</v>
      </c>
      <c r="S217" s="121">
        <f>$I217*'T2 HDV'!E15</f>
        <v>281.28411549665373</v>
      </c>
      <c r="T217" s="46">
        <f>44.011*(P217/(12.011+1.008*'Tier 3 CO2 Tables'!B$4+16*'Tier 3 CO2 Tables'!C$4))</f>
        <v>284.3337843086772</v>
      </c>
      <c r="U217" s="46">
        <f>I217*'Tier 3 CO2 Tables'!H$15/10000</f>
        <v>9.0288728431024659E-2</v>
      </c>
      <c r="V217" s="46">
        <f>44.011*(U217/(12.011+1.008*'Tier 3 CO2 Tables'!B$6+16*'Tier 3 CO2 Tables'!C$6))</f>
        <v>0.2816698772422479</v>
      </c>
      <c r="W217" s="46">
        <f>I217*'T3 Methane'!D$29</f>
        <v>49195.781516904462</v>
      </c>
      <c r="X217" s="46" cm="1">
        <f t="array" ref="X217">_xlfn.IFS(E217='Euro Age Table'!C$5,'Euro Age Table'!G$5,E217='Euro Age Table'!C$6,'Euro Age Table'!G$6,E217='Euro Age Table'!C$7,'Euro Age Table'!G$7,E217='Euro Age Table'!C$8,'Euro Age Table'!G$8,E217='Euro Age Table'!C$9,'Euro Age Table'!G$9,E217='Euro Age Table'!C$10,'Euro Age Table'!G$10,E217='Euro Age Table'!C$11,'Euro Age Table'!G$11)</f>
        <v>13</v>
      </c>
      <c r="Y217" s="46">
        <f>X217*'Eilat Car Data'!F$6</f>
        <v>360100</v>
      </c>
      <c r="Z217" s="46">
        <f>'T3 N2O HDV'!C14</f>
        <v>11.2</v>
      </c>
      <c r="AA217" s="124">
        <f t="shared" si="15"/>
        <v>6482.2676822274116</v>
      </c>
    </row>
    <row r="218" spans="1:27" ht="12.5">
      <c r="A218" s="58" t="s">
        <v>75</v>
      </c>
      <c r="B218" s="49" t="s">
        <v>22</v>
      </c>
      <c r="C218" s="49" t="s">
        <v>79</v>
      </c>
      <c r="D218" s="57" t="s">
        <v>86</v>
      </c>
      <c r="E218" s="51" t="s">
        <v>60</v>
      </c>
      <c r="F218" s="97">
        <v>7.5094280456507211E-4</v>
      </c>
      <c r="G218" s="99">
        <f t="shared" si="12"/>
        <v>0.47534679528969065</v>
      </c>
      <c r="H218" s="46"/>
      <c r="I218" s="46">
        <f>G218*'Eilat Car Data'!F$6</f>
        <v>13167.10622952443</v>
      </c>
      <c r="J218" s="46">
        <f>I218*'Tier 1 Coefficients'!I$10</f>
        <v>3160105.4950858634</v>
      </c>
      <c r="K218" s="46">
        <f t="shared" si="13"/>
        <v>3160.1054950858634</v>
      </c>
      <c r="L218" s="46">
        <f>K218*'Tier 1 Coefficients'!D$4</f>
        <v>10014.374313927101</v>
      </c>
      <c r="M218" s="46">
        <f>K218*'Tier 1 Coefficients'!C$21</f>
        <v>8026.6679575180933</v>
      </c>
      <c r="N218" s="46">
        <f>K218*'Tier 1 Coefficients'!C$45</f>
        <v>161.16538024937901</v>
      </c>
      <c r="O218" s="46">
        <f>I218*'Tier 2 FC'!D$34</f>
        <v>2040901.4655762867</v>
      </c>
      <c r="P218" s="46">
        <f t="shared" si="14"/>
        <v>2040.9014655762867</v>
      </c>
      <c r="Q218" s="46">
        <f>P218*'Tier 1 Coefficients'!D$4</f>
        <v>6467.6167444112525</v>
      </c>
      <c r="R218" s="46">
        <f>$I218*'T2 HDV'!D16</f>
        <v>144.83816852476872</v>
      </c>
      <c r="S218" s="121">
        <f>$I218*'T2 HDV'!E16</f>
        <v>6399.2136275488729</v>
      </c>
      <c r="T218" s="46">
        <f>44.011*(P218/(12.011+1.008*'Tier 3 CO2 Tables'!B$4+16*'Tier 3 CO2 Tables'!C$4))</f>
        <v>6468.593593022405</v>
      </c>
      <c r="U218" s="46">
        <f>I218*'Tier 3 CO2 Tables'!H$15/10000</f>
        <v>2.0540685718058111</v>
      </c>
      <c r="V218" s="46">
        <f>44.011*(U218/(12.011+1.008*'Tier 3 CO2 Tables'!B$6+16*'Tier 3 CO2 Tables'!C$6))</f>
        <v>6.4079897072611409</v>
      </c>
      <c r="W218" s="46">
        <f>I218*'T3 Methane'!D$29</f>
        <v>1119204.0295095765</v>
      </c>
      <c r="X218" s="46" cm="1">
        <f t="array" ref="X218">_xlfn.IFS(E218='Euro Age Table'!C$5,'Euro Age Table'!G$5,E218='Euro Age Table'!C$6,'Euro Age Table'!G$6,E218='Euro Age Table'!C$7,'Euro Age Table'!G$7,E218='Euro Age Table'!C$8,'Euro Age Table'!G$8,E218='Euro Age Table'!C$9,'Euro Age Table'!G$9,E218='Euro Age Table'!C$10,'Euro Age Table'!G$10,E218='Euro Age Table'!C$11,'Euro Age Table'!G$11)</f>
        <v>3</v>
      </c>
      <c r="Y218" s="46">
        <f>X218*'Eilat Car Data'!F$6</f>
        <v>83100</v>
      </c>
      <c r="Z218" s="46">
        <f>'T3 N2O HDV'!C15</f>
        <v>29.8</v>
      </c>
      <c r="AA218" s="124">
        <f t="shared" si="15"/>
        <v>392379.76563982805</v>
      </c>
    </row>
    <row r="219" spans="1:27" ht="12.5">
      <c r="A219" s="58" t="s">
        <v>75</v>
      </c>
      <c r="B219" s="49" t="s">
        <v>22</v>
      </c>
      <c r="C219" s="49" t="s">
        <v>79</v>
      </c>
      <c r="D219" s="56" t="s">
        <v>80</v>
      </c>
      <c r="E219" s="50" t="s">
        <v>54</v>
      </c>
      <c r="F219" s="97">
        <v>2.4756356194452928E-4</v>
      </c>
      <c r="G219" s="99">
        <f t="shared" si="12"/>
        <v>0.15670773471088703</v>
      </c>
      <c r="H219" s="46"/>
      <c r="I219" s="46">
        <f>G219*'Eilat Car Data'!F$6</f>
        <v>4340.8042514915705</v>
      </c>
      <c r="J219" s="46">
        <f>I219*'Tier 1 Coefficients'!I$10</f>
        <v>1041793.0203579769</v>
      </c>
      <c r="K219" s="46">
        <f t="shared" si="13"/>
        <v>1041.793020357977</v>
      </c>
      <c r="L219" s="46">
        <f>K219*'Tier 1 Coefficients'!D$4</f>
        <v>3301.442081514429</v>
      </c>
      <c r="M219" s="46">
        <f>K219*'Tier 1 Coefficients'!C$21</f>
        <v>2646.1542717092616</v>
      </c>
      <c r="N219" s="46">
        <f>K219*'Tier 1 Coefficients'!C$45</f>
        <v>53.131444038256824</v>
      </c>
      <c r="O219" s="46">
        <f>I219*'Tier 2 FC'!D35</f>
        <v>1089541.8671243843</v>
      </c>
      <c r="P219" s="46">
        <f t="shared" si="14"/>
        <v>1089.5418671243842</v>
      </c>
      <c r="Q219" s="46">
        <f>P219*'Tier 1 Coefficients'!D$4</f>
        <v>3452.7581769171738</v>
      </c>
      <c r="R219" s="46">
        <f>$I219*'T2 HDV'!D19</f>
        <v>12.588332329325553</v>
      </c>
      <c r="S219" s="121">
        <f>$I219*'T2 HDV'!E19</f>
        <v>2109.630866224903</v>
      </c>
      <c r="T219" s="46">
        <f>44.011*(P219/(12.011+1.008*'Tier 3 CO2 Tables'!B$4+16*'Tier 3 CO2 Tables'!C$4))</f>
        <v>3453.2796707166758</v>
      </c>
      <c r="U219" s="46">
        <f>I219*'Tier 3 CO2 Tables'!H$15/10000</f>
        <v>0.67716546323268501</v>
      </c>
      <c r="V219" s="46">
        <f>44.011*(U219/(12.011+1.008*'Tier 3 CO2 Tables'!B$6+16*'Tier 3 CO2 Tables'!C$6))</f>
        <v>2.1125240793168598</v>
      </c>
      <c r="W219" s="46">
        <f>I219*'T3 Methane'!D$30</f>
        <v>759640.74401102483</v>
      </c>
      <c r="X219" s="46" cm="1">
        <f t="array" ref="X219">_xlfn.IFS(E219='Euro Age Table'!C$5,'Euro Age Table'!G$5,E219='Euro Age Table'!C$6,'Euro Age Table'!G$6,E219='Euro Age Table'!C$7,'Euro Age Table'!G$7,E219='Euro Age Table'!C$8,'Euro Age Table'!G$8,E219='Euro Age Table'!C$9,'Euro Age Table'!G$9,E219='Euro Age Table'!C$10,'Euro Age Table'!G$10,E219='Euro Age Table'!C$11,'Euro Age Table'!G$11)</f>
        <v>27</v>
      </c>
      <c r="Y219" s="46">
        <f>X219*'Eilat Car Data'!F$6</f>
        <v>747900</v>
      </c>
      <c r="Z219" s="46">
        <f>'T3 N2O HDV'!C10</f>
        <v>30</v>
      </c>
      <c r="AA219" s="124">
        <f t="shared" si="15"/>
        <v>130224.12754474711</v>
      </c>
    </row>
    <row r="220" spans="1:27" ht="12.5">
      <c r="A220" s="58" t="s">
        <v>75</v>
      </c>
      <c r="B220" s="49" t="s">
        <v>22</v>
      </c>
      <c r="C220" s="49" t="s">
        <v>79</v>
      </c>
      <c r="D220" s="56" t="s">
        <v>80</v>
      </c>
      <c r="E220" s="50" t="s">
        <v>55</v>
      </c>
      <c r="F220" s="97">
        <v>5.0337924262054278E-4</v>
      </c>
      <c r="G220" s="99">
        <f t="shared" si="12"/>
        <v>0.31863906057880359</v>
      </c>
      <c r="H220" s="46"/>
      <c r="I220" s="46">
        <f>G220*'Eilat Car Data'!F$6</f>
        <v>8826.3019780328596</v>
      </c>
      <c r="J220" s="46">
        <f>I220*'Tier 1 Coefficients'!I$10</f>
        <v>2118312.4747278863</v>
      </c>
      <c r="K220" s="46">
        <f t="shared" si="13"/>
        <v>2118.3124747278862</v>
      </c>
      <c r="L220" s="46">
        <f>K220*'Tier 1 Coefficients'!D$4</f>
        <v>6712.9322324126715</v>
      </c>
      <c r="M220" s="46">
        <f>K220*'Tier 1 Coefficients'!C$21</f>
        <v>5380.5136858088308</v>
      </c>
      <c r="N220" s="46">
        <f>K220*'Tier 1 Coefficients'!C$45</f>
        <v>108.03393621112218</v>
      </c>
      <c r="O220" s="46">
        <f>I220*'Tier 2 FC'!D$36</f>
        <v>1853523.4153869005</v>
      </c>
      <c r="P220" s="46">
        <f t="shared" si="14"/>
        <v>1853.5234153869005</v>
      </c>
      <c r="Q220" s="46">
        <f>P220*'Tier 1 Coefficients'!D$4</f>
        <v>5873.8157033610878</v>
      </c>
      <c r="R220" s="46">
        <f>$I220*'T2 HDV'!D20</f>
        <v>25.59627573629529</v>
      </c>
      <c r="S220" s="121">
        <f>$I220*'T2 HDV'!E20</f>
        <v>4289.5827613239699</v>
      </c>
      <c r="T220" s="46">
        <f>44.011*(P220/(12.011+1.008*'Tier 3 CO2 Tables'!B$4+16*'Tier 3 CO2 Tables'!C$4))</f>
        <v>5874.7028661196036</v>
      </c>
      <c r="U220" s="46">
        <f>I220*'Tier 3 CO2 Tables'!H$15/10000</f>
        <v>1.3769031085731263</v>
      </c>
      <c r="V220" s="46">
        <f>44.011*(U220/(12.011+1.008*'Tier 3 CO2 Tables'!B$6+16*'Tier 3 CO2 Tables'!C$6))</f>
        <v>4.2954656279442816</v>
      </c>
      <c r="W220" s="46">
        <f>I220*'T3 Methane'!D$30</f>
        <v>1544602.8461557503</v>
      </c>
      <c r="X220" s="46" cm="1">
        <f t="array" ref="X220">_xlfn.IFS(E220='Euro Age Table'!C$5,'Euro Age Table'!G$5,E220='Euro Age Table'!C$6,'Euro Age Table'!G$6,E220='Euro Age Table'!C$7,'Euro Age Table'!G$7,E220='Euro Age Table'!C$8,'Euro Age Table'!G$8,E220='Euro Age Table'!C$9,'Euro Age Table'!G$9,E220='Euro Age Table'!C$10,'Euro Age Table'!G$10,E220='Euro Age Table'!C$11,'Euro Age Table'!G$11)</f>
        <v>23</v>
      </c>
      <c r="Y220" s="46">
        <f>X220*'Eilat Car Data'!F$6</f>
        <v>637100</v>
      </c>
      <c r="Z220" s="46">
        <f>'T3 N2O HDV'!C11</f>
        <v>11</v>
      </c>
      <c r="AA220" s="124">
        <f t="shared" si="15"/>
        <v>97089.321758361461</v>
      </c>
    </row>
    <row r="221" spans="1:27" ht="12.5">
      <c r="A221" s="58" t="s">
        <v>75</v>
      </c>
      <c r="B221" s="49" t="s">
        <v>22</v>
      </c>
      <c r="C221" s="49" t="s">
        <v>79</v>
      </c>
      <c r="D221" s="56" t="s">
        <v>80</v>
      </c>
      <c r="E221" s="50" t="s">
        <v>56</v>
      </c>
      <c r="F221" s="97">
        <v>3.4328813922974723E-3</v>
      </c>
      <c r="G221" s="99">
        <f t="shared" si="12"/>
        <v>2.1730139213243</v>
      </c>
      <c r="H221" s="46"/>
      <c r="I221" s="46">
        <f>G221*'Eilat Car Data'!F$6</f>
        <v>60192.48562068311</v>
      </c>
      <c r="J221" s="46">
        <f>I221*'Tier 1 Coefficients'!I$10</f>
        <v>14446196.548963947</v>
      </c>
      <c r="K221" s="46">
        <f t="shared" si="13"/>
        <v>14446.196548963948</v>
      </c>
      <c r="L221" s="46">
        <f>K221*'Tier 1 Coefficients'!D$4</f>
        <v>45779.996863666755</v>
      </c>
      <c r="M221" s="46">
        <f>K221*'Tier 1 Coefficients'!C$21</f>
        <v>36693.339234368425</v>
      </c>
      <c r="N221" s="46">
        <f>K221*'Tier 1 Coefficients'!C$45</f>
        <v>736.75602399716126</v>
      </c>
      <c r="O221" s="46">
        <f>I221*'Tier 2 FC'!D$36</f>
        <v>12640421.980343454</v>
      </c>
      <c r="P221" s="46">
        <f t="shared" si="14"/>
        <v>12640.421980343453</v>
      </c>
      <c r="Q221" s="46">
        <f>P221*'Tier 1 Coefficients'!D$4</f>
        <v>40057.497255708404</v>
      </c>
      <c r="R221" s="46">
        <f>$I221*'T2 HDV'!D21</f>
        <v>174.558208299981</v>
      </c>
      <c r="S221" s="121">
        <f>$I221*'T2 HDV'!E21</f>
        <v>29253.54801165199</v>
      </c>
      <c r="T221" s="46">
        <f>44.011*(P221/(12.011+1.008*'Tier 3 CO2 Tables'!B$4+16*'Tier 3 CO2 Tables'!C$4))</f>
        <v>40063.547414848443</v>
      </c>
      <c r="U221" s="46">
        <f>I221*'Tier 3 CO2 Tables'!H$15/10000</f>
        <v>9.3900277568265658</v>
      </c>
      <c r="V221" s="46">
        <f>44.011*(U221/(12.011+1.008*'Tier 3 CO2 Tables'!B$6+16*'Tier 3 CO2 Tables'!C$6))</f>
        <v>29.293667233193791</v>
      </c>
      <c r="W221" s="46">
        <f>I221*'T3 Methane'!D$30</f>
        <v>10533684.983619545</v>
      </c>
      <c r="X221" s="46" cm="1">
        <f t="array" ref="X221">_xlfn.IFS(E221='Euro Age Table'!C$5,'Euro Age Table'!G$5,E221='Euro Age Table'!C$6,'Euro Age Table'!G$6,E221='Euro Age Table'!C$7,'Euro Age Table'!G$7,E221='Euro Age Table'!C$8,'Euro Age Table'!G$8,E221='Euro Age Table'!C$9,'Euro Age Table'!G$9,E221='Euro Age Table'!C$10,'Euro Age Table'!G$10,E221='Euro Age Table'!C$11,'Euro Age Table'!G$11)</f>
        <v>18</v>
      </c>
      <c r="Y221" s="46">
        <f>X221*'Eilat Car Data'!F$6</f>
        <v>498600</v>
      </c>
      <c r="Z221" s="46">
        <f>'T3 N2O HDV'!C12</f>
        <v>11</v>
      </c>
      <c r="AA221" s="124">
        <f t="shared" si="15"/>
        <v>662117.34182751423</v>
      </c>
    </row>
    <row r="222" spans="1:27" ht="12.5">
      <c r="A222" s="58" t="s">
        <v>75</v>
      </c>
      <c r="B222" s="49" t="s">
        <v>22</v>
      </c>
      <c r="C222" s="49" t="s">
        <v>79</v>
      </c>
      <c r="D222" s="56" t="s">
        <v>80</v>
      </c>
      <c r="E222" s="50" t="s">
        <v>57</v>
      </c>
      <c r="F222" s="97">
        <v>1.0447182314059134E-2</v>
      </c>
      <c r="G222" s="99">
        <f t="shared" si="12"/>
        <v>6.6130664047994321</v>
      </c>
      <c r="H222" s="46"/>
      <c r="I222" s="46">
        <f>G222*'Eilat Car Data'!F$6</f>
        <v>183181.93941294428</v>
      </c>
      <c r="J222" s="46">
        <f>I222*'Tier 1 Coefficients'!I$10</f>
        <v>43963665.459106624</v>
      </c>
      <c r="K222" s="46">
        <f t="shared" si="13"/>
        <v>43963.665459106625</v>
      </c>
      <c r="L222" s="46">
        <f>K222*'Tier 1 Coefficients'!D$4</f>
        <v>139320.85583990891</v>
      </c>
      <c r="M222" s="46">
        <f>K222*'Tier 1 Coefficients'!C$21</f>
        <v>111667.71026613083</v>
      </c>
      <c r="N222" s="46">
        <f>K222*'Tier 1 Coefficients'!C$45</f>
        <v>2242.146938414438</v>
      </c>
      <c r="O222" s="46">
        <f>I222*'Tier 2 FC'!D$36</f>
        <v>38468207.276718296</v>
      </c>
      <c r="P222" s="46">
        <f t="shared" si="14"/>
        <v>38468.207276718298</v>
      </c>
      <c r="Q222" s="46">
        <f>P222*'Tier 1 Coefficients'!D$4</f>
        <v>121905.74885992029</v>
      </c>
      <c r="R222" s="46">
        <f>$I222*'T2 HDV'!D22</f>
        <v>531.22762429753834</v>
      </c>
      <c r="S222" s="121">
        <f>$I222*'T2 HDV'!E22</f>
        <v>89026.422554690915</v>
      </c>
      <c r="T222" s="46">
        <f>44.011*(P222/(12.011+1.008*'Tier 3 CO2 Tables'!B$4+16*'Tier 3 CO2 Tables'!C$4))</f>
        <v>121924.16112307244</v>
      </c>
      <c r="U222" s="46">
        <f>I222*'Tier 3 CO2 Tables'!H$15/10000</f>
        <v>28.576382548419311</v>
      </c>
      <c r="V222" s="46">
        <f>44.011*(U222/(12.011+1.008*'Tier 3 CO2 Tables'!B$6+16*'Tier 3 CO2 Tables'!C$6))</f>
        <v>89.148516147171478</v>
      </c>
      <c r="W222" s="46">
        <f>I222*'T3 Methane'!D$30</f>
        <v>32056839.397265248</v>
      </c>
      <c r="X222" s="46" cm="1">
        <f t="array" ref="X222">_xlfn.IFS(E222='Euro Age Table'!C$5,'Euro Age Table'!G$5,E222='Euro Age Table'!C$6,'Euro Age Table'!G$6,E222='Euro Age Table'!C$7,'Euro Age Table'!G$7,E222='Euro Age Table'!C$8,'Euro Age Table'!G$8,E222='Euro Age Table'!C$9,'Euro Age Table'!G$9,E222='Euro Age Table'!C$10,'Euro Age Table'!G$10,E222='Euro Age Table'!C$11,'Euro Age Table'!G$11)</f>
        <v>16</v>
      </c>
      <c r="Y222" s="46">
        <f>X222*'Eilat Car Data'!F$6</f>
        <v>443200</v>
      </c>
      <c r="Z222" s="46">
        <f>'T3 N2O HDV'!C13</f>
        <v>5</v>
      </c>
      <c r="AA222" s="124">
        <f t="shared" si="15"/>
        <v>915909.69706472137</v>
      </c>
    </row>
    <row r="223" spans="1:27" ht="12.5">
      <c r="A223" s="58" t="s">
        <v>75</v>
      </c>
      <c r="B223" s="49" t="s">
        <v>22</v>
      </c>
      <c r="C223" s="49" t="s">
        <v>79</v>
      </c>
      <c r="D223" s="56" t="s">
        <v>80</v>
      </c>
      <c r="E223" s="50" t="s">
        <v>58</v>
      </c>
      <c r="F223" s="97">
        <v>1.4515476848680899E-2</v>
      </c>
      <c r="G223" s="99">
        <f t="shared" si="12"/>
        <v>9.1882968452150084</v>
      </c>
      <c r="H223" s="46"/>
      <c r="I223" s="46">
        <f>G223*'Eilat Car Data'!F$6</f>
        <v>254515.82261245573</v>
      </c>
      <c r="J223" s="46">
        <f>I223*'Tier 1 Coefficients'!I$10</f>
        <v>61083797.426989377</v>
      </c>
      <c r="K223" s="46">
        <f t="shared" si="13"/>
        <v>61083.797426989375</v>
      </c>
      <c r="L223" s="46">
        <f>K223*'Tier 1 Coefficients'!D$4</f>
        <v>193574.55404612934</v>
      </c>
      <c r="M223" s="46">
        <f>K223*'Tier 1 Coefficients'!C$21</f>
        <v>155152.84546455301</v>
      </c>
      <c r="N223" s="46">
        <f>K223*'Tier 1 Coefficients'!C$45</f>
        <v>3115.2736687764577</v>
      </c>
      <c r="O223" s="46">
        <f>I223*'Tier 2 FC'!D$36</f>
        <v>53448322.748615704</v>
      </c>
      <c r="P223" s="46">
        <f t="shared" si="14"/>
        <v>53448.322748615705</v>
      </c>
      <c r="Q223" s="46">
        <f>P223*'Tier 1 Coefficients'!D$4</f>
        <v>169377.73479036317</v>
      </c>
      <c r="R223" s="46">
        <f>$I223*'T2 HDV'!D23</f>
        <v>738.09588557612153</v>
      </c>
      <c r="S223" s="121">
        <f>$I223*'T2 HDV'!E23</f>
        <v>123694.68978965348</v>
      </c>
      <c r="T223" s="46">
        <f>44.011*(P223/(12.011+1.008*'Tier 3 CO2 Tables'!B$4+16*'Tier 3 CO2 Tables'!C$4))</f>
        <v>169403.31707384234</v>
      </c>
      <c r="U223" s="46">
        <f>I223*'Tier 3 CO2 Tables'!H$15/10000</f>
        <v>39.70446832754309</v>
      </c>
      <c r="V223" s="46">
        <f>44.011*(U223/(12.011+1.008*'Tier 3 CO2 Tables'!B$6+16*'Tier 3 CO2 Tables'!C$6))</f>
        <v>123.86432851727851</v>
      </c>
      <c r="W223" s="46">
        <f>I223*'T3 Methane'!D$30</f>
        <v>44540268.957179755</v>
      </c>
      <c r="X223" s="46" cm="1">
        <f t="array" ref="X223">_xlfn.IFS(E223='Euro Age Table'!C$5,'Euro Age Table'!G$5,E223='Euro Age Table'!C$6,'Euro Age Table'!G$6,E223='Euro Age Table'!C$7,'Euro Age Table'!G$7,E223='Euro Age Table'!C$8,'Euro Age Table'!G$8,E223='Euro Age Table'!C$9,'Euro Age Table'!G$9,E223='Euro Age Table'!C$10,'Euro Age Table'!G$10,E223='Euro Age Table'!C$11,'Euro Age Table'!G$11)</f>
        <v>13</v>
      </c>
      <c r="Y223" s="46">
        <f>X223*'Eilat Car Data'!F$6</f>
        <v>360100</v>
      </c>
      <c r="Z223" s="46">
        <f>'T3 N2O HDV'!C14</f>
        <v>11.2</v>
      </c>
      <c r="AA223" s="124">
        <f t="shared" si="15"/>
        <v>2850577.2132595042</v>
      </c>
    </row>
    <row r="224" spans="1:27" ht="12.5">
      <c r="A224" s="58" t="s">
        <v>75</v>
      </c>
      <c r="B224" s="49" t="s">
        <v>22</v>
      </c>
      <c r="C224" s="49" t="s">
        <v>79</v>
      </c>
      <c r="D224" s="56" t="s">
        <v>80</v>
      </c>
      <c r="E224" s="50" t="s">
        <v>59</v>
      </c>
      <c r="F224" s="97">
        <v>2.924550878438039E-2</v>
      </c>
      <c r="G224" s="99">
        <f t="shared" si="12"/>
        <v>18.512407060512786</v>
      </c>
      <c r="H224" s="46"/>
      <c r="I224" s="46">
        <f>G224*'Eilat Car Data'!F$6</f>
        <v>512793.67557620414</v>
      </c>
      <c r="J224" s="46">
        <f>I224*'Tier 1 Coefficients'!I$10</f>
        <v>123070482.13828899</v>
      </c>
      <c r="K224" s="46">
        <f t="shared" si="13"/>
        <v>123070.48213828899</v>
      </c>
      <c r="L224" s="46">
        <f>K224*'Tier 1 Coefficients'!D$4</f>
        <v>390010.35789623781</v>
      </c>
      <c r="M224" s="46">
        <f>K224*'Tier 1 Coefficients'!C$21</f>
        <v>312599.02463125403</v>
      </c>
      <c r="N224" s="46">
        <f>K224*'Tier 1 Coefficients'!C$45</f>
        <v>6276.5945890527382</v>
      </c>
      <c r="O224" s="46">
        <f>I224*'Tier 2 FC'!D$36</f>
        <v>107686671.87100287</v>
      </c>
      <c r="P224" s="46">
        <f t="shared" si="14"/>
        <v>107686.67187100287</v>
      </c>
      <c r="Q224" s="46">
        <f>P224*'Tier 1 Coefficients'!D$4</f>
        <v>341259.0631592081</v>
      </c>
      <c r="R224" s="46">
        <f>$I224*'T2 HDV'!D24</f>
        <v>5640.7304313382456</v>
      </c>
      <c r="S224" s="121">
        <f>$I224*'T2 HDV'!E24</f>
        <v>249217.72633003522</v>
      </c>
      <c r="T224" s="46">
        <f>44.011*(P224/(12.011+1.008*'Tier 3 CO2 Tables'!B$4+16*'Tier 3 CO2 Tables'!C$4))</f>
        <v>341310.60586111265</v>
      </c>
      <c r="U224" s="46">
        <f>I224*'Tier 3 CO2 Tables'!H$15/10000</f>
        <v>79.995813389887843</v>
      </c>
      <c r="V224" s="46">
        <f>44.011*(U224/(12.011+1.008*'Tier 3 CO2 Tables'!B$6+16*'Tier 3 CO2 Tables'!C$6))</f>
        <v>249.55951123663166</v>
      </c>
      <c r="W224" s="46">
        <f>I224*'T3 Methane'!D$30</f>
        <v>89738893.225835726</v>
      </c>
      <c r="X224" s="46" cm="1">
        <f t="array" ref="X224">_xlfn.IFS(E224='Euro Age Table'!C$5,'Euro Age Table'!G$5,E224='Euro Age Table'!C$6,'Euro Age Table'!G$6,E224='Euro Age Table'!C$7,'Euro Age Table'!G$7,E224='Euro Age Table'!C$8,'Euro Age Table'!G$8,E224='Euro Age Table'!C$9,'Euro Age Table'!G$9,E224='Euro Age Table'!C$10,'Euro Age Table'!G$10,E224='Euro Age Table'!C$11,'Euro Age Table'!G$11)</f>
        <v>9</v>
      </c>
      <c r="Y224" s="46">
        <f>X224*'Eilat Car Data'!F$6</f>
        <v>249300</v>
      </c>
      <c r="Z224" s="46">
        <f>'T3 N2O HDV'!C15</f>
        <v>29.8</v>
      </c>
      <c r="AA224" s="124">
        <f t="shared" si="15"/>
        <v>15281251.532170884</v>
      </c>
    </row>
    <row r="225" spans="1:27" ht="12.5">
      <c r="A225" s="58" t="s">
        <v>75</v>
      </c>
      <c r="B225" s="49" t="s">
        <v>22</v>
      </c>
      <c r="C225" s="49" t="s">
        <v>79</v>
      </c>
      <c r="D225" s="57" t="s">
        <v>80</v>
      </c>
      <c r="E225" s="50" t="s">
        <v>60</v>
      </c>
      <c r="F225" s="97">
        <v>5.0296663668396864E-2</v>
      </c>
      <c r="G225" s="99">
        <f t="shared" si="12"/>
        <v>31.837788102095214</v>
      </c>
      <c r="H225" s="46"/>
      <c r="I225" s="46">
        <f>G225*'Eilat Car Data'!F$6</f>
        <v>881906.73042803747</v>
      </c>
      <c r="J225" s="46">
        <f>I225*'Tier 1 Coefficients'!I$10</f>
        <v>211657615.30272898</v>
      </c>
      <c r="K225" s="46">
        <f t="shared" si="13"/>
        <v>211657.61530272898</v>
      </c>
      <c r="L225" s="46">
        <f>K225*'Tier 1 Coefficients'!D$4</f>
        <v>670742.98289434821</v>
      </c>
      <c r="M225" s="46">
        <f>K225*'Tier 1 Coefficients'!C$21</f>
        <v>537610.34286893159</v>
      </c>
      <c r="N225" s="46">
        <f>K225*'Tier 1 Coefficients'!C$45</f>
        <v>10794.538380439177</v>
      </c>
      <c r="O225" s="46">
        <f>I225*'Tier 2 FC'!D$36</f>
        <v>185200413.38988787</v>
      </c>
      <c r="P225" s="46">
        <f t="shared" si="14"/>
        <v>185200.41338988786</v>
      </c>
      <c r="Q225" s="46">
        <f>P225*'Tier 1 Coefficients'!D$4</f>
        <v>586900.1100325546</v>
      </c>
      <c r="R225" s="46">
        <f>$I225*'T2 HDV'!D25</f>
        <v>7937.1605738523367</v>
      </c>
      <c r="S225" s="121">
        <f>$I225*'T2 HDV'!E25</f>
        <v>428606.67098802619</v>
      </c>
      <c r="T225" s="46">
        <f>44.011*(P225/(12.011+1.008*'Tier 3 CO2 Tables'!B$4+16*'Tier 3 CO2 Tables'!C$4))</f>
        <v>586988.75359014736</v>
      </c>
      <c r="U225" s="46">
        <f>I225*'Tier 3 CO2 Tables'!H$15/10000</f>
        <v>137.57744994677384</v>
      </c>
      <c r="V225" s="46">
        <f>44.011*(U225/(12.011+1.008*'Tier 3 CO2 Tables'!B$6+16*'Tier 3 CO2 Tables'!C$6))</f>
        <v>429.19447544787528</v>
      </c>
      <c r="W225" s="46">
        <f>I225*'T3 Methane'!D$30</f>
        <v>154333677.82490656</v>
      </c>
      <c r="X225" s="46" cm="1">
        <f t="array" ref="X225">_xlfn.IFS(E225='Euro Age Table'!C$5,'Euro Age Table'!G$5,E225='Euro Age Table'!C$6,'Euro Age Table'!G$6,E225='Euro Age Table'!C$7,'Euro Age Table'!G$7,E225='Euro Age Table'!C$8,'Euro Age Table'!G$8,E225='Euro Age Table'!C$9,'Euro Age Table'!G$9,E225='Euro Age Table'!C$10,'Euro Age Table'!G$10,E225='Euro Age Table'!C$11,'Euro Age Table'!G$11)</f>
        <v>3</v>
      </c>
      <c r="Y225" s="46">
        <f>X225*'Eilat Car Data'!F$6</f>
        <v>83100</v>
      </c>
      <c r="Z225" s="46">
        <f>'T3 N2O HDV'!C16</f>
        <v>37</v>
      </c>
      <c r="AA225" s="124">
        <f t="shared" si="15"/>
        <v>32630549.025837388</v>
      </c>
    </row>
    <row r="226" spans="1:27" ht="12.5">
      <c r="A226" s="58" t="s">
        <v>75</v>
      </c>
      <c r="B226" s="49" t="s">
        <v>22</v>
      </c>
      <c r="C226" s="49" t="s">
        <v>79</v>
      </c>
      <c r="D226" s="56" t="s">
        <v>81</v>
      </c>
      <c r="E226" s="50" t="s">
        <v>54</v>
      </c>
      <c r="F226" s="97">
        <v>3.3008474925937234E-4</v>
      </c>
      <c r="G226" s="99">
        <f t="shared" si="12"/>
        <v>0.2089436462811827</v>
      </c>
      <c r="H226" s="46"/>
      <c r="I226" s="46">
        <f>G226*'Eilat Car Data'!F$6</f>
        <v>5787.7390019887607</v>
      </c>
      <c r="J226" s="46">
        <f>I226*'Tier 1 Coefficients'!I$10</f>
        <v>1389057.3604773027</v>
      </c>
      <c r="K226" s="46">
        <f t="shared" si="13"/>
        <v>1389.0573604773026</v>
      </c>
      <c r="L226" s="46">
        <f>K226*'Tier 1 Coefficients'!D$4</f>
        <v>4401.922775352572</v>
      </c>
      <c r="M226" s="46">
        <f>K226*'Tier 1 Coefficients'!C$21</f>
        <v>3528.2056956123488</v>
      </c>
      <c r="N226" s="46">
        <f>K226*'Tier 1 Coefficients'!C$45</f>
        <v>70.841925384342431</v>
      </c>
      <c r="O226" s="46">
        <f>I226*'Tier 2 FC'!D$35</f>
        <v>1452722.4894991789</v>
      </c>
      <c r="P226" s="46">
        <f t="shared" si="14"/>
        <v>1452.7224894991789</v>
      </c>
      <c r="Q226" s="46">
        <f>P226*'Tier 1 Coefficients'!D$4</f>
        <v>4603.6775692228975</v>
      </c>
      <c r="R226" s="46">
        <f>$I226*'T2 HDV'!D19</f>
        <v>16.784443105767405</v>
      </c>
      <c r="S226" s="121">
        <f>$I226*'T2 HDV'!E19</f>
        <v>2812.8411549665375</v>
      </c>
      <c r="T226" s="46">
        <f>44.011*(P226/(12.011+1.008*'Tier 3 CO2 Tables'!B$4+16*'Tier 3 CO2 Tables'!C$4))</f>
        <v>4604.3728942889011</v>
      </c>
      <c r="U226" s="46">
        <f>I226*'Tier 3 CO2 Tables'!H$15/10000</f>
        <v>0.90288728431024667</v>
      </c>
      <c r="V226" s="46">
        <f>44.011*(U226/(12.011+1.008*'Tier 3 CO2 Tables'!B$6+16*'Tier 3 CO2 Tables'!C$6))</f>
        <v>2.8166987724224795</v>
      </c>
      <c r="W226" s="46">
        <f>I226*'T3 Methane'!D$30</f>
        <v>1012854.3253480331</v>
      </c>
      <c r="X226" s="46" cm="1">
        <f t="array" ref="X226">_xlfn.IFS(E226='Euro Age Table'!C$5,'Euro Age Table'!G$5,E226='Euro Age Table'!C$6,'Euro Age Table'!G$6,E226='Euro Age Table'!C$7,'Euro Age Table'!G$7,E226='Euro Age Table'!C$8,'Euro Age Table'!G$8,E226='Euro Age Table'!C$9,'Euro Age Table'!G$9,E226='Euro Age Table'!C$10,'Euro Age Table'!G$10,E226='Euro Age Table'!C$11,'Euro Age Table'!G$11)</f>
        <v>27</v>
      </c>
      <c r="Y226" s="46">
        <f>X226*'Eilat Car Data'!F$6</f>
        <v>747900</v>
      </c>
      <c r="Z226" s="46">
        <f>'T3 N2O HDV'!C10</f>
        <v>30</v>
      </c>
      <c r="AA226" s="124">
        <f t="shared" si="15"/>
        <v>173632.17005966284</v>
      </c>
    </row>
    <row r="227" spans="1:27" ht="12.5">
      <c r="A227" s="58" t="s">
        <v>75</v>
      </c>
      <c r="B227" s="49" t="s">
        <v>22</v>
      </c>
      <c r="C227" s="49" t="s">
        <v>79</v>
      </c>
      <c r="D227" s="56" t="s">
        <v>81</v>
      </c>
      <c r="E227" s="50" t="s">
        <v>55</v>
      </c>
      <c r="F227" s="97">
        <v>5.0337924262054278E-4</v>
      </c>
      <c r="G227" s="99">
        <f t="shared" si="12"/>
        <v>0.31863906057880359</v>
      </c>
      <c r="H227" s="46"/>
      <c r="I227" s="46">
        <f>G227*'Eilat Car Data'!F$6</f>
        <v>8826.3019780328596</v>
      </c>
      <c r="J227" s="46">
        <f>I227*'Tier 1 Coefficients'!I$10</f>
        <v>2118312.4747278863</v>
      </c>
      <c r="K227" s="46">
        <f t="shared" si="13"/>
        <v>2118.3124747278862</v>
      </c>
      <c r="L227" s="46">
        <f>K227*'Tier 1 Coefficients'!D$4</f>
        <v>6712.9322324126715</v>
      </c>
      <c r="M227" s="46">
        <f>K227*'Tier 1 Coefficients'!C$21</f>
        <v>5380.5136858088308</v>
      </c>
      <c r="N227" s="46">
        <f>K227*'Tier 1 Coefficients'!C$45</f>
        <v>108.03393621112218</v>
      </c>
      <c r="O227" s="46">
        <f>I227*'Tier 2 FC'!D$36</f>
        <v>1853523.4153869005</v>
      </c>
      <c r="P227" s="46">
        <f t="shared" si="14"/>
        <v>1853.5234153869005</v>
      </c>
      <c r="Q227" s="46">
        <f>P227*'Tier 1 Coefficients'!D$4</f>
        <v>5873.8157033610878</v>
      </c>
      <c r="R227" s="46">
        <f>$I227*'T2 HDV'!D20</f>
        <v>25.59627573629529</v>
      </c>
      <c r="S227" s="121">
        <f>$I227*'T2 HDV'!E20</f>
        <v>4289.5827613239699</v>
      </c>
      <c r="T227" s="46">
        <f>44.011*(P227/(12.011+1.008*'Tier 3 CO2 Tables'!B$4+16*'Tier 3 CO2 Tables'!C$4))</f>
        <v>5874.7028661196036</v>
      </c>
      <c r="U227" s="46">
        <f>I227*'Tier 3 CO2 Tables'!H$15/10000</f>
        <v>1.3769031085731263</v>
      </c>
      <c r="V227" s="46">
        <f>44.011*(U227/(12.011+1.008*'Tier 3 CO2 Tables'!B$6+16*'Tier 3 CO2 Tables'!C$6))</f>
        <v>4.2954656279442816</v>
      </c>
      <c r="W227" s="46">
        <f>I227*'T3 Methane'!D$30</f>
        <v>1544602.8461557503</v>
      </c>
      <c r="X227" s="46" cm="1">
        <f t="array" ref="X227">_xlfn.IFS(E227='Euro Age Table'!C$5,'Euro Age Table'!G$5,E227='Euro Age Table'!C$6,'Euro Age Table'!G$6,E227='Euro Age Table'!C$7,'Euro Age Table'!G$7,E227='Euro Age Table'!C$8,'Euro Age Table'!G$8,E227='Euro Age Table'!C$9,'Euro Age Table'!G$9,E227='Euro Age Table'!C$10,'Euro Age Table'!G$10,E227='Euro Age Table'!C$11,'Euro Age Table'!G$11)</f>
        <v>23</v>
      </c>
      <c r="Y227" s="46">
        <f>X227*'Eilat Car Data'!F$6</f>
        <v>637100</v>
      </c>
      <c r="Z227" s="46">
        <f>'T3 N2O HDV'!C11</f>
        <v>11</v>
      </c>
      <c r="AA227" s="124">
        <f t="shared" si="15"/>
        <v>97089.321758361461</v>
      </c>
    </row>
    <row r="228" spans="1:27" ht="12.5">
      <c r="A228" s="58" t="s">
        <v>75</v>
      </c>
      <c r="B228" s="49" t="s">
        <v>22</v>
      </c>
      <c r="C228" s="49" t="s">
        <v>79</v>
      </c>
      <c r="D228" s="56" t="s">
        <v>81</v>
      </c>
      <c r="E228" s="50" t="s">
        <v>56</v>
      </c>
      <c r="F228" s="97">
        <v>1.3781038281578796E-3</v>
      </c>
      <c r="G228" s="99">
        <f t="shared" si="12"/>
        <v>0.87233972322393782</v>
      </c>
      <c r="H228" s="46"/>
      <c r="I228" s="46">
        <f>G228*'Eilat Car Data'!F$6</f>
        <v>24163.810333303078</v>
      </c>
      <c r="J228" s="46">
        <f>I228*'Tier 1 Coefficients'!I$10</f>
        <v>5799314.4799927389</v>
      </c>
      <c r="K228" s="46">
        <f t="shared" si="13"/>
        <v>5799.3144799927386</v>
      </c>
      <c r="L228" s="46">
        <f>K228*'Tier 1 Coefficients'!D$4</f>
        <v>18378.027587096989</v>
      </c>
      <c r="M228" s="46">
        <f>K228*'Tier 1 Coefficients'!C$21</f>
        <v>14730.258779181557</v>
      </c>
      <c r="N228" s="46">
        <f>K228*'Tier 1 Coefficients'!C$45</f>
        <v>295.76503847962965</v>
      </c>
      <c r="O228" s="46">
        <f>I228*'Tier 2 FC'!D$36</f>
        <v>5074400.1699936464</v>
      </c>
      <c r="P228" s="46">
        <f t="shared" si="14"/>
        <v>5074.4001699936462</v>
      </c>
      <c r="Q228" s="46">
        <f>P228*'Tier 1 Coefficients'!D$4</f>
        <v>16080.774138709865</v>
      </c>
      <c r="R228" s="46">
        <f>$I228*'T2 HDV'!D21</f>
        <v>70.075049966578916</v>
      </c>
      <c r="S228" s="121">
        <f>$I228*'T2 HDV'!E21</f>
        <v>11743.611821985296</v>
      </c>
      <c r="T228" s="46">
        <f>44.011*(P228/(12.011+1.008*'Tier 3 CO2 Tables'!B$4+16*'Tier 3 CO2 Tables'!C$4))</f>
        <v>16083.20292855695</v>
      </c>
      <c r="U228" s="46">
        <f>I228*'Tier 3 CO2 Tables'!H$15/10000</f>
        <v>3.76955441199528</v>
      </c>
      <c r="V228" s="46">
        <f>44.011*(U228/(12.011+1.008*'Tier 3 CO2 Tables'!B$6+16*'Tier 3 CO2 Tables'!C$6))</f>
        <v>11.759717374863852</v>
      </c>
      <c r="W228" s="46">
        <f>I228*'T3 Methane'!D$30</f>
        <v>4228666.808328039</v>
      </c>
      <c r="X228" s="46" cm="1">
        <f t="array" ref="X228">_xlfn.IFS(E228='Euro Age Table'!C$5,'Euro Age Table'!G$5,E228='Euro Age Table'!C$6,'Euro Age Table'!G$6,E228='Euro Age Table'!C$7,'Euro Age Table'!G$7,E228='Euro Age Table'!C$8,'Euro Age Table'!G$8,E228='Euro Age Table'!C$9,'Euro Age Table'!G$9,E228='Euro Age Table'!C$10,'Euro Age Table'!G$10,E228='Euro Age Table'!C$11,'Euro Age Table'!G$11)</f>
        <v>18</v>
      </c>
      <c r="Y228" s="46">
        <f>X228*'Eilat Car Data'!F$6</f>
        <v>498600</v>
      </c>
      <c r="Z228" s="46">
        <f>'T3 N2O HDV'!C12</f>
        <v>11</v>
      </c>
      <c r="AA228" s="124">
        <f t="shared" si="15"/>
        <v>265801.91366633383</v>
      </c>
    </row>
    <row r="229" spans="1:27" ht="12.5">
      <c r="A229" s="58" t="s">
        <v>75</v>
      </c>
      <c r="B229" s="49" t="s">
        <v>22</v>
      </c>
      <c r="C229" s="49" t="s">
        <v>79</v>
      </c>
      <c r="D229" s="56" t="s">
        <v>81</v>
      </c>
      <c r="E229" s="50" t="s">
        <v>57</v>
      </c>
      <c r="F229" s="97">
        <v>3.3256038487881764E-3</v>
      </c>
      <c r="G229" s="99">
        <f t="shared" si="12"/>
        <v>2.1051072362829157</v>
      </c>
      <c r="H229" s="46"/>
      <c r="I229" s="46">
        <f>G229*'Eilat Car Data'!F$6</f>
        <v>58311.470445036764</v>
      </c>
      <c r="J229" s="46">
        <f>I229*'Tier 1 Coefficients'!I$10</f>
        <v>13994752.906808823</v>
      </c>
      <c r="K229" s="46">
        <f t="shared" si="13"/>
        <v>13994.752906808822</v>
      </c>
      <c r="L229" s="46">
        <f>K229*'Tier 1 Coefficients'!D$4</f>
        <v>44349.371961677156</v>
      </c>
      <c r="M229" s="46">
        <f>K229*'Tier 1 Coefficients'!C$21</f>
        <v>35546.672383294412</v>
      </c>
      <c r="N229" s="46">
        <f>K229*'Tier 1 Coefficients'!C$45</f>
        <v>713.73239824724988</v>
      </c>
      <c r="O229" s="46">
        <f>I229*'Tier 2 FC'!D$36</f>
        <v>12245408.79345772</v>
      </c>
      <c r="P229" s="46">
        <f t="shared" si="14"/>
        <v>12245.40879345772</v>
      </c>
      <c r="Q229" s="46">
        <f>P229*'Tier 1 Coefficients'!D$4</f>
        <v>38805.700466467519</v>
      </c>
      <c r="R229" s="46">
        <f>$I229*'T2 HDV'!D22</f>
        <v>169.1032642906066</v>
      </c>
      <c r="S229" s="121">
        <f>$I229*'T2 HDV'!E22</f>
        <v>28339.374636287866</v>
      </c>
      <c r="T229" s="46">
        <f>44.011*(P229/(12.011+1.008*'Tier 3 CO2 Tables'!B$4+16*'Tier 3 CO2 Tables'!C$4))</f>
        <v>38811.561558134432</v>
      </c>
      <c r="U229" s="46">
        <f>I229*'Tier 3 CO2 Tables'!H$15/10000</f>
        <v>9.0965893894257359</v>
      </c>
      <c r="V229" s="46">
        <f>44.011*(U229/(12.011+1.008*'Tier 3 CO2 Tables'!B$6+16*'Tier 3 CO2 Tables'!C$6))</f>
        <v>28.378240132156485</v>
      </c>
      <c r="W229" s="46">
        <f>I229*'T3 Methane'!D$30</f>
        <v>10204507.327881433</v>
      </c>
      <c r="X229" s="46" cm="1">
        <f t="array" ref="X229">_xlfn.IFS(E229='Euro Age Table'!C$5,'Euro Age Table'!G$5,E229='Euro Age Table'!C$6,'Euro Age Table'!G$6,E229='Euro Age Table'!C$7,'Euro Age Table'!G$7,E229='Euro Age Table'!C$8,'Euro Age Table'!G$8,E229='Euro Age Table'!C$9,'Euro Age Table'!G$9,E229='Euro Age Table'!C$10,'Euro Age Table'!G$10,E229='Euro Age Table'!C$11,'Euro Age Table'!G$11)</f>
        <v>16</v>
      </c>
      <c r="Y229" s="46">
        <f>X229*'Eilat Car Data'!F$6</f>
        <v>443200</v>
      </c>
      <c r="Z229" s="46">
        <f>'T3 N2O HDV'!C13</f>
        <v>5</v>
      </c>
      <c r="AA229" s="124">
        <f t="shared" si="15"/>
        <v>291557.3522251838</v>
      </c>
    </row>
    <row r="230" spans="1:27" ht="12.5">
      <c r="A230" s="58" t="s">
        <v>75</v>
      </c>
      <c r="B230" s="49" t="s">
        <v>22</v>
      </c>
      <c r="C230" s="49" t="s">
        <v>79</v>
      </c>
      <c r="D230" s="56" t="s">
        <v>81</v>
      </c>
      <c r="E230" s="50" t="s">
        <v>58</v>
      </c>
      <c r="F230" s="97">
        <v>5.0007839512794909E-3</v>
      </c>
      <c r="G230" s="99">
        <f t="shared" si="12"/>
        <v>3.1654962411599179</v>
      </c>
      <c r="H230" s="46"/>
      <c r="I230" s="46">
        <f>G230*'Eilat Car Data'!F$6</f>
        <v>87684.245880129733</v>
      </c>
      <c r="J230" s="46">
        <f>I230*'Tier 1 Coefficients'!I$10</f>
        <v>21044219.011231136</v>
      </c>
      <c r="K230" s="46">
        <f t="shared" si="13"/>
        <v>21044.219011231136</v>
      </c>
      <c r="L230" s="46">
        <f>K230*'Tier 1 Coefficients'!D$4</f>
        <v>66689.130046591468</v>
      </c>
      <c r="M230" s="46">
        <f>K230*'Tier 1 Coefficients'!C$21</f>
        <v>53452.316288527087</v>
      </c>
      <c r="N230" s="46">
        <f>K230*'Tier 1 Coefficients'!C$45</f>
        <v>1073.255169572788</v>
      </c>
      <c r="O230" s="46">
        <f>I230*'Tier 2 FC'!D$36</f>
        <v>18413691.634827245</v>
      </c>
      <c r="P230" s="46">
        <f t="shared" si="14"/>
        <v>18413.691634827246</v>
      </c>
      <c r="Q230" s="46">
        <f>P230*'Tier 1 Coefficients'!D$4</f>
        <v>58352.988790767544</v>
      </c>
      <c r="R230" s="46">
        <f>$I230*'T2 HDV'!D23</f>
        <v>254.28431305237621</v>
      </c>
      <c r="S230" s="121">
        <f>$I230*'T2 HDV'!E23</f>
        <v>42614.543497743049</v>
      </c>
      <c r="T230" s="46">
        <f>44.011*(P230/(12.011+1.008*'Tier 3 CO2 Tables'!B$4+16*'Tier 3 CO2 Tables'!C$4))</f>
        <v>58361.802243745595</v>
      </c>
      <c r="U230" s="46">
        <f>I230*'Tier 3 CO2 Tables'!H$15/10000</f>
        <v>13.678742357300239</v>
      </c>
      <c r="V230" s="46">
        <f>44.011*(U230/(12.011+1.008*'Tier 3 CO2 Tables'!B$6+16*'Tier 3 CO2 Tables'!C$6))</f>
        <v>42.672986402200571</v>
      </c>
      <c r="W230" s="46">
        <f>I230*'T3 Methane'!D$30</f>
        <v>15344743.029022703</v>
      </c>
      <c r="X230" s="46" cm="1">
        <f t="array" ref="X230">_xlfn.IFS(E230='Euro Age Table'!C$5,'Euro Age Table'!G$5,E230='Euro Age Table'!C$6,'Euro Age Table'!G$6,E230='Euro Age Table'!C$7,'Euro Age Table'!G$7,E230='Euro Age Table'!C$8,'Euro Age Table'!G$8,E230='Euro Age Table'!C$9,'Euro Age Table'!G$9,E230='Euro Age Table'!C$10,'Euro Age Table'!G$10,E230='Euro Age Table'!C$11,'Euro Age Table'!G$11)</f>
        <v>13</v>
      </c>
      <c r="Y230" s="46">
        <f>X230*'Eilat Car Data'!F$6</f>
        <v>360100</v>
      </c>
      <c r="Z230" s="46">
        <f>'T3 N2O HDV'!C14</f>
        <v>11.2</v>
      </c>
      <c r="AA230" s="124">
        <f t="shared" si="15"/>
        <v>982063.55385745293</v>
      </c>
    </row>
    <row r="231" spans="1:27" ht="12.5">
      <c r="A231" s="58" t="s">
        <v>75</v>
      </c>
      <c r="B231" s="49" t="s">
        <v>22</v>
      </c>
      <c r="C231" s="49" t="s">
        <v>79</v>
      </c>
      <c r="D231" s="56" t="s">
        <v>81</v>
      </c>
      <c r="E231" s="50" t="s">
        <v>59</v>
      </c>
      <c r="F231" s="97">
        <v>1.2114110297818965E-2</v>
      </c>
      <c r="G231" s="99">
        <f t="shared" si="12"/>
        <v>7.6682318185194047</v>
      </c>
      <c r="H231" s="46"/>
      <c r="I231" s="46">
        <f>G231*'Eilat Car Data'!F$6</f>
        <v>212410.02137298751</v>
      </c>
      <c r="J231" s="46">
        <f>I231*'Tier 1 Coefficients'!I$10</f>
        <v>50978405.129517004</v>
      </c>
      <c r="K231" s="46">
        <f t="shared" si="13"/>
        <v>50978.405129517007</v>
      </c>
      <c r="L231" s="46">
        <f>K231*'Tier 1 Coefficients'!D$4</f>
        <v>161550.5658554394</v>
      </c>
      <c r="M231" s="46">
        <f>K231*'Tier 1 Coefficients'!C$21</f>
        <v>129485.1490289732</v>
      </c>
      <c r="N231" s="46">
        <f>K231*'Tier 1 Coefficients'!C$45</f>
        <v>2599.8986616053671</v>
      </c>
      <c r="O231" s="46">
        <f>I231*'Tier 2 FC'!D$36</f>
        <v>44606104.488327377</v>
      </c>
      <c r="P231" s="46">
        <f t="shared" si="14"/>
        <v>44606.104488327379</v>
      </c>
      <c r="Q231" s="46">
        <f>P231*'Tier 1 Coefficients'!D$4</f>
        <v>141356.74512350946</v>
      </c>
      <c r="R231" s="46">
        <f>$I231*'T2 HDV'!D24</f>
        <v>2336.5102351028627</v>
      </c>
      <c r="S231" s="121">
        <f>$I231*'T2 HDV'!E24</f>
        <v>103231.27038727193</v>
      </c>
      <c r="T231" s="46">
        <f>44.011*(P231/(12.011+1.008*'Tier 3 CO2 Tables'!B$4+16*'Tier 3 CO2 Tables'!C$4))</f>
        <v>141378.09520432097</v>
      </c>
      <c r="U231" s="46">
        <f>I231*'Tier 3 CO2 Tables'!H$15/10000</f>
        <v>33.135963334186052</v>
      </c>
      <c r="V231" s="46">
        <f>44.011*(U231/(12.011+1.008*'Tier 3 CO2 Tables'!B$6+16*'Tier 3 CO2 Tables'!C$6))</f>
        <v>103.37284494790499</v>
      </c>
      <c r="W231" s="46">
        <f>I231*'T3 Methane'!D$30</f>
        <v>37171753.740272813</v>
      </c>
      <c r="X231" s="46" cm="1">
        <f t="array" ref="X231">_xlfn.IFS(E231='Euro Age Table'!C$5,'Euro Age Table'!G$5,E231='Euro Age Table'!C$6,'Euro Age Table'!G$6,E231='Euro Age Table'!C$7,'Euro Age Table'!G$7,E231='Euro Age Table'!C$8,'Euro Age Table'!G$8,E231='Euro Age Table'!C$9,'Euro Age Table'!G$9,E231='Euro Age Table'!C$10,'Euro Age Table'!G$10,E231='Euro Age Table'!C$11,'Euro Age Table'!G$11)</f>
        <v>9</v>
      </c>
      <c r="Y231" s="46">
        <f>X231*'Eilat Car Data'!F$6</f>
        <v>249300</v>
      </c>
      <c r="Z231" s="46">
        <f>'T3 N2O HDV'!C15</f>
        <v>29.8</v>
      </c>
      <c r="AA231" s="124">
        <f t="shared" si="15"/>
        <v>6329818.6369150281</v>
      </c>
    </row>
    <row r="232" spans="1:27" ht="12.5">
      <c r="A232" s="58" t="s">
        <v>75</v>
      </c>
      <c r="B232" s="49" t="s">
        <v>22</v>
      </c>
      <c r="C232" s="49" t="s">
        <v>79</v>
      </c>
      <c r="D232" s="57" t="s">
        <v>81</v>
      </c>
      <c r="E232" s="50" t="s">
        <v>60</v>
      </c>
      <c r="F232" s="97">
        <v>2.4310741782952772E-2</v>
      </c>
      <c r="G232" s="99">
        <f t="shared" si="12"/>
        <v>15.388699548609106</v>
      </c>
      <c r="H232" s="46"/>
      <c r="I232" s="46">
        <f>G232*'Eilat Car Data'!F$6</f>
        <v>426266.97749647225</v>
      </c>
      <c r="J232" s="46">
        <f>I232*'Tier 1 Coefficients'!I$10</f>
        <v>102304074.59915334</v>
      </c>
      <c r="K232" s="46">
        <f t="shared" si="13"/>
        <v>102304.07459915333</v>
      </c>
      <c r="L232" s="46">
        <f>K232*'Tier 1 Coefficients'!D$4</f>
        <v>324201.6124047169</v>
      </c>
      <c r="M232" s="46">
        <f>K232*'Tier 1 Coefficients'!C$21</f>
        <v>259852.34948184947</v>
      </c>
      <c r="N232" s="46">
        <f>K232*'Tier 1 Coefficients'!C$45</f>
        <v>5217.5078045568198</v>
      </c>
      <c r="O232" s="46">
        <f>I232*'Tier 2 FC'!D$36</f>
        <v>89516065.274259165</v>
      </c>
      <c r="P232" s="46">
        <f t="shared" si="14"/>
        <v>89516.065274259163</v>
      </c>
      <c r="Q232" s="46">
        <f>P232*'Tier 1 Coefficients'!D$4</f>
        <v>283676.41085412732</v>
      </c>
      <c r="R232" s="46">
        <f>$I232*'T2 HDV'!D25</f>
        <v>3836.4027974682499</v>
      </c>
      <c r="S232" s="121">
        <f>$I232*'T2 HDV'!E25</f>
        <v>207165.75106328551</v>
      </c>
      <c r="T232" s="46">
        <f>44.011*(P232/(12.011+1.008*'Tier 3 CO2 Tables'!B$4+16*'Tier 3 CO2 Tables'!C$4))</f>
        <v>283719.25645226805</v>
      </c>
      <c r="U232" s="46">
        <f>I232*'Tier 3 CO2 Tables'!H$15/10000</f>
        <v>66.497648489449674</v>
      </c>
      <c r="V232" s="46">
        <f>44.011*(U232/(12.011+1.008*'Tier 3 CO2 Tables'!B$6+16*'Tier 3 CO2 Tables'!C$6))</f>
        <v>207.44986458891563</v>
      </c>
      <c r="W232" s="46">
        <f>I232*'T3 Methane'!D$30</f>
        <v>74596721.061882645</v>
      </c>
      <c r="X232" s="46" cm="1">
        <f t="array" ref="X232">_xlfn.IFS(E232='Euro Age Table'!C$5,'Euro Age Table'!G$5,E232='Euro Age Table'!C$6,'Euro Age Table'!G$6,E232='Euro Age Table'!C$7,'Euro Age Table'!G$7,E232='Euro Age Table'!C$8,'Euro Age Table'!G$8,E232='Euro Age Table'!C$9,'Euro Age Table'!G$9,E232='Euro Age Table'!C$10,'Euro Age Table'!G$10,E232='Euro Age Table'!C$11,'Euro Age Table'!G$11)</f>
        <v>3</v>
      </c>
      <c r="Y232" s="46">
        <f>X232*'Eilat Car Data'!F$6</f>
        <v>83100</v>
      </c>
      <c r="Z232" s="46">
        <f>'T3 N2O HDV'!C16</f>
        <v>37</v>
      </c>
      <c r="AA232" s="124">
        <f t="shared" si="15"/>
        <v>15771878.167369474</v>
      </c>
    </row>
    <row r="233" spans="1:27" ht="12.5">
      <c r="A233" s="58" t="s">
        <v>75</v>
      </c>
      <c r="B233" s="49" t="s">
        <v>22</v>
      </c>
      <c r="C233" s="49" t="s">
        <v>79</v>
      </c>
      <c r="D233" s="56" t="s">
        <v>87</v>
      </c>
      <c r="E233" s="50" t="s">
        <v>54</v>
      </c>
      <c r="F233" s="97">
        <v>0</v>
      </c>
      <c r="G233" s="99">
        <f t="shared" si="12"/>
        <v>0</v>
      </c>
      <c r="H233" s="46"/>
      <c r="I233" s="46">
        <f>G233*'Eilat Car Data'!F$6</f>
        <v>0</v>
      </c>
      <c r="J233" s="46">
        <f>I233*'Tier 1 Coefficients'!I$10</f>
        <v>0</v>
      </c>
      <c r="K233" s="46">
        <f t="shared" si="13"/>
        <v>0</v>
      </c>
      <c r="L233" s="46">
        <f>K233*'Tier 1 Coefficients'!D$4</f>
        <v>0</v>
      </c>
      <c r="M233" s="46">
        <f>K233*'Tier 1 Coefficients'!C$21</f>
        <v>0</v>
      </c>
      <c r="N233" s="46">
        <f>K233*'Tier 1 Coefficients'!C$45</f>
        <v>0</v>
      </c>
      <c r="O233" s="46">
        <f>I233*'Tier 2 FC'!D$35</f>
        <v>0</v>
      </c>
      <c r="P233" s="46">
        <f t="shared" si="14"/>
        <v>0</v>
      </c>
      <c r="Q233" s="46">
        <f>P233*'Tier 1 Coefficients'!D$4</f>
        <v>0</v>
      </c>
      <c r="R233" s="46">
        <f>$I233*'T2 HDV'!D19</f>
        <v>0</v>
      </c>
      <c r="S233" s="121">
        <f>$I233*'T2 HDV'!E19</f>
        <v>0</v>
      </c>
      <c r="T233" s="46">
        <f>44.011*(P233/(12.011+1.008*'Tier 3 CO2 Tables'!B$4+16*'Tier 3 CO2 Tables'!C$4))</f>
        <v>0</v>
      </c>
      <c r="U233" s="46">
        <f>I233*'Tier 3 CO2 Tables'!H$15/10000</f>
        <v>0</v>
      </c>
      <c r="V233" s="46">
        <f>44.011*(U233/(12.011+1.008*'Tier 3 CO2 Tables'!B$6+16*'Tier 3 CO2 Tables'!C$6))</f>
        <v>0</v>
      </c>
      <c r="W233" s="46">
        <f>I233*'T3 Methane'!D$30</f>
        <v>0</v>
      </c>
      <c r="X233" s="46" cm="1">
        <f t="array" ref="X233">_xlfn.IFS(E233='Euro Age Table'!C$5,'Euro Age Table'!G$5,E233='Euro Age Table'!C$6,'Euro Age Table'!G$6,E233='Euro Age Table'!C$7,'Euro Age Table'!G$7,E233='Euro Age Table'!C$8,'Euro Age Table'!G$8,E233='Euro Age Table'!C$9,'Euro Age Table'!G$9,E233='Euro Age Table'!C$10,'Euro Age Table'!G$10,E233='Euro Age Table'!C$11,'Euro Age Table'!G$11)</f>
        <v>27</v>
      </c>
      <c r="Y233" s="46">
        <f>X233*'Eilat Car Data'!F$6</f>
        <v>747900</v>
      </c>
      <c r="Z233" s="46">
        <f>'T3 N2O HDV'!C10</f>
        <v>30</v>
      </c>
      <c r="AA233" s="124">
        <f t="shared" si="15"/>
        <v>0</v>
      </c>
    </row>
    <row r="234" spans="1:27" ht="12.5">
      <c r="A234" s="58" t="s">
        <v>75</v>
      </c>
      <c r="B234" s="49" t="s">
        <v>22</v>
      </c>
      <c r="C234" s="49" t="s">
        <v>79</v>
      </c>
      <c r="D234" s="56" t="s">
        <v>87</v>
      </c>
      <c r="E234" s="50" t="s">
        <v>55</v>
      </c>
      <c r="F234" s="97">
        <v>2.4756356194452925E-5</v>
      </c>
      <c r="G234" s="99">
        <f t="shared" si="12"/>
        <v>1.5670773471088702E-2</v>
      </c>
      <c r="H234" s="46"/>
      <c r="I234" s="46">
        <f>G234*'Eilat Car Data'!F$6</f>
        <v>434.08042514915707</v>
      </c>
      <c r="J234" s="46">
        <f>I234*'Tier 1 Coefficients'!I$10</f>
        <v>104179.30203579769</v>
      </c>
      <c r="K234" s="46">
        <f t="shared" si="13"/>
        <v>104.17930203579769</v>
      </c>
      <c r="L234" s="46">
        <f>K234*'Tier 1 Coefficients'!D$4</f>
        <v>330.14420815144291</v>
      </c>
      <c r="M234" s="46">
        <f>K234*'Tier 1 Coefficients'!C$21</f>
        <v>264.61542717092613</v>
      </c>
      <c r="N234" s="46">
        <f>K234*'Tier 1 Coefficients'!C$45</f>
        <v>5.3131444038256816</v>
      </c>
      <c r="O234" s="46">
        <f>I234*'Tier 2 FC'!D$36</f>
        <v>91156.88928132299</v>
      </c>
      <c r="P234" s="46">
        <f t="shared" si="14"/>
        <v>91.156889281322989</v>
      </c>
      <c r="Q234" s="46">
        <f>P234*'Tier 1 Coefficients'!D$4</f>
        <v>288.87618213251255</v>
      </c>
      <c r="R234" s="46">
        <f>$I234*'T2 HDV'!D20</f>
        <v>1.2588332329325553</v>
      </c>
      <c r="S234" s="121">
        <f>$I234*'T2 HDV'!E20</f>
        <v>210.96308662249032</v>
      </c>
      <c r="T234" s="46">
        <f>44.011*(P234/(12.011+1.008*'Tier 3 CO2 Tables'!B$4+16*'Tier 3 CO2 Tables'!C$4))</f>
        <v>288.91981308784938</v>
      </c>
      <c r="U234" s="46">
        <f>I234*'Tier 3 CO2 Tables'!H$15/10000</f>
        <v>6.7716546323268512E-2</v>
      </c>
      <c r="V234" s="46">
        <f>44.011*(U234/(12.011+1.008*'Tier 3 CO2 Tables'!B$6+16*'Tier 3 CO2 Tables'!C$6))</f>
        <v>0.21125240793168598</v>
      </c>
      <c r="W234" s="46">
        <f>I234*'T3 Methane'!D$30</f>
        <v>75964.07440110248</v>
      </c>
      <c r="X234" s="46" cm="1">
        <f t="array" ref="X234">_xlfn.IFS(E234='Euro Age Table'!C$5,'Euro Age Table'!G$5,E234='Euro Age Table'!C$6,'Euro Age Table'!G$6,E234='Euro Age Table'!C$7,'Euro Age Table'!G$7,E234='Euro Age Table'!C$8,'Euro Age Table'!G$8,E234='Euro Age Table'!C$9,'Euro Age Table'!G$9,E234='Euro Age Table'!C$10,'Euro Age Table'!G$10,E234='Euro Age Table'!C$11,'Euro Age Table'!G$11)</f>
        <v>23</v>
      </c>
      <c r="Y234" s="46">
        <f>X234*'Eilat Car Data'!F$6</f>
        <v>637100</v>
      </c>
      <c r="Z234" s="46">
        <f>'T3 N2O HDV'!C11</f>
        <v>11</v>
      </c>
      <c r="AA234" s="124">
        <f t="shared" si="15"/>
        <v>4774.8846766407278</v>
      </c>
    </row>
    <row r="235" spans="1:27" ht="12.5">
      <c r="A235" s="58" t="s">
        <v>75</v>
      </c>
      <c r="B235" s="49" t="s">
        <v>22</v>
      </c>
      <c r="C235" s="49" t="s">
        <v>79</v>
      </c>
      <c r="D235" s="56" t="s">
        <v>87</v>
      </c>
      <c r="E235" s="50" t="s">
        <v>56</v>
      </c>
      <c r="F235" s="97">
        <v>1.6504237462968617E-5</v>
      </c>
      <c r="G235" s="99">
        <f t="shared" si="12"/>
        <v>1.0447182314059134E-2</v>
      </c>
      <c r="H235" s="46"/>
      <c r="I235" s="46">
        <f>G235*'Eilat Car Data'!F$6</f>
        <v>289.38695009943802</v>
      </c>
      <c r="J235" s="46">
        <f>I235*'Tier 1 Coefficients'!I$10</f>
        <v>69452.868023865129</v>
      </c>
      <c r="K235" s="46">
        <f t="shared" si="13"/>
        <v>69.452868023865122</v>
      </c>
      <c r="L235" s="46">
        <f>K235*'Tier 1 Coefficients'!D$4</f>
        <v>220.09613876762859</v>
      </c>
      <c r="M235" s="46">
        <f>K235*'Tier 1 Coefficients'!C$21</f>
        <v>176.41028478061742</v>
      </c>
      <c r="N235" s="46">
        <f>K235*'Tier 1 Coefficients'!C$45</f>
        <v>3.542096269217121</v>
      </c>
      <c r="O235" s="46">
        <f>I235*'Tier 2 FC'!D$36</f>
        <v>60771.259520881984</v>
      </c>
      <c r="P235" s="46">
        <f t="shared" si="14"/>
        <v>60.771259520881983</v>
      </c>
      <c r="Q235" s="46">
        <f>P235*'Tier 1 Coefficients'!D$4</f>
        <v>192.58412142167501</v>
      </c>
      <c r="R235" s="46">
        <f>$I235*'T2 HDV'!D21</f>
        <v>0.83922215528837019</v>
      </c>
      <c r="S235" s="121">
        <f>$I235*'T2 HDV'!E21</f>
        <v>140.64205774832686</v>
      </c>
      <c r="T235" s="46">
        <f>44.011*(P235/(12.011+1.008*'Tier 3 CO2 Tables'!B$4+16*'Tier 3 CO2 Tables'!C$4))</f>
        <v>192.61320872523291</v>
      </c>
      <c r="U235" s="46">
        <f>I235*'Tier 3 CO2 Tables'!H$15/10000</f>
        <v>4.514436421551233E-2</v>
      </c>
      <c r="V235" s="46">
        <f>44.011*(U235/(12.011+1.008*'Tier 3 CO2 Tables'!B$6+16*'Tier 3 CO2 Tables'!C$6))</f>
        <v>0.14083493862112395</v>
      </c>
      <c r="W235" s="46">
        <f>I235*'T3 Methane'!D$30</f>
        <v>50642.716267401651</v>
      </c>
      <c r="X235" s="46" cm="1">
        <f t="array" ref="X235">_xlfn.IFS(E235='Euro Age Table'!C$5,'Euro Age Table'!G$5,E235='Euro Age Table'!C$6,'Euro Age Table'!G$6,E235='Euro Age Table'!C$7,'Euro Age Table'!G$7,E235='Euro Age Table'!C$8,'Euro Age Table'!G$8,E235='Euro Age Table'!C$9,'Euro Age Table'!G$9,E235='Euro Age Table'!C$10,'Euro Age Table'!G$10,E235='Euro Age Table'!C$11,'Euro Age Table'!G$11)</f>
        <v>18</v>
      </c>
      <c r="Y235" s="46">
        <f>X235*'Eilat Car Data'!F$6</f>
        <v>498600</v>
      </c>
      <c r="Z235" s="46">
        <f>'T3 N2O HDV'!C12</f>
        <v>11</v>
      </c>
      <c r="AA235" s="124">
        <f t="shared" si="15"/>
        <v>3183.2564510938182</v>
      </c>
    </row>
    <row r="236" spans="1:27" ht="12.5">
      <c r="A236" s="58" t="s">
        <v>75</v>
      </c>
      <c r="B236" s="49" t="s">
        <v>22</v>
      </c>
      <c r="C236" s="49" t="s">
        <v>79</v>
      </c>
      <c r="D236" s="56" t="s">
        <v>87</v>
      </c>
      <c r="E236" s="50" t="s">
        <v>57</v>
      </c>
      <c r="F236" s="97">
        <v>1.4853813716671755E-4</v>
      </c>
      <c r="G236" s="99">
        <f t="shared" si="12"/>
        <v>9.402464082653221E-2</v>
      </c>
      <c r="H236" s="46"/>
      <c r="I236" s="46">
        <f>G236*'Eilat Car Data'!F$6</f>
        <v>2604.4825508949421</v>
      </c>
      <c r="J236" s="46">
        <f>I236*'Tier 1 Coefficients'!I$10</f>
        <v>625075.81221478607</v>
      </c>
      <c r="K236" s="46">
        <f t="shared" si="13"/>
        <v>625.07581221478608</v>
      </c>
      <c r="L236" s="46">
        <f>K236*'Tier 1 Coefficients'!D$4</f>
        <v>1980.8652489086571</v>
      </c>
      <c r="M236" s="46">
        <f>K236*'Tier 1 Coefficients'!C$21</f>
        <v>1587.6925630255566</v>
      </c>
      <c r="N236" s="46">
        <f>K236*'Tier 1 Coefficients'!C$45</f>
        <v>31.87886642295409</v>
      </c>
      <c r="O236" s="46">
        <f>I236*'Tier 2 FC'!D$36</f>
        <v>546941.3356879378</v>
      </c>
      <c r="P236" s="46">
        <f t="shared" si="14"/>
        <v>546.94133568793779</v>
      </c>
      <c r="Q236" s="46">
        <f>P236*'Tier 1 Coefficients'!D$4</f>
        <v>1733.2570927950749</v>
      </c>
      <c r="R236" s="46">
        <f>$I236*'T2 HDV'!D22</f>
        <v>7.5529993975953316</v>
      </c>
      <c r="S236" s="121">
        <f>$I236*'T2 HDV'!E22</f>
        <v>1265.7785197349417</v>
      </c>
      <c r="T236" s="46">
        <f>44.011*(P236/(12.011+1.008*'Tier 3 CO2 Tables'!B$4+16*'Tier 3 CO2 Tables'!C$4))</f>
        <v>1733.5188785270961</v>
      </c>
      <c r="U236" s="46">
        <f>I236*'Tier 3 CO2 Tables'!H$15/10000</f>
        <v>0.40629927793961096</v>
      </c>
      <c r="V236" s="46">
        <f>44.011*(U236/(12.011+1.008*'Tier 3 CO2 Tables'!B$6+16*'Tier 3 CO2 Tables'!C$6))</f>
        <v>1.2675144475901157</v>
      </c>
      <c r="W236" s="46">
        <f>I236*'T3 Methane'!D$30</f>
        <v>455784.44640661485</v>
      </c>
      <c r="X236" s="46" cm="1">
        <f t="array" ref="X236">_xlfn.IFS(E236='Euro Age Table'!C$5,'Euro Age Table'!G$5,E236='Euro Age Table'!C$6,'Euro Age Table'!G$6,E236='Euro Age Table'!C$7,'Euro Age Table'!G$7,E236='Euro Age Table'!C$8,'Euro Age Table'!G$8,E236='Euro Age Table'!C$9,'Euro Age Table'!G$9,E236='Euro Age Table'!C$10,'Euro Age Table'!G$10,E236='Euro Age Table'!C$11,'Euro Age Table'!G$11)</f>
        <v>16</v>
      </c>
      <c r="Y236" s="46">
        <f>X236*'Eilat Car Data'!F$6</f>
        <v>443200</v>
      </c>
      <c r="Z236" s="46">
        <f>'T3 N2O HDV'!C13</f>
        <v>5</v>
      </c>
      <c r="AA236" s="124">
        <f t="shared" si="15"/>
        <v>13022.41275447471</v>
      </c>
    </row>
    <row r="237" spans="1:27" ht="12.5">
      <c r="A237" s="58" t="s">
        <v>75</v>
      </c>
      <c r="B237" s="49" t="s">
        <v>22</v>
      </c>
      <c r="C237" s="49" t="s">
        <v>79</v>
      </c>
      <c r="D237" s="56" t="s">
        <v>87</v>
      </c>
      <c r="E237" s="50" t="s">
        <v>58</v>
      </c>
      <c r="F237" s="97">
        <v>1.6504237462968617E-5</v>
      </c>
      <c r="G237" s="99">
        <f t="shared" si="12"/>
        <v>1.0447182314059134E-2</v>
      </c>
      <c r="H237" s="46"/>
      <c r="I237" s="46">
        <f>G237*'Eilat Car Data'!F$6</f>
        <v>289.38695009943802</v>
      </c>
      <c r="J237" s="46">
        <f>I237*'Tier 1 Coefficients'!I$10</f>
        <v>69452.868023865129</v>
      </c>
      <c r="K237" s="46">
        <f t="shared" si="13"/>
        <v>69.452868023865122</v>
      </c>
      <c r="L237" s="46">
        <f>K237*'Tier 1 Coefficients'!D$4</f>
        <v>220.09613876762859</v>
      </c>
      <c r="M237" s="46">
        <f>K237*'Tier 1 Coefficients'!C$21</f>
        <v>176.41028478061742</v>
      </c>
      <c r="N237" s="46">
        <f>K237*'Tier 1 Coefficients'!C$45</f>
        <v>3.542096269217121</v>
      </c>
      <c r="O237" s="46">
        <f>I237*'Tier 2 FC'!D$36</f>
        <v>60771.259520881984</v>
      </c>
      <c r="P237" s="46">
        <f t="shared" si="14"/>
        <v>60.771259520881983</v>
      </c>
      <c r="Q237" s="46">
        <f>P237*'Tier 1 Coefficients'!D$4</f>
        <v>192.58412142167501</v>
      </c>
      <c r="R237" s="46">
        <f>$I237*'T2 HDV'!D23</f>
        <v>0.83922215528837019</v>
      </c>
      <c r="S237" s="121">
        <f>$I237*'T2 HDV'!E23</f>
        <v>140.64205774832686</v>
      </c>
      <c r="T237" s="46">
        <f>44.011*(P237/(12.011+1.008*'Tier 3 CO2 Tables'!B$4+16*'Tier 3 CO2 Tables'!C$4))</f>
        <v>192.61320872523291</v>
      </c>
      <c r="U237" s="46">
        <f>I237*'Tier 3 CO2 Tables'!H$15/10000</f>
        <v>4.514436421551233E-2</v>
      </c>
      <c r="V237" s="46">
        <f>44.011*(U237/(12.011+1.008*'Tier 3 CO2 Tables'!B$6+16*'Tier 3 CO2 Tables'!C$6))</f>
        <v>0.14083493862112395</v>
      </c>
      <c r="W237" s="46">
        <f>I237*'T3 Methane'!D$30</f>
        <v>50642.716267401651</v>
      </c>
      <c r="X237" s="46" cm="1">
        <f t="array" ref="X237">_xlfn.IFS(E237='Euro Age Table'!C$5,'Euro Age Table'!G$5,E237='Euro Age Table'!C$6,'Euro Age Table'!G$6,E237='Euro Age Table'!C$7,'Euro Age Table'!G$7,E237='Euro Age Table'!C$8,'Euro Age Table'!G$8,E237='Euro Age Table'!C$9,'Euro Age Table'!G$9,E237='Euro Age Table'!C$10,'Euro Age Table'!G$10,E237='Euro Age Table'!C$11,'Euro Age Table'!G$11)</f>
        <v>13</v>
      </c>
      <c r="Y237" s="46">
        <f>X237*'Eilat Car Data'!F$6</f>
        <v>360100</v>
      </c>
      <c r="Z237" s="46">
        <f>'T3 N2O HDV'!C14</f>
        <v>11.2</v>
      </c>
      <c r="AA237" s="124">
        <f t="shared" si="15"/>
        <v>3241.1338411137058</v>
      </c>
    </row>
    <row r="238" spans="1:27" ht="12.5">
      <c r="A238" s="58" t="s">
        <v>75</v>
      </c>
      <c r="B238" s="49" t="s">
        <v>22</v>
      </c>
      <c r="C238" s="49" t="s">
        <v>79</v>
      </c>
      <c r="D238" s="56" t="s">
        <v>87</v>
      </c>
      <c r="E238" s="50" t="s">
        <v>59</v>
      </c>
      <c r="F238" s="97">
        <v>0</v>
      </c>
      <c r="G238" s="99">
        <f t="shared" si="12"/>
        <v>0</v>
      </c>
      <c r="H238" s="46"/>
      <c r="I238" s="46">
        <f>G238*'Eilat Car Data'!F$6</f>
        <v>0</v>
      </c>
      <c r="J238" s="46">
        <f>I238*'Tier 1 Coefficients'!I$10</f>
        <v>0</v>
      </c>
      <c r="K238" s="46">
        <f t="shared" si="13"/>
        <v>0</v>
      </c>
      <c r="L238" s="46">
        <f>K238*'Tier 1 Coefficients'!D$4</f>
        <v>0</v>
      </c>
      <c r="M238" s="46">
        <f>K238*'Tier 1 Coefficients'!C$21</f>
        <v>0</v>
      </c>
      <c r="N238" s="46">
        <f>K238*'Tier 1 Coefficients'!C$45</f>
        <v>0</v>
      </c>
      <c r="O238" s="46">
        <f>I238*'Tier 2 FC'!D$36</f>
        <v>0</v>
      </c>
      <c r="P238" s="46">
        <f t="shared" si="14"/>
        <v>0</v>
      </c>
      <c r="Q238" s="46">
        <f>P238*'Tier 1 Coefficients'!D$4</f>
        <v>0</v>
      </c>
      <c r="R238" s="46">
        <f>$I238*'T2 HDV'!D24</f>
        <v>0</v>
      </c>
      <c r="S238" s="121">
        <f>$I238*'T2 HDV'!E24</f>
        <v>0</v>
      </c>
      <c r="T238" s="46">
        <f>44.011*(P238/(12.011+1.008*'Tier 3 CO2 Tables'!B$4+16*'Tier 3 CO2 Tables'!C$4))</f>
        <v>0</v>
      </c>
      <c r="U238" s="46">
        <f>I238*'Tier 3 CO2 Tables'!H$15/10000</f>
        <v>0</v>
      </c>
      <c r="V238" s="46">
        <f>44.011*(U238/(12.011+1.008*'Tier 3 CO2 Tables'!B$6+16*'Tier 3 CO2 Tables'!C$6))</f>
        <v>0</v>
      </c>
      <c r="W238" s="46">
        <f>I238*'T3 Methane'!D$30</f>
        <v>0</v>
      </c>
      <c r="X238" s="46" cm="1">
        <f t="array" ref="X238">_xlfn.IFS(E238='Euro Age Table'!C$5,'Euro Age Table'!G$5,E238='Euro Age Table'!C$6,'Euro Age Table'!G$6,E238='Euro Age Table'!C$7,'Euro Age Table'!G$7,E238='Euro Age Table'!C$8,'Euro Age Table'!G$8,E238='Euro Age Table'!C$9,'Euro Age Table'!G$9,E238='Euro Age Table'!C$10,'Euro Age Table'!G$10,E238='Euro Age Table'!C$11,'Euro Age Table'!G$11)</f>
        <v>9</v>
      </c>
      <c r="Y238" s="46">
        <f>X238*'Eilat Car Data'!F$6</f>
        <v>249300</v>
      </c>
      <c r="Z238" s="46">
        <f>'T3 N2O HDV'!C15</f>
        <v>29.8</v>
      </c>
      <c r="AA238" s="124">
        <f t="shared" si="15"/>
        <v>0</v>
      </c>
    </row>
    <row r="239" spans="1:27" ht="12.5">
      <c r="A239" s="58" t="s">
        <v>75</v>
      </c>
      <c r="B239" s="49" t="s">
        <v>22</v>
      </c>
      <c r="C239" s="49" t="s">
        <v>79</v>
      </c>
      <c r="D239" s="57" t="s">
        <v>87</v>
      </c>
      <c r="E239" s="50" t="s">
        <v>60</v>
      </c>
      <c r="F239" s="97">
        <v>0</v>
      </c>
      <c r="G239" s="99">
        <f t="shared" si="12"/>
        <v>0</v>
      </c>
      <c r="H239" s="46"/>
      <c r="I239" s="46">
        <f>G239*'Eilat Car Data'!F$6</f>
        <v>0</v>
      </c>
      <c r="J239" s="46">
        <f>I239*'Tier 1 Coefficients'!I$10</f>
        <v>0</v>
      </c>
      <c r="K239" s="46">
        <f t="shared" si="13"/>
        <v>0</v>
      </c>
      <c r="L239" s="46">
        <f>K239*'Tier 1 Coefficients'!D$4</f>
        <v>0</v>
      </c>
      <c r="M239" s="46">
        <f>K239*'Tier 1 Coefficients'!C$21</f>
        <v>0</v>
      </c>
      <c r="N239" s="46">
        <f>K239*'Tier 1 Coefficients'!C$45</f>
        <v>0</v>
      </c>
      <c r="O239" s="46">
        <f>I239*'Tier 2 FC'!D$36</f>
        <v>0</v>
      </c>
      <c r="P239" s="46">
        <f t="shared" si="14"/>
        <v>0</v>
      </c>
      <c r="Q239" s="46">
        <f>P239*'Tier 1 Coefficients'!D$4</f>
        <v>0</v>
      </c>
      <c r="R239" s="46">
        <f>$I239*'T2 HDV'!D25</f>
        <v>0</v>
      </c>
      <c r="S239" s="121">
        <f>$I239*'T2 HDV'!E25</f>
        <v>0</v>
      </c>
      <c r="T239" s="46">
        <f>44.011*(P239/(12.011+1.008*'Tier 3 CO2 Tables'!B$4+16*'Tier 3 CO2 Tables'!C$4))</f>
        <v>0</v>
      </c>
      <c r="U239" s="46">
        <f>I239*'Tier 3 CO2 Tables'!H$15/10000</f>
        <v>0</v>
      </c>
      <c r="V239" s="46">
        <f>44.011*(U239/(12.011+1.008*'Tier 3 CO2 Tables'!B$6+16*'Tier 3 CO2 Tables'!C$6))</f>
        <v>0</v>
      </c>
      <c r="W239" s="46">
        <f>I239*'T3 Methane'!D$30</f>
        <v>0</v>
      </c>
      <c r="X239" s="46" cm="1">
        <f t="array" ref="X239">_xlfn.IFS(E239='Euro Age Table'!C$5,'Euro Age Table'!G$5,E239='Euro Age Table'!C$6,'Euro Age Table'!G$6,E239='Euro Age Table'!C$7,'Euro Age Table'!G$7,E239='Euro Age Table'!C$8,'Euro Age Table'!G$8,E239='Euro Age Table'!C$9,'Euro Age Table'!G$9,E239='Euro Age Table'!C$10,'Euro Age Table'!G$10,E239='Euro Age Table'!C$11,'Euro Age Table'!G$11)</f>
        <v>3</v>
      </c>
      <c r="Y239" s="46">
        <f>X239*'Eilat Car Data'!F$6</f>
        <v>83100</v>
      </c>
      <c r="Z239" s="46">
        <f>'T3 N2O HDV'!C16</f>
        <v>37</v>
      </c>
      <c r="AA239" s="124">
        <f t="shared" si="15"/>
        <v>0</v>
      </c>
    </row>
    <row r="240" spans="1:27" ht="12.5">
      <c r="A240" s="58" t="s">
        <v>75</v>
      </c>
      <c r="B240" s="49" t="s">
        <v>22</v>
      </c>
      <c r="C240" s="49" t="s">
        <v>79</v>
      </c>
      <c r="D240" s="56" t="s">
        <v>82</v>
      </c>
      <c r="E240" s="50" t="s">
        <v>54</v>
      </c>
      <c r="F240" s="97">
        <v>3.3008474925937234E-5</v>
      </c>
      <c r="G240" s="99">
        <f t="shared" si="12"/>
        <v>2.0894364628118268E-2</v>
      </c>
      <c r="H240" s="46"/>
      <c r="I240" s="46">
        <f>G240*'Eilat Car Data'!F$6</f>
        <v>578.77390019887605</v>
      </c>
      <c r="J240" s="46">
        <f>I240*'Tier 1 Coefficients'!I$10</f>
        <v>138905.73604773026</v>
      </c>
      <c r="K240" s="46">
        <f t="shared" si="13"/>
        <v>138.90573604773024</v>
      </c>
      <c r="L240" s="46">
        <f>K240*'Tier 1 Coefficients'!D$4</f>
        <v>440.19227753525718</v>
      </c>
      <c r="M240" s="46">
        <f>K240*'Tier 1 Coefficients'!C$21</f>
        <v>352.82056956123483</v>
      </c>
      <c r="N240" s="46">
        <f>K240*'Tier 1 Coefficients'!C$45</f>
        <v>7.0841925384342419</v>
      </c>
      <c r="O240" s="46">
        <f>I240*'Tier 2 FC'!D$35</f>
        <v>145272.24894991788</v>
      </c>
      <c r="P240" s="46">
        <f t="shared" si="14"/>
        <v>145.27224894991787</v>
      </c>
      <c r="Q240" s="46">
        <f>P240*'Tier 1 Coefficients'!D$4</f>
        <v>460.36775692228974</v>
      </c>
      <c r="R240" s="46">
        <f>$I240*'T2 HDV'!D19</f>
        <v>1.6784443105767404</v>
      </c>
      <c r="S240" s="121">
        <f>$I240*'T2 HDV'!E19</f>
        <v>281.28411549665373</v>
      </c>
      <c r="T240" s="46">
        <f>44.011*(P240/(12.011+1.008*'Tier 3 CO2 Tables'!B$4+16*'Tier 3 CO2 Tables'!C$4))</f>
        <v>460.43728942889004</v>
      </c>
      <c r="U240" s="46">
        <f>I240*'Tier 3 CO2 Tables'!H$15/10000</f>
        <v>9.0288728431024659E-2</v>
      </c>
      <c r="V240" s="46">
        <f>44.011*(U240/(12.011+1.008*'Tier 3 CO2 Tables'!B$6+16*'Tier 3 CO2 Tables'!C$6))</f>
        <v>0.2816698772422479</v>
      </c>
      <c r="W240" s="46">
        <f>I240*'T3 Methane'!D$30</f>
        <v>101285.4325348033</v>
      </c>
      <c r="X240" s="46" cm="1">
        <f t="array" ref="X240">_xlfn.IFS(E240='Euro Age Table'!C$5,'Euro Age Table'!G$5,E240='Euro Age Table'!C$6,'Euro Age Table'!G$6,E240='Euro Age Table'!C$7,'Euro Age Table'!G$7,E240='Euro Age Table'!C$8,'Euro Age Table'!G$8,E240='Euro Age Table'!C$9,'Euro Age Table'!G$9,E240='Euro Age Table'!C$10,'Euro Age Table'!G$10,E240='Euro Age Table'!C$11,'Euro Age Table'!G$11)</f>
        <v>27</v>
      </c>
      <c r="Y240" s="46">
        <f>X240*'Eilat Car Data'!F$6</f>
        <v>747900</v>
      </c>
      <c r="Z240" s="46">
        <f>'T3 N2O HDV'!C17</f>
        <v>30</v>
      </c>
      <c r="AA240" s="124">
        <f t="shared" si="15"/>
        <v>17363.217005966282</v>
      </c>
    </row>
    <row r="241" spans="1:27" ht="12.5">
      <c r="A241" s="58" t="s">
        <v>75</v>
      </c>
      <c r="B241" s="49" t="s">
        <v>22</v>
      </c>
      <c r="C241" s="49" t="s">
        <v>79</v>
      </c>
      <c r="D241" s="56" t="s">
        <v>82</v>
      </c>
      <c r="E241" s="50" t="s">
        <v>55</v>
      </c>
      <c r="F241" s="97">
        <v>2.6406779940749787E-4</v>
      </c>
      <c r="G241" s="99">
        <f t="shared" si="12"/>
        <v>0.16715491702494614</v>
      </c>
      <c r="H241" s="46"/>
      <c r="I241" s="46">
        <f>G241*'Eilat Car Data'!F$6</f>
        <v>4630.1912015910084</v>
      </c>
      <c r="J241" s="46">
        <f>I241*'Tier 1 Coefficients'!I$10</f>
        <v>1111245.8883818421</v>
      </c>
      <c r="K241" s="46">
        <f t="shared" si="13"/>
        <v>1111.245888381842</v>
      </c>
      <c r="L241" s="46">
        <f>K241*'Tier 1 Coefficients'!D$4</f>
        <v>3521.5382202820574</v>
      </c>
      <c r="M241" s="46">
        <f>K241*'Tier 1 Coefficients'!C$21</f>
        <v>2822.5645564898787</v>
      </c>
      <c r="N241" s="46">
        <f>K241*'Tier 1 Coefficients'!C$45</f>
        <v>56.673540307473935</v>
      </c>
      <c r="O241" s="46">
        <f>I241*'Tier 2 FC'!D$36</f>
        <v>972340.15233411174</v>
      </c>
      <c r="P241" s="46">
        <f t="shared" si="14"/>
        <v>972.34015233411174</v>
      </c>
      <c r="Q241" s="46">
        <f>P241*'Tier 1 Coefficients'!D$4</f>
        <v>3081.3459427468001</v>
      </c>
      <c r="R241" s="46">
        <f>$I241*'T2 HDV'!D20</f>
        <v>13.427554484613923</v>
      </c>
      <c r="S241" s="121">
        <f>$I241*'T2 HDV'!E20</f>
        <v>2250.2729239732298</v>
      </c>
      <c r="T241" s="46">
        <f>44.011*(P241/(12.011+1.008*'Tier 3 CO2 Tables'!B$4+16*'Tier 3 CO2 Tables'!C$4))</f>
        <v>3081.8113396037265</v>
      </c>
      <c r="U241" s="46">
        <f>I241*'Tier 3 CO2 Tables'!H$15/10000</f>
        <v>0.72230982744819727</v>
      </c>
      <c r="V241" s="46">
        <f>44.011*(U241/(12.011+1.008*'Tier 3 CO2 Tables'!B$6+16*'Tier 3 CO2 Tables'!C$6))</f>
        <v>2.2533590179379832</v>
      </c>
      <c r="W241" s="46">
        <f>I241*'T3 Methane'!D$30</f>
        <v>810283.46027842641</v>
      </c>
      <c r="X241" s="46" cm="1">
        <f t="array" ref="X241">_xlfn.IFS(E241='Euro Age Table'!C$5,'Euro Age Table'!G$5,E241='Euro Age Table'!C$6,'Euro Age Table'!G$6,E241='Euro Age Table'!C$7,'Euro Age Table'!G$7,E241='Euro Age Table'!C$8,'Euro Age Table'!G$8,E241='Euro Age Table'!C$9,'Euro Age Table'!G$9,E241='Euro Age Table'!C$10,'Euro Age Table'!G$10,E241='Euro Age Table'!C$11,'Euro Age Table'!G$11)</f>
        <v>23</v>
      </c>
      <c r="Y241" s="46">
        <f>X241*'Eilat Car Data'!F$6</f>
        <v>637100</v>
      </c>
      <c r="Z241" s="46">
        <f>'T3 N2O HDV'!C18</f>
        <v>17</v>
      </c>
      <c r="AA241" s="124">
        <f t="shared" si="15"/>
        <v>78713.25042704714</v>
      </c>
    </row>
    <row r="242" spans="1:27" ht="12.5">
      <c r="A242" s="58" t="s">
        <v>75</v>
      </c>
      <c r="B242" s="49" t="s">
        <v>22</v>
      </c>
      <c r="C242" s="49" t="s">
        <v>79</v>
      </c>
      <c r="D242" s="56" t="s">
        <v>82</v>
      </c>
      <c r="E242" s="50" t="s">
        <v>56</v>
      </c>
      <c r="F242" s="97">
        <v>1.5431462027875656E-3</v>
      </c>
      <c r="G242" s="99">
        <f t="shared" si="12"/>
        <v>0.97681154636452905</v>
      </c>
      <c r="H242" s="46"/>
      <c r="I242" s="46">
        <f>G242*'Eilat Car Data'!F$6</f>
        <v>27057.679834297454</v>
      </c>
      <c r="J242" s="46">
        <f>I242*'Tier 1 Coefficients'!I$10</f>
        <v>6493843.1602313891</v>
      </c>
      <c r="K242" s="46">
        <f t="shared" si="13"/>
        <v>6493.8431602313894</v>
      </c>
      <c r="L242" s="46">
        <f>K242*'Tier 1 Coefficients'!D$4</f>
        <v>20578.988974773274</v>
      </c>
      <c r="M242" s="46">
        <f>K242*'Tier 1 Coefficients'!C$21</f>
        <v>16494.361626987731</v>
      </c>
      <c r="N242" s="46">
        <f>K242*'Tier 1 Coefficients'!C$45</f>
        <v>331.18600117180085</v>
      </c>
      <c r="O242" s="46">
        <f>I242*'Tier 2 FC'!D$36</f>
        <v>5682112.7652024655</v>
      </c>
      <c r="P242" s="46">
        <f t="shared" si="14"/>
        <v>5682.1127652024652</v>
      </c>
      <c r="Q242" s="46">
        <f>P242*'Tier 1 Coefficients'!D$4</f>
        <v>18006.615352926612</v>
      </c>
      <c r="R242" s="46">
        <f>$I242*'T2 HDV'!D21</f>
        <v>78.467271519462614</v>
      </c>
      <c r="S242" s="121">
        <f>$I242*'T2 HDV'!E21</f>
        <v>13150.032399468562</v>
      </c>
      <c r="T242" s="46">
        <f>44.011*(P242/(12.011+1.008*'Tier 3 CO2 Tables'!B$4+16*'Tier 3 CO2 Tables'!C$4))</f>
        <v>18009.335015809276</v>
      </c>
      <c r="U242" s="46">
        <f>I242*'Tier 3 CO2 Tables'!H$15/10000</f>
        <v>4.2209980541504031</v>
      </c>
      <c r="V242" s="46">
        <f>44.011*(U242/(12.011+1.008*'Tier 3 CO2 Tables'!B$6+16*'Tier 3 CO2 Tables'!C$6))</f>
        <v>13.168066761075091</v>
      </c>
      <c r="W242" s="46">
        <f>I242*'T3 Methane'!D$30</f>
        <v>4735093.9710020544</v>
      </c>
      <c r="X242" s="46" cm="1">
        <f t="array" ref="X242">_xlfn.IFS(E242='Euro Age Table'!C$5,'Euro Age Table'!G$5,E242='Euro Age Table'!C$6,'Euro Age Table'!G$6,E242='Euro Age Table'!C$7,'Euro Age Table'!G$7,E242='Euro Age Table'!C$8,'Euro Age Table'!G$8,E242='Euro Age Table'!C$9,'Euro Age Table'!G$9,E242='Euro Age Table'!C$10,'Euro Age Table'!G$10,E242='Euro Age Table'!C$11,'Euro Age Table'!G$11)</f>
        <v>18</v>
      </c>
      <c r="Y242" s="46">
        <f>X242*'Eilat Car Data'!F$6</f>
        <v>498600</v>
      </c>
      <c r="Z242" s="46">
        <f>'T3 N2O HDV'!C19</f>
        <v>17</v>
      </c>
      <c r="AA242" s="124">
        <f t="shared" si="15"/>
        <v>459980.55718305672</v>
      </c>
    </row>
    <row r="243" spans="1:27" ht="12.5">
      <c r="A243" s="58" t="s">
        <v>75</v>
      </c>
      <c r="B243" s="49" t="s">
        <v>22</v>
      </c>
      <c r="C243" s="49" t="s">
        <v>79</v>
      </c>
      <c r="D243" s="56" t="s">
        <v>82</v>
      </c>
      <c r="E243" s="50" t="s">
        <v>57</v>
      </c>
      <c r="F243" s="97">
        <v>3.0285275744547412E-3</v>
      </c>
      <c r="G243" s="99">
        <f t="shared" si="12"/>
        <v>1.9170579546298512</v>
      </c>
      <c r="H243" s="46"/>
      <c r="I243" s="46">
        <f>G243*'Eilat Car Data'!F$6</f>
        <v>53102.505343246878</v>
      </c>
      <c r="J243" s="46">
        <f>I243*'Tier 1 Coefficients'!I$10</f>
        <v>12744601.282379251</v>
      </c>
      <c r="K243" s="46">
        <f t="shared" si="13"/>
        <v>12744.601282379252</v>
      </c>
      <c r="L243" s="46">
        <f>K243*'Tier 1 Coefficients'!D$4</f>
        <v>40387.641463859851</v>
      </c>
      <c r="M243" s="46">
        <f>K243*'Tier 1 Coefficients'!C$21</f>
        <v>32371.287257243301</v>
      </c>
      <c r="N243" s="46">
        <f>K243*'Tier 1 Coefficients'!C$45</f>
        <v>649.97466540134178</v>
      </c>
      <c r="O243" s="46">
        <f>I243*'Tier 2 FC'!D$36</f>
        <v>11151526.122081844</v>
      </c>
      <c r="P243" s="46">
        <f t="shared" si="14"/>
        <v>11151.526122081845</v>
      </c>
      <c r="Q243" s="46">
        <f>P243*'Tier 1 Coefficients'!D$4</f>
        <v>35339.186280877366</v>
      </c>
      <c r="R243" s="46">
        <f>$I243*'T2 HDV'!D22</f>
        <v>153.99726549541595</v>
      </c>
      <c r="S243" s="121">
        <f>$I243*'T2 HDV'!E22</f>
        <v>25807.817596817982</v>
      </c>
      <c r="T243" s="46">
        <f>44.011*(P243/(12.011+1.008*'Tier 3 CO2 Tables'!B$4+16*'Tier 3 CO2 Tables'!C$4))</f>
        <v>35344.523801080242</v>
      </c>
      <c r="U243" s="46">
        <f>I243*'Tier 3 CO2 Tables'!H$15/10000</f>
        <v>8.2839908335465129</v>
      </c>
      <c r="V243" s="46">
        <f>44.011*(U243/(12.011+1.008*'Tier 3 CO2 Tables'!B$6+16*'Tier 3 CO2 Tables'!C$6))</f>
        <v>25.843211236976249</v>
      </c>
      <c r="W243" s="46">
        <f>I243*'T3 Methane'!D$30</f>
        <v>9292938.4350682031</v>
      </c>
      <c r="X243" s="46" cm="1">
        <f t="array" ref="X243">_xlfn.IFS(E243='Euro Age Table'!C$5,'Euro Age Table'!G$5,E243='Euro Age Table'!C$6,'Euro Age Table'!G$6,E243='Euro Age Table'!C$7,'Euro Age Table'!G$7,E243='Euro Age Table'!C$8,'Euro Age Table'!G$8,E243='Euro Age Table'!C$9,'Euro Age Table'!G$9,E243='Euro Age Table'!C$10,'Euro Age Table'!G$10,E243='Euro Age Table'!C$11,'Euro Age Table'!G$11)</f>
        <v>16</v>
      </c>
      <c r="Y243" s="46">
        <f>X243*'Eilat Car Data'!F$6</f>
        <v>443200</v>
      </c>
      <c r="Z243" s="46">
        <f>'T3 N2O HDV'!C20</f>
        <v>8</v>
      </c>
      <c r="AA243" s="124">
        <f t="shared" si="15"/>
        <v>424820.04274597502</v>
      </c>
    </row>
    <row r="244" spans="1:27" ht="12.5">
      <c r="A244" s="58" t="s">
        <v>75</v>
      </c>
      <c r="B244" s="49" t="s">
        <v>22</v>
      </c>
      <c r="C244" s="49" t="s">
        <v>79</v>
      </c>
      <c r="D244" s="56" t="s">
        <v>82</v>
      </c>
      <c r="E244" s="50" t="s">
        <v>58</v>
      </c>
      <c r="F244" s="97">
        <v>5.9992903177890919E-3</v>
      </c>
      <c r="G244" s="99">
        <f t="shared" si="12"/>
        <v>3.7975507711604952</v>
      </c>
      <c r="H244" s="46"/>
      <c r="I244" s="46">
        <f>G244*'Eilat Car Data'!F$6</f>
        <v>105192.15636114572</v>
      </c>
      <c r="J244" s="46">
        <f>I244*'Tier 1 Coefficients'!I$10</f>
        <v>25246117.526674975</v>
      </c>
      <c r="K244" s="46">
        <f t="shared" si="13"/>
        <v>25246.117526674974</v>
      </c>
      <c r="L244" s="46">
        <f>K244*'Tier 1 Coefficients'!D$4</f>
        <v>80004.94644203299</v>
      </c>
      <c r="M244" s="46">
        <f>K244*'Tier 1 Coefficients'!C$21</f>
        <v>64125.138517754436</v>
      </c>
      <c r="N244" s="46">
        <f>K244*'Tier 1 Coefficients'!C$45</f>
        <v>1287.5519938604236</v>
      </c>
      <c r="O244" s="46">
        <f>I244*'Tier 2 FC'!D$36</f>
        <v>22090352.835840601</v>
      </c>
      <c r="P244" s="46">
        <f t="shared" si="14"/>
        <v>22090.3528358406</v>
      </c>
      <c r="Q244" s="46">
        <f>P244*'Tier 1 Coefficients'!D$4</f>
        <v>70004.328136778859</v>
      </c>
      <c r="R244" s="46">
        <f>$I244*'T2 HDV'!D23</f>
        <v>305.05725344732258</v>
      </c>
      <c r="S244" s="121">
        <f>$I244*'T2 HDV'!E23</f>
        <v>51123.387991516822</v>
      </c>
      <c r="T244" s="46">
        <f>44.011*(P244/(12.011+1.008*'Tier 3 CO2 Tables'!B$4+16*'Tier 3 CO2 Tables'!C$4))</f>
        <v>70014.901371622153</v>
      </c>
      <c r="U244" s="46">
        <f>I244*'Tier 3 CO2 Tables'!H$15/10000</f>
        <v>16.409976392338734</v>
      </c>
      <c r="V244" s="46">
        <f>44.011*(U244/(12.011+1.008*'Tier 3 CO2 Tables'!B$6+16*'Tier 3 CO2 Tables'!C$6))</f>
        <v>51.193500188778565</v>
      </c>
      <c r="W244" s="46">
        <f>I244*'T3 Methane'!D$30</f>
        <v>18408627.363200501</v>
      </c>
      <c r="X244" s="46" cm="1">
        <f t="array" ref="X244">_xlfn.IFS(E244='Euro Age Table'!C$5,'Euro Age Table'!G$5,E244='Euro Age Table'!C$6,'Euro Age Table'!G$6,E244='Euro Age Table'!C$7,'Euro Age Table'!G$7,E244='Euro Age Table'!C$8,'Euro Age Table'!G$8,E244='Euro Age Table'!C$9,'Euro Age Table'!G$9,E244='Euro Age Table'!C$10,'Euro Age Table'!G$10,E244='Euro Age Table'!C$11,'Euro Age Table'!G$11)</f>
        <v>13</v>
      </c>
      <c r="Y244" s="46">
        <f>X244*'Eilat Car Data'!F$6</f>
        <v>360100</v>
      </c>
      <c r="Z244" s="46">
        <f>'T3 N2O HDV'!C21</f>
        <v>17.399999999999999</v>
      </c>
      <c r="AA244" s="124">
        <f t="shared" si="15"/>
        <v>1830343.5206839354</v>
      </c>
    </row>
    <row r="245" spans="1:27" ht="12.5">
      <c r="A245" s="58" t="s">
        <v>75</v>
      </c>
      <c r="B245" s="49" t="s">
        <v>22</v>
      </c>
      <c r="C245" s="49" t="s">
        <v>79</v>
      </c>
      <c r="D245" s="56" t="s">
        <v>82</v>
      </c>
      <c r="E245" s="50" t="s">
        <v>59</v>
      </c>
      <c r="F245" s="97">
        <v>2.5639332898721747E-2</v>
      </c>
      <c r="G245" s="99">
        <f t="shared" si="12"/>
        <v>16.229697724890865</v>
      </c>
      <c r="H245" s="46"/>
      <c r="I245" s="46">
        <f>G245*'Eilat Car Data'!F$6</f>
        <v>449562.62697947695</v>
      </c>
      <c r="J245" s="46">
        <f>I245*'Tier 1 Coefficients'!I$10</f>
        <v>107895030.47507447</v>
      </c>
      <c r="K245" s="46">
        <f t="shared" si="13"/>
        <v>107895.03047507447</v>
      </c>
      <c r="L245" s="46">
        <f>K245*'Tier 1 Coefficients'!D$4</f>
        <v>341919.35157551098</v>
      </c>
      <c r="M245" s="46">
        <f>K245*'Tier 1 Coefficients'!C$21</f>
        <v>274053.37740668916</v>
      </c>
      <c r="N245" s="46">
        <f>K245*'Tier 1 Coefficients'!C$45</f>
        <v>5502.6465542287979</v>
      </c>
      <c r="O245" s="46">
        <f>I245*'Tier 2 FC'!D$36</f>
        <v>94408151.665690154</v>
      </c>
      <c r="P245" s="46">
        <f t="shared" si="14"/>
        <v>94408.151665690151</v>
      </c>
      <c r="Q245" s="46">
        <f>P245*'Tier 1 Coefficients'!D$4</f>
        <v>299179.4326285721</v>
      </c>
      <c r="R245" s="46">
        <f>$I245*'T2 HDV'!D24</f>
        <v>4945.1888967742461</v>
      </c>
      <c r="S245" s="121">
        <f>$I245*'T2 HDV'!E24</f>
        <v>218487.43671202578</v>
      </c>
      <c r="T245" s="46">
        <f>44.011*(P245/(12.011+1.008*'Tier 3 CO2 Tables'!B$4+16*'Tier 3 CO2 Tables'!C$4))</f>
        <v>299224.61975464929</v>
      </c>
      <c r="U245" s="46">
        <f>I245*'Tier 3 CO2 Tables'!H$15/10000</f>
        <v>70.13176980879841</v>
      </c>
      <c r="V245" s="46">
        <f>44.011*(U245/(12.011+1.008*'Tier 3 CO2 Tables'!B$6+16*'Tier 3 CO2 Tables'!C$6))</f>
        <v>218.78707714791608</v>
      </c>
      <c r="W245" s="46">
        <f>I245*'T3 Methane'!D$30</f>
        <v>78673459.721408471</v>
      </c>
      <c r="X245" s="46" cm="1">
        <f t="array" ref="X245">_xlfn.IFS(E245='Euro Age Table'!C$5,'Euro Age Table'!G$5,E245='Euro Age Table'!C$6,'Euro Age Table'!G$6,E245='Euro Age Table'!C$7,'Euro Age Table'!G$7,E245='Euro Age Table'!C$8,'Euro Age Table'!G$8,E245='Euro Age Table'!C$9,'Euro Age Table'!G$9,E245='Euro Age Table'!C$10,'Euro Age Table'!G$10,E245='Euro Age Table'!C$11,'Euro Age Table'!G$11)</f>
        <v>9</v>
      </c>
      <c r="Y245" s="46">
        <f>X245*'Eilat Car Data'!F$6</f>
        <v>249300</v>
      </c>
      <c r="Z245" s="46">
        <f>'T3 N2O HDV'!C22</f>
        <v>45.6</v>
      </c>
      <c r="AA245" s="124">
        <f t="shared" si="15"/>
        <v>20500055.790264148</v>
      </c>
    </row>
    <row r="246" spans="1:27" ht="12.5">
      <c r="A246" s="58" t="s">
        <v>75</v>
      </c>
      <c r="B246" s="49" t="s">
        <v>22</v>
      </c>
      <c r="C246" s="49" t="s">
        <v>79</v>
      </c>
      <c r="D246" s="57" t="s">
        <v>82</v>
      </c>
      <c r="E246" s="50" t="s">
        <v>60</v>
      </c>
      <c r="F246" s="97">
        <v>7.3295318573043625E-2</v>
      </c>
      <c r="G246" s="99">
        <f t="shared" si="12"/>
        <v>46.395936656736616</v>
      </c>
      <c r="H246" s="46"/>
      <c r="I246" s="46">
        <f>G246*'Eilat Car Data'!F$6</f>
        <v>1285167.4453916042</v>
      </c>
      <c r="J246" s="46">
        <f>I246*'Tier 1 Coefficients'!I$10</f>
        <v>308440186.89398503</v>
      </c>
      <c r="K246" s="46">
        <f t="shared" si="13"/>
        <v>308440.18689398502</v>
      </c>
      <c r="L246" s="46">
        <f>K246*'Tier 1 Coefficients'!D$4</f>
        <v>977446.95226703852</v>
      </c>
      <c r="M246" s="46">
        <f>K246*'Tier 1 Coefficients'!C$21</f>
        <v>783438.07471072196</v>
      </c>
      <c r="N246" s="46">
        <f>K246*'Tier 1 Coefficients'!C$45</f>
        <v>15730.449531593234</v>
      </c>
      <c r="O246" s="46">
        <f>I246*'Tier 2 FC'!D$36</f>
        <v>269885163.53223687</v>
      </c>
      <c r="P246" s="46">
        <f t="shared" si="14"/>
        <v>269885.16353223688</v>
      </c>
      <c r="Q246" s="46">
        <f>P246*'Tier 1 Coefficients'!D$4</f>
        <v>855266.08323365869</v>
      </c>
      <c r="R246" s="46">
        <f>$I246*'T2 HDV'!D25</f>
        <v>11566.507008524437</v>
      </c>
      <c r="S246" s="121">
        <f>$I246*'T2 HDV'!E25</f>
        <v>624591.3784603196</v>
      </c>
      <c r="T246" s="46">
        <f>44.011*(P246/(12.011+1.008*'Tier 3 CO2 Tables'!B$4+16*'Tier 3 CO2 Tables'!C$4))</f>
        <v>855395.25994875934</v>
      </c>
      <c r="U246" s="46">
        <f>I246*'Tier 3 CO2 Tables'!H$15/10000</f>
        <v>200.48612148109027</v>
      </c>
      <c r="V246" s="46">
        <f>44.011*(U246/(12.011+1.008*'Tier 3 CO2 Tables'!B$6+16*'Tier 3 CO2 Tables'!C$6))</f>
        <v>625.44796241641154</v>
      </c>
      <c r="W246" s="46">
        <f>I246*'T3 Methane'!D$30</f>
        <v>224904302.94353074</v>
      </c>
      <c r="X246" s="46" cm="1">
        <f t="array" ref="X246">_xlfn.IFS(E246='Euro Age Table'!C$5,'Euro Age Table'!G$5,E246='Euro Age Table'!C$6,'Euro Age Table'!G$6,E246='Euro Age Table'!C$7,'Euro Age Table'!G$7,E246='Euro Age Table'!C$8,'Euro Age Table'!G$8,E246='Euro Age Table'!C$9,'Euro Age Table'!G$9,E246='Euro Age Table'!C$10,'Euro Age Table'!G$10,E246='Euro Age Table'!C$11,'Euro Age Table'!G$11)</f>
        <v>3</v>
      </c>
      <c r="Y246" s="46">
        <f>X246*'Eilat Car Data'!F$6</f>
        <v>83100</v>
      </c>
      <c r="Z246" s="46">
        <f>'T3 N2O HDV'!C23</f>
        <v>56.5</v>
      </c>
      <c r="AA246" s="124">
        <f t="shared" si="15"/>
        <v>72611960.664625645</v>
      </c>
    </row>
    <row r="247" spans="1:27" ht="12.5">
      <c r="A247" s="58" t="s">
        <v>75</v>
      </c>
      <c r="B247" s="49" t="s">
        <v>22</v>
      </c>
      <c r="C247" s="49" t="s">
        <v>79</v>
      </c>
      <c r="D247" s="56" t="s">
        <v>83</v>
      </c>
      <c r="E247" s="50" t="s">
        <v>54</v>
      </c>
      <c r="F247" s="97">
        <v>8.2521187314843085E-6</v>
      </c>
      <c r="G247" s="99">
        <f t="shared" si="12"/>
        <v>5.223591157029567E-3</v>
      </c>
      <c r="H247" s="46"/>
      <c r="I247" s="46">
        <f>G247*'Eilat Car Data'!F$6</f>
        <v>144.69347504971901</v>
      </c>
      <c r="J247" s="46">
        <f>I247*'Tier 1 Coefficients'!I$10</f>
        <v>34726.434011932564</v>
      </c>
      <c r="K247" s="46">
        <f t="shared" si="13"/>
        <v>34.726434011932561</v>
      </c>
      <c r="L247" s="46">
        <f>K247*'Tier 1 Coefficients'!D$4</f>
        <v>110.04806938381429</v>
      </c>
      <c r="M247" s="46">
        <f>K247*'Tier 1 Coefficients'!C$21</f>
        <v>88.205142390308708</v>
      </c>
      <c r="N247" s="46">
        <f>K247*'Tier 1 Coefficients'!C$45</f>
        <v>1.7710481346085605</v>
      </c>
      <c r="O247" s="46">
        <f>I247*'Tier 2 FC'!D37</f>
        <v>42973.962089766545</v>
      </c>
      <c r="P247" s="46">
        <f t="shared" si="14"/>
        <v>42.973962089766545</v>
      </c>
      <c r="Q247" s="46">
        <f>P247*'Tier 1 Coefficients'!D$4</f>
        <v>136.18448586247018</v>
      </c>
      <c r="R247" s="46">
        <f>$I247*'T2 HDV'!D27</f>
        <v>0.41961107764418509</v>
      </c>
      <c r="S247" s="121">
        <f>$I247*'T2 HDV'!E27</f>
        <v>70.321028874163432</v>
      </c>
      <c r="T247" s="46">
        <f>44.011*(P247/(12.011+1.008*'Tier 3 CO2 Tables'!B$4+16*'Tier 3 CO2 Tables'!C$4))</f>
        <v>136.2050547414147</v>
      </c>
      <c r="U247" s="46">
        <f>I247*'Tier 3 CO2 Tables'!H$15/10000</f>
        <v>2.2572182107756165E-2</v>
      </c>
      <c r="V247" s="46">
        <f>44.011*(U247/(12.011+1.008*'Tier 3 CO2 Tables'!B$6+16*'Tier 3 CO2 Tables'!C$6))</f>
        <v>7.0417469310561975E-2</v>
      </c>
      <c r="W247" s="46">
        <f>I247*'T3 Methane'!D$30</f>
        <v>25321.358133700825</v>
      </c>
      <c r="X247" s="46" cm="1">
        <f t="array" ref="X247">_xlfn.IFS(E247='Euro Age Table'!C$5,'Euro Age Table'!G$5,E247='Euro Age Table'!C$6,'Euro Age Table'!G$6,E247='Euro Age Table'!C$7,'Euro Age Table'!G$7,E247='Euro Age Table'!C$8,'Euro Age Table'!G$8,E247='Euro Age Table'!C$9,'Euro Age Table'!G$9,E247='Euro Age Table'!C$10,'Euro Age Table'!G$10,E247='Euro Age Table'!C$11,'Euro Age Table'!G$11)</f>
        <v>27</v>
      </c>
      <c r="Y247" s="46">
        <f>X247*'Eilat Car Data'!F$6</f>
        <v>747900</v>
      </c>
      <c r="Z247" s="46">
        <f>'T3 N2O HDV'!C24</f>
        <v>30</v>
      </c>
      <c r="AA247" s="124">
        <f t="shared" si="15"/>
        <v>4340.8042514915705</v>
      </c>
    </row>
    <row r="248" spans="1:27" ht="12.5">
      <c r="A248" s="58" t="s">
        <v>75</v>
      </c>
      <c r="B248" s="49" t="s">
        <v>22</v>
      </c>
      <c r="C248" s="49" t="s">
        <v>79</v>
      </c>
      <c r="D248" s="56" t="s">
        <v>83</v>
      </c>
      <c r="E248" s="50" t="s">
        <v>55</v>
      </c>
      <c r="F248" s="97">
        <v>8.2521187314843085E-6</v>
      </c>
      <c r="G248" s="99">
        <f t="shared" si="12"/>
        <v>5.223591157029567E-3</v>
      </c>
      <c r="H248" s="46"/>
      <c r="I248" s="46">
        <f>G248*'Eilat Car Data'!F$6</f>
        <v>144.69347504971901</v>
      </c>
      <c r="J248" s="46">
        <f>I248*'Tier 1 Coefficients'!I$10</f>
        <v>34726.434011932564</v>
      </c>
      <c r="K248" s="46">
        <f t="shared" si="13"/>
        <v>34.726434011932561</v>
      </c>
      <c r="L248" s="46">
        <f>K248*'Tier 1 Coefficients'!D$4</f>
        <v>110.04806938381429</v>
      </c>
      <c r="M248" s="46">
        <f>K248*'Tier 1 Coefficients'!C$21</f>
        <v>88.205142390308708</v>
      </c>
      <c r="N248" s="46">
        <f>K248*'Tier 1 Coefficients'!C$45</f>
        <v>1.7710481346085605</v>
      </c>
      <c r="O248" s="46">
        <f>I248*'Tier 2 FC'!D$38</f>
        <v>36318.062237479469</v>
      </c>
      <c r="P248" s="46">
        <f t="shared" si="14"/>
        <v>36.318062237479467</v>
      </c>
      <c r="Q248" s="46">
        <f>P248*'Tier 1 Coefficients'!D$4</f>
        <v>115.09193923057244</v>
      </c>
      <c r="R248" s="46">
        <f>$I248*'T2 HDV'!D28</f>
        <v>0.41961107764418509</v>
      </c>
      <c r="S248" s="121">
        <f>$I248*'T2 HDV'!E28</f>
        <v>70.321028874163432</v>
      </c>
      <c r="T248" s="46">
        <f>44.011*(P248/(12.011+1.008*'Tier 3 CO2 Tables'!B$4+16*'Tier 3 CO2 Tables'!C$4))</f>
        <v>115.10932235722251</v>
      </c>
      <c r="U248" s="46">
        <f>I248*'Tier 3 CO2 Tables'!H$15/10000</f>
        <v>2.2572182107756165E-2</v>
      </c>
      <c r="V248" s="46">
        <f>44.011*(U248/(12.011+1.008*'Tier 3 CO2 Tables'!B$6+16*'Tier 3 CO2 Tables'!C$6))</f>
        <v>7.0417469310561975E-2</v>
      </c>
      <c r="W248" s="46">
        <f>I248*'T3 Methane'!D$30</f>
        <v>25321.358133700825</v>
      </c>
      <c r="X248" s="46" cm="1">
        <f t="array" ref="X248">_xlfn.IFS(E248='Euro Age Table'!C$5,'Euro Age Table'!G$5,E248='Euro Age Table'!C$6,'Euro Age Table'!G$6,E248='Euro Age Table'!C$7,'Euro Age Table'!G$7,E248='Euro Age Table'!C$8,'Euro Age Table'!G$8,E248='Euro Age Table'!C$9,'Euro Age Table'!G$9,E248='Euro Age Table'!C$10,'Euro Age Table'!G$10,E248='Euro Age Table'!C$11,'Euro Age Table'!G$11)</f>
        <v>23</v>
      </c>
      <c r="Y248" s="46">
        <f>X248*'Eilat Car Data'!F$6</f>
        <v>637100</v>
      </c>
      <c r="Z248" s="46">
        <f>'T3 N2O HDV'!C25</f>
        <v>18</v>
      </c>
      <c r="AA248" s="124">
        <f t="shared" si="15"/>
        <v>2604.4825508949421</v>
      </c>
    </row>
    <row r="249" spans="1:27" ht="12.5">
      <c r="A249" s="58" t="s">
        <v>75</v>
      </c>
      <c r="B249" s="49" t="s">
        <v>22</v>
      </c>
      <c r="C249" s="49" t="s">
        <v>79</v>
      </c>
      <c r="D249" s="56" t="s">
        <v>83</v>
      </c>
      <c r="E249" s="50" t="s">
        <v>56</v>
      </c>
      <c r="F249" s="97">
        <v>4.1260593657421542E-5</v>
      </c>
      <c r="G249" s="99">
        <f t="shared" si="12"/>
        <v>2.6117955785147837E-2</v>
      </c>
      <c r="H249" s="46"/>
      <c r="I249" s="46">
        <f>G249*'Eilat Car Data'!F$6</f>
        <v>723.46737524859509</v>
      </c>
      <c r="J249" s="46">
        <f>I249*'Tier 1 Coefficients'!I$10</f>
        <v>173632.17005966284</v>
      </c>
      <c r="K249" s="46">
        <f t="shared" si="13"/>
        <v>173.63217005966283</v>
      </c>
      <c r="L249" s="46">
        <f>K249*'Tier 1 Coefficients'!D$4</f>
        <v>550.2403469190715</v>
      </c>
      <c r="M249" s="46">
        <f>K249*'Tier 1 Coefficients'!C$21</f>
        <v>441.0257119515436</v>
      </c>
      <c r="N249" s="46">
        <f>K249*'Tier 1 Coefficients'!C$45</f>
        <v>8.8552406730428039</v>
      </c>
      <c r="O249" s="46">
        <f>I249*'Tier 2 FC'!D$38</f>
        <v>181590.31118739737</v>
      </c>
      <c r="P249" s="46">
        <f t="shared" si="14"/>
        <v>181.59031118739736</v>
      </c>
      <c r="Q249" s="46">
        <f>P249*'Tier 1 Coefficients'!D$4</f>
        <v>575.45969615286219</v>
      </c>
      <c r="R249" s="46">
        <f>$I249*'T2 HDV'!D29</f>
        <v>2.0980553882209256</v>
      </c>
      <c r="S249" s="121">
        <f>$I249*'T2 HDV'!E29</f>
        <v>351.60514437081719</v>
      </c>
      <c r="T249" s="46">
        <f>44.011*(P249/(12.011+1.008*'Tier 3 CO2 Tables'!B$4+16*'Tier 3 CO2 Tables'!C$4))</f>
        <v>575.54661178611263</v>
      </c>
      <c r="U249" s="46">
        <f>I249*'Tier 3 CO2 Tables'!H$15/10000</f>
        <v>0.11286091053878083</v>
      </c>
      <c r="V249" s="46">
        <f>44.011*(U249/(12.011+1.008*'Tier 3 CO2 Tables'!B$6+16*'Tier 3 CO2 Tables'!C$6))</f>
        <v>0.35208734655280993</v>
      </c>
      <c r="W249" s="46">
        <f>I249*'T3 Methane'!D$30</f>
        <v>126606.79066850414</v>
      </c>
      <c r="X249" s="46" cm="1">
        <f t="array" ref="X249">_xlfn.IFS(E249='Euro Age Table'!C$5,'Euro Age Table'!G$5,E249='Euro Age Table'!C$6,'Euro Age Table'!G$6,E249='Euro Age Table'!C$7,'Euro Age Table'!G$7,E249='Euro Age Table'!C$8,'Euro Age Table'!G$8,E249='Euro Age Table'!C$9,'Euro Age Table'!G$9,E249='Euro Age Table'!C$10,'Euro Age Table'!G$10,E249='Euro Age Table'!C$11,'Euro Age Table'!G$11)</f>
        <v>18</v>
      </c>
      <c r="Y249" s="46">
        <f>X249*'Eilat Car Data'!F$6</f>
        <v>498600</v>
      </c>
      <c r="Z249" s="46">
        <f>'T3 N2O HDV'!C26</f>
        <v>18</v>
      </c>
      <c r="AA249" s="124">
        <f t="shared" si="15"/>
        <v>13022.412754474712</v>
      </c>
    </row>
    <row r="250" spans="1:27" ht="12.5">
      <c r="A250" s="58" t="s">
        <v>75</v>
      </c>
      <c r="B250" s="49" t="s">
        <v>22</v>
      </c>
      <c r="C250" s="49" t="s">
        <v>79</v>
      </c>
      <c r="D250" s="56" t="s">
        <v>83</v>
      </c>
      <c r="E250" s="50" t="s">
        <v>57</v>
      </c>
      <c r="F250" s="97">
        <v>4.2911017403718404E-4</v>
      </c>
      <c r="G250" s="99">
        <f t="shared" si="12"/>
        <v>0.27162674016553751</v>
      </c>
      <c r="H250" s="106"/>
      <c r="I250" s="46">
        <f>G250*'Eilat Car Data'!F$6</f>
        <v>7524.0607025853888</v>
      </c>
      <c r="J250" s="46">
        <f>I250*'Tier 1 Coefficients'!I$10</f>
        <v>1805774.5686204934</v>
      </c>
      <c r="K250" s="46">
        <f t="shared" si="13"/>
        <v>1805.7745686204935</v>
      </c>
      <c r="L250" s="46">
        <f>K250*'Tier 1 Coefficients'!D$4</f>
        <v>5722.4996079583443</v>
      </c>
      <c r="M250" s="46">
        <f>K250*'Tier 1 Coefficients'!C$21</f>
        <v>4586.6674042960531</v>
      </c>
      <c r="N250" s="46">
        <f>K250*'Tier 1 Coefficients'!C$45</f>
        <v>92.094502999645158</v>
      </c>
      <c r="O250" s="46">
        <f>I250*'Tier 2 FC'!D$38</f>
        <v>1888539.2363489326</v>
      </c>
      <c r="P250" s="46">
        <f t="shared" si="14"/>
        <v>1888.5392363489327</v>
      </c>
      <c r="Q250" s="46">
        <f>P250*'Tier 1 Coefficients'!D$4</f>
        <v>5984.7808399897676</v>
      </c>
      <c r="R250" s="46">
        <f>$I250*'T2 HDV'!D30</f>
        <v>21.819776037497626</v>
      </c>
      <c r="S250" s="121">
        <f>$I250*'T2 HDV'!E30</f>
        <v>3656.6935014564988</v>
      </c>
      <c r="T250" s="46">
        <f>44.011*(P250/(12.011+1.008*'Tier 3 CO2 Tables'!B$4+16*'Tier 3 CO2 Tables'!C$4))</f>
        <v>5985.6847625755718</v>
      </c>
      <c r="U250" s="46">
        <f>I250*'Tier 3 CO2 Tables'!H$15/10000</f>
        <v>1.1737534696033207</v>
      </c>
      <c r="V250" s="46">
        <f>44.011*(U250/(12.011+1.008*'Tier 3 CO2 Tables'!B$6+16*'Tier 3 CO2 Tables'!C$6))</f>
        <v>3.6617084041492238</v>
      </c>
      <c r="W250" s="46">
        <f>I250*'T3 Methane'!D$30</f>
        <v>1316710.6229524431</v>
      </c>
      <c r="X250" s="46" cm="1">
        <f t="array" ref="X250">_xlfn.IFS(E250='Euro Age Table'!C$5,'Euro Age Table'!G$5,E250='Euro Age Table'!C$6,'Euro Age Table'!G$6,E250='Euro Age Table'!C$7,'Euro Age Table'!G$7,E250='Euro Age Table'!C$8,'Euro Age Table'!G$8,E250='Euro Age Table'!C$9,'Euro Age Table'!G$9,E250='Euro Age Table'!C$10,'Euro Age Table'!G$10,E250='Euro Age Table'!C$11,'Euro Age Table'!G$11)</f>
        <v>16</v>
      </c>
      <c r="Y250" s="46">
        <f>X250*'Eilat Car Data'!F$6</f>
        <v>443200</v>
      </c>
      <c r="Z250" s="46">
        <f>'T3 N2O HDV'!C27</f>
        <v>9</v>
      </c>
      <c r="AA250" s="124">
        <f t="shared" si="15"/>
        <v>67716.5463232685</v>
      </c>
    </row>
    <row r="251" spans="1:27" ht="12.5">
      <c r="A251" s="58" t="s">
        <v>75</v>
      </c>
      <c r="B251" s="49" t="s">
        <v>22</v>
      </c>
      <c r="C251" s="49" t="s">
        <v>79</v>
      </c>
      <c r="D251" s="56" t="s">
        <v>83</v>
      </c>
      <c r="E251" s="50" t="s">
        <v>58</v>
      </c>
      <c r="F251" s="97">
        <v>8.2521187314843085E-5</v>
      </c>
      <c r="G251" s="99">
        <f t="shared" si="12"/>
        <v>5.2235911570295675E-2</v>
      </c>
      <c r="H251" s="46"/>
      <c r="I251" s="46">
        <f>G251*'Eilat Car Data'!F$6</f>
        <v>1446.9347504971902</v>
      </c>
      <c r="J251" s="46">
        <f>I251*'Tier 1 Coefficients'!I$10</f>
        <v>347264.34011932567</v>
      </c>
      <c r="K251" s="46">
        <f t="shared" si="13"/>
        <v>347.26434011932565</v>
      </c>
      <c r="L251" s="46">
        <f>K251*'Tier 1 Coefficients'!D$4</f>
        <v>1100.480693838143</v>
      </c>
      <c r="M251" s="46">
        <f>K251*'Tier 1 Coefficients'!C$21</f>
        <v>882.0514239030872</v>
      </c>
      <c r="N251" s="46">
        <f>K251*'Tier 1 Coefficients'!C$45</f>
        <v>17.710481346085608</v>
      </c>
      <c r="O251" s="46">
        <f>I251*'Tier 2 FC'!D$38</f>
        <v>363180.62237479474</v>
      </c>
      <c r="P251" s="46">
        <f t="shared" si="14"/>
        <v>363.18062237479472</v>
      </c>
      <c r="Q251" s="46">
        <f>P251*'Tier 1 Coefficients'!D$4</f>
        <v>1150.9193923057244</v>
      </c>
      <c r="R251" s="46">
        <f>$I251*'T2 HDV'!D31</f>
        <v>4.1961107764418513</v>
      </c>
      <c r="S251" s="121">
        <f>$I251*'T2 HDV'!E31</f>
        <v>703.21028874163437</v>
      </c>
      <c r="T251" s="46">
        <f>44.011*(P251/(12.011+1.008*'Tier 3 CO2 Tables'!B$4+16*'Tier 3 CO2 Tables'!C$4))</f>
        <v>1151.0932235722253</v>
      </c>
      <c r="U251" s="46">
        <f>I251*'Tier 3 CO2 Tables'!H$15/10000</f>
        <v>0.22572182107756167</v>
      </c>
      <c r="V251" s="46">
        <f>44.011*(U251/(12.011+1.008*'Tier 3 CO2 Tables'!B$6+16*'Tier 3 CO2 Tables'!C$6))</f>
        <v>0.70417469310561986</v>
      </c>
      <c r="W251" s="46">
        <f>I251*'T3 Methane'!D$30</f>
        <v>253213.58133700828</v>
      </c>
      <c r="X251" s="46" cm="1">
        <f t="array" ref="X251">_xlfn.IFS(E251='Euro Age Table'!C$5,'Euro Age Table'!G$5,E251='Euro Age Table'!C$6,'Euro Age Table'!G$6,E251='Euro Age Table'!C$7,'Euro Age Table'!G$7,E251='Euro Age Table'!C$8,'Euro Age Table'!G$8,E251='Euro Age Table'!C$9,'Euro Age Table'!G$9,E251='Euro Age Table'!C$10,'Euro Age Table'!G$10,E251='Euro Age Table'!C$11,'Euro Age Table'!G$11)</f>
        <v>13</v>
      </c>
      <c r="Y251" s="46">
        <f>X251*'Eilat Car Data'!F$6</f>
        <v>360100</v>
      </c>
      <c r="Z251" s="46">
        <f>'T3 N2O HDV'!C28</f>
        <v>19</v>
      </c>
      <c r="AA251" s="124">
        <f t="shared" si="15"/>
        <v>27491.760259446615</v>
      </c>
    </row>
    <row r="252" spans="1:27" ht="12.5">
      <c r="A252" s="58" t="s">
        <v>75</v>
      </c>
      <c r="B252" s="49" t="s">
        <v>22</v>
      </c>
      <c r="C252" s="49" t="s">
        <v>79</v>
      </c>
      <c r="D252" s="56" t="s">
        <v>83</v>
      </c>
      <c r="E252" s="50" t="s">
        <v>59</v>
      </c>
      <c r="F252" s="97">
        <v>8.2521187314843085E-5</v>
      </c>
      <c r="G252" s="99">
        <f t="shared" si="12"/>
        <v>5.2235911570295675E-2</v>
      </c>
      <c r="H252" s="46"/>
      <c r="I252" s="46">
        <f>G252*'Eilat Car Data'!F$6</f>
        <v>1446.9347504971902</v>
      </c>
      <c r="J252" s="46">
        <f>I252*'Tier 1 Coefficients'!I$10</f>
        <v>347264.34011932567</v>
      </c>
      <c r="K252" s="46">
        <f t="shared" si="13"/>
        <v>347.26434011932565</v>
      </c>
      <c r="L252" s="46">
        <f>K252*'Tier 1 Coefficients'!D$4</f>
        <v>1100.480693838143</v>
      </c>
      <c r="M252" s="46">
        <f>K252*'Tier 1 Coefficients'!C$21</f>
        <v>882.0514239030872</v>
      </c>
      <c r="N252" s="46">
        <f>K252*'Tier 1 Coefficients'!C$45</f>
        <v>17.710481346085608</v>
      </c>
      <c r="O252" s="46">
        <f>I252*'Tier 2 FC'!D$38</f>
        <v>363180.62237479474</v>
      </c>
      <c r="P252" s="46">
        <f t="shared" si="14"/>
        <v>363.18062237479472</v>
      </c>
      <c r="Q252" s="46">
        <f>P252*'Tier 1 Coefficients'!D$4</f>
        <v>1150.9193923057244</v>
      </c>
      <c r="R252" s="46">
        <f>$I252*'T2 HDV'!D32</f>
        <v>15.916282255469092</v>
      </c>
      <c r="S252" s="121">
        <f>$I252*'T2 HDV'!E32</f>
        <v>703.21028874163437</v>
      </c>
      <c r="T252" s="46">
        <f>44.011*(P252/(12.011+1.008*'Tier 3 CO2 Tables'!B$4+16*'Tier 3 CO2 Tables'!C$4))</f>
        <v>1151.0932235722253</v>
      </c>
      <c r="U252" s="46">
        <f>I252*'Tier 3 CO2 Tables'!H$15/10000</f>
        <v>0.22572182107756167</v>
      </c>
      <c r="V252" s="46">
        <f>44.011*(U252/(12.011+1.008*'Tier 3 CO2 Tables'!B$6+16*'Tier 3 CO2 Tables'!C$6))</f>
        <v>0.70417469310561986</v>
      </c>
      <c r="W252" s="46">
        <f>I252*'T3 Methane'!D$30</f>
        <v>253213.58133700828</v>
      </c>
      <c r="X252" s="46" cm="1">
        <f t="array" ref="X252">_xlfn.IFS(E252='Euro Age Table'!C$5,'Euro Age Table'!G$5,E252='Euro Age Table'!C$6,'Euro Age Table'!G$6,E252='Euro Age Table'!C$7,'Euro Age Table'!G$7,E252='Euro Age Table'!C$8,'Euro Age Table'!G$8,E252='Euro Age Table'!C$9,'Euro Age Table'!G$9,E252='Euro Age Table'!C$10,'Euro Age Table'!G$10,E252='Euro Age Table'!C$11,'Euro Age Table'!G$11)</f>
        <v>9</v>
      </c>
      <c r="Y252" s="46">
        <f>X252*'Eilat Car Data'!F$6</f>
        <v>249300</v>
      </c>
      <c r="Z252" s="46">
        <f>'T3 N2O HDV'!C29</f>
        <v>49</v>
      </c>
      <c r="AA252" s="124">
        <f t="shared" si="15"/>
        <v>70899.802774362324</v>
      </c>
    </row>
    <row r="253" spans="1:27" ht="12.5">
      <c r="A253" s="58" t="s">
        <v>75</v>
      </c>
      <c r="B253" s="49" t="s">
        <v>22</v>
      </c>
      <c r="C253" s="49" t="s">
        <v>79</v>
      </c>
      <c r="D253" s="57" t="s">
        <v>83</v>
      </c>
      <c r="E253" s="50" t="s">
        <v>60</v>
      </c>
      <c r="F253" s="97">
        <v>3.0532839306491943E-4</v>
      </c>
      <c r="G253" s="99">
        <f t="shared" si="12"/>
        <v>0.193272872810094</v>
      </c>
      <c r="H253" s="46"/>
      <c r="I253" s="46">
        <f>G253*'Eilat Car Data'!F$6</f>
        <v>5353.6585768396035</v>
      </c>
      <c r="J253" s="46">
        <f>I253*'Tier 1 Coefficients'!I$10</f>
        <v>1284878.0584415048</v>
      </c>
      <c r="K253" s="46">
        <f t="shared" si="13"/>
        <v>1284.8780584415049</v>
      </c>
      <c r="L253" s="46">
        <f>K253*'Tier 1 Coefficients'!D$4</f>
        <v>4071.7785672011291</v>
      </c>
      <c r="M253" s="46">
        <f>K253*'Tier 1 Coefficients'!C$21</f>
        <v>3263.5902684414223</v>
      </c>
      <c r="N253" s="46">
        <f>K253*'Tier 1 Coefficients'!C$45</f>
        <v>65.528780980516743</v>
      </c>
      <c r="O253" s="46">
        <f>I253*'Tier 2 FC'!D$38</f>
        <v>1343768.3027867405</v>
      </c>
      <c r="P253" s="46">
        <f t="shared" si="14"/>
        <v>1343.7683027867404</v>
      </c>
      <c r="Q253" s="46">
        <f>P253*'Tier 1 Coefficients'!D$4</f>
        <v>4258.4017515311807</v>
      </c>
      <c r="R253" s="46">
        <f>$I253*'T2 HDV'!D33</f>
        <v>48.182927191556431</v>
      </c>
      <c r="S253" s="121">
        <f>$I253*'T2 HDV'!E33</f>
        <v>2601.8780683440473</v>
      </c>
      <c r="T253" s="46">
        <f>44.011*(P253/(12.011+1.008*'Tier 3 CO2 Tables'!B$4+16*'Tier 3 CO2 Tables'!C$4))</f>
        <v>4259.0449272172327</v>
      </c>
      <c r="U253" s="46">
        <f>I253*'Tier 3 CO2 Tables'!H$15/10000</f>
        <v>0.83517073798697816</v>
      </c>
      <c r="V253" s="46">
        <f>44.011*(U253/(12.011+1.008*'Tier 3 CO2 Tables'!B$6+16*'Tier 3 CO2 Tables'!C$6))</f>
        <v>2.6054463644907933</v>
      </c>
      <c r="W253" s="46">
        <f>I253*'T3 Methane'!D$30</f>
        <v>936890.25094693061</v>
      </c>
      <c r="X253" s="46" cm="1">
        <f t="array" ref="X253">_xlfn.IFS(E253='Euro Age Table'!C$5,'Euro Age Table'!G$5,E253='Euro Age Table'!C$6,'Euro Age Table'!G$6,E253='Euro Age Table'!C$7,'Euro Age Table'!G$7,E253='Euro Age Table'!C$8,'Euro Age Table'!G$8,E253='Euro Age Table'!C$9,'Euro Age Table'!G$9,E253='Euro Age Table'!C$10,'Euro Age Table'!G$10,E253='Euro Age Table'!C$11,'Euro Age Table'!G$11)</f>
        <v>3</v>
      </c>
      <c r="Y253" s="46">
        <f>X253*'Eilat Car Data'!F$6</f>
        <v>83100</v>
      </c>
      <c r="Z253" s="46">
        <f>'T3 N2O HDV'!C30</f>
        <v>61</v>
      </c>
      <c r="AA253" s="124">
        <f t="shared" si="15"/>
        <v>326573.17318721581</v>
      </c>
    </row>
    <row r="254" spans="1:27" ht="12.5">
      <c r="A254" s="58" t="s">
        <v>75</v>
      </c>
      <c r="B254" s="49" t="s">
        <v>22</v>
      </c>
      <c r="C254" s="49" t="s">
        <v>79</v>
      </c>
      <c r="D254" s="56" t="s">
        <v>84</v>
      </c>
      <c r="E254" s="50" t="s">
        <v>54</v>
      </c>
      <c r="F254" s="97">
        <v>5.7764831120390159E-5</v>
      </c>
      <c r="G254" s="99">
        <f t="shared" si="12"/>
        <v>3.6565138099206973E-2</v>
      </c>
      <c r="H254" s="46"/>
      <c r="I254" s="46">
        <f>G254*'Eilat Car Data'!F$6</f>
        <v>1012.8543253480332</v>
      </c>
      <c r="J254" s="46">
        <f>I254*'Tier 1 Coefficients'!I$10</f>
        <v>243085.03808352796</v>
      </c>
      <c r="K254" s="46">
        <f t="shared" si="13"/>
        <v>243.08503808352796</v>
      </c>
      <c r="L254" s="46">
        <f>K254*'Tier 1 Coefficients'!D$4</f>
        <v>770.33648568670014</v>
      </c>
      <c r="M254" s="46">
        <f>K254*'Tier 1 Coefficients'!C$21</f>
        <v>617.43599673216102</v>
      </c>
      <c r="N254" s="46">
        <f>K254*'Tier 1 Coefficients'!C$45</f>
        <v>12.397336942259924</v>
      </c>
      <c r="O254" s="46">
        <f>I254*'Tier 2 FC'!D$37</f>
        <v>300817.73462836584</v>
      </c>
      <c r="P254" s="46">
        <f t="shared" si="14"/>
        <v>300.81773462836583</v>
      </c>
      <c r="Q254" s="46">
        <f>P254*'Tier 1 Coefficients'!D$4</f>
        <v>953.29140103729128</v>
      </c>
      <c r="R254" s="46">
        <f>$I254*'T2 HDV'!D27</f>
        <v>2.9372775435092962</v>
      </c>
      <c r="S254" s="121">
        <f>$I254*'T2 HDV'!E27</f>
        <v>492.24720211914411</v>
      </c>
      <c r="T254" s="46">
        <f>44.011*(P254/(12.011+1.008*'Tier 3 CO2 Tables'!B$4+16*'Tier 3 CO2 Tables'!C$4))</f>
        <v>953.43538318990295</v>
      </c>
      <c r="U254" s="46">
        <f>I254*'Tier 3 CO2 Tables'!H$15/10000</f>
        <v>0.15800527475429318</v>
      </c>
      <c r="V254" s="46">
        <f>44.011*(U254/(12.011+1.008*'Tier 3 CO2 Tables'!B$6+16*'Tier 3 CO2 Tables'!C$6))</f>
        <v>0.49292228517393394</v>
      </c>
      <c r="W254" s="46">
        <f>I254*'T3 Methane'!D$30</f>
        <v>177249.50693590581</v>
      </c>
      <c r="X254" s="46" cm="1">
        <f t="array" ref="X254">_xlfn.IFS(E254='Euro Age Table'!C$5,'Euro Age Table'!G$5,E254='Euro Age Table'!C$6,'Euro Age Table'!G$6,E254='Euro Age Table'!C$7,'Euro Age Table'!G$7,E254='Euro Age Table'!C$8,'Euro Age Table'!G$8,E254='Euro Age Table'!C$9,'Euro Age Table'!G$9,E254='Euro Age Table'!C$10,'Euro Age Table'!G$10,E254='Euro Age Table'!C$11,'Euro Age Table'!G$11)</f>
        <v>27</v>
      </c>
      <c r="Y254" s="46">
        <f>X254*'Eilat Car Data'!F$6</f>
        <v>747900</v>
      </c>
      <c r="Z254" s="46">
        <f>'T3 N2O HDV'!C24</f>
        <v>30</v>
      </c>
      <c r="AA254" s="124">
        <f t="shared" si="15"/>
        <v>30385.629760440996</v>
      </c>
    </row>
    <row r="255" spans="1:27" ht="12.5">
      <c r="A255" s="58" t="s">
        <v>75</v>
      </c>
      <c r="B255" s="49" t="s">
        <v>22</v>
      </c>
      <c r="C255" s="49" t="s">
        <v>79</v>
      </c>
      <c r="D255" s="56" t="s">
        <v>84</v>
      </c>
      <c r="E255" s="50" t="s">
        <v>55</v>
      </c>
      <c r="F255" s="97">
        <v>5.7764831120390159E-5</v>
      </c>
      <c r="G255" s="99">
        <f t="shared" si="12"/>
        <v>3.6565138099206973E-2</v>
      </c>
      <c r="H255" s="46"/>
      <c r="I255" s="46">
        <f>G255*'Eilat Car Data'!F$6</f>
        <v>1012.8543253480332</v>
      </c>
      <c r="J255" s="46">
        <f>I255*'Tier 1 Coefficients'!I$10</f>
        <v>243085.03808352796</v>
      </c>
      <c r="K255" s="46">
        <f t="shared" si="13"/>
        <v>243.08503808352796</v>
      </c>
      <c r="L255" s="46">
        <f>K255*'Tier 1 Coefficients'!D$4</f>
        <v>770.33648568670014</v>
      </c>
      <c r="M255" s="46">
        <f>K255*'Tier 1 Coefficients'!C$21</f>
        <v>617.43599673216102</v>
      </c>
      <c r="N255" s="46">
        <f>K255*'Tier 1 Coefficients'!C$45</f>
        <v>12.397336942259924</v>
      </c>
      <c r="O255" s="46">
        <f>I255*'Tier 2 FC'!D$38</f>
        <v>254226.43566235632</v>
      </c>
      <c r="P255" s="46">
        <f t="shared" si="14"/>
        <v>254.22643566235632</v>
      </c>
      <c r="Q255" s="46">
        <f>P255*'Tier 1 Coefficients'!D$4</f>
        <v>805.64357461400721</v>
      </c>
      <c r="R255" s="46">
        <f>$I255*'T2 HDV'!D28</f>
        <v>2.9372775435092962</v>
      </c>
      <c r="S255" s="121">
        <f>$I255*'T2 HDV'!E28</f>
        <v>492.24720211914411</v>
      </c>
      <c r="T255" s="46">
        <f>44.011*(P255/(12.011+1.008*'Tier 3 CO2 Tables'!B$4+16*'Tier 3 CO2 Tables'!C$4))</f>
        <v>805.76525650055771</v>
      </c>
      <c r="U255" s="46">
        <f>I255*'Tier 3 CO2 Tables'!H$15/10000</f>
        <v>0.15800527475429318</v>
      </c>
      <c r="V255" s="46">
        <f>44.011*(U255/(12.011+1.008*'Tier 3 CO2 Tables'!B$6+16*'Tier 3 CO2 Tables'!C$6))</f>
        <v>0.49292228517393394</v>
      </c>
      <c r="W255" s="46">
        <f>I255*'T3 Methane'!D$30</f>
        <v>177249.50693590581</v>
      </c>
      <c r="X255" s="46" cm="1">
        <f t="array" ref="X255">_xlfn.IFS(E255='Euro Age Table'!C$5,'Euro Age Table'!G$5,E255='Euro Age Table'!C$6,'Euro Age Table'!G$6,E255='Euro Age Table'!C$7,'Euro Age Table'!G$7,E255='Euro Age Table'!C$8,'Euro Age Table'!G$8,E255='Euro Age Table'!C$9,'Euro Age Table'!G$9,E255='Euro Age Table'!C$10,'Euro Age Table'!G$10,E255='Euro Age Table'!C$11,'Euro Age Table'!G$11)</f>
        <v>23</v>
      </c>
      <c r="Y255" s="46">
        <f>X255*'Eilat Car Data'!F$6</f>
        <v>637100</v>
      </c>
      <c r="Z255" s="46">
        <f>'T3 N2O HDV'!C25</f>
        <v>18</v>
      </c>
      <c r="AA255" s="124">
        <f t="shared" si="15"/>
        <v>18231.377856264597</v>
      </c>
    </row>
    <row r="256" spans="1:27" ht="12.5">
      <c r="A256" s="58" t="s">
        <v>75</v>
      </c>
      <c r="B256" s="49" t="s">
        <v>22</v>
      </c>
      <c r="C256" s="49" t="s">
        <v>79</v>
      </c>
      <c r="D256" s="56" t="s">
        <v>84</v>
      </c>
      <c r="E256" s="50" t="s">
        <v>56</v>
      </c>
      <c r="F256" s="97">
        <v>2.3931144321304496E-4</v>
      </c>
      <c r="G256" s="99">
        <f t="shared" si="12"/>
        <v>0.15148414355385745</v>
      </c>
      <c r="H256" s="46"/>
      <c r="I256" s="46">
        <f>G256*'Eilat Car Data'!F$6</f>
        <v>4196.1107764418512</v>
      </c>
      <c r="J256" s="46">
        <f>I256*'Tier 1 Coefficients'!I$10</f>
        <v>1007066.5863460443</v>
      </c>
      <c r="K256" s="46">
        <f t="shared" si="13"/>
        <v>1007.0665863460443</v>
      </c>
      <c r="L256" s="46">
        <f>K256*'Tier 1 Coefficients'!D$4</f>
        <v>3191.3940121306146</v>
      </c>
      <c r="M256" s="46">
        <f>K256*'Tier 1 Coefficients'!C$21</f>
        <v>2557.9491293189526</v>
      </c>
      <c r="N256" s="46">
        <f>K256*'Tier 1 Coefficients'!C$45</f>
        <v>51.360395903648261</v>
      </c>
      <c r="O256" s="46">
        <f>I256*'Tier 2 FC'!D$38</f>
        <v>1053223.8048869045</v>
      </c>
      <c r="P256" s="46">
        <f t="shared" si="14"/>
        <v>1053.2238048869046</v>
      </c>
      <c r="Q256" s="46">
        <f>P256*'Tier 1 Coefficients'!D$4</f>
        <v>3337.6662376866007</v>
      </c>
      <c r="R256" s="46">
        <f>$I256*'T2 HDV'!D29</f>
        <v>12.168721251681367</v>
      </c>
      <c r="S256" s="121">
        <f>$I256*'T2 HDV'!E29</f>
        <v>2039.3098373507396</v>
      </c>
      <c r="T256" s="46">
        <f>44.011*(P256/(12.011+1.008*'Tier 3 CO2 Tables'!B$4+16*'Tier 3 CO2 Tables'!C$4))</f>
        <v>3338.1703483594529</v>
      </c>
      <c r="U256" s="46">
        <f>I256*'Tier 3 CO2 Tables'!H$15/10000</f>
        <v>0.65459328112492876</v>
      </c>
      <c r="V256" s="46">
        <f>44.011*(U256/(12.011+1.008*'Tier 3 CO2 Tables'!B$6+16*'Tier 3 CO2 Tables'!C$6))</f>
        <v>2.0421066100062975</v>
      </c>
      <c r="W256" s="46">
        <f>I256*'T3 Methane'!D$30</f>
        <v>734319.38587732392</v>
      </c>
      <c r="X256" s="46" cm="1">
        <f t="array" ref="X256">_xlfn.IFS(E256='Euro Age Table'!C$5,'Euro Age Table'!G$5,E256='Euro Age Table'!C$6,'Euro Age Table'!G$6,E256='Euro Age Table'!C$7,'Euro Age Table'!G$7,E256='Euro Age Table'!C$8,'Euro Age Table'!G$8,E256='Euro Age Table'!C$9,'Euro Age Table'!G$9,E256='Euro Age Table'!C$10,'Euro Age Table'!G$10,E256='Euro Age Table'!C$11,'Euro Age Table'!G$11)</f>
        <v>18</v>
      </c>
      <c r="Y256" s="46">
        <f>X256*'Eilat Car Data'!F$6</f>
        <v>498600</v>
      </c>
      <c r="Z256" s="46">
        <f>'T3 N2O HDV'!C26</f>
        <v>18</v>
      </c>
      <c r="AA256" s="124">
        <f t="shared" si="15"/>
        <v>75529.993975953315</v>
      </c>
    </row>
    <row r="257" spans="1:27" ht="12.5">
      <c r="A257" s="58" t="s">
        <v>75</v>
      </c>
      <c r="B257" s="49" t="s">
        <v>22</v>
      </c>
      <c r="C257" s="49" t="s">
        <v>79</v>
      </c>
      <c r="D257" s="56" t="s">
        <v>84</v>
      </c>
      <c r="E257" s="50" t="s">
        <v>57</v>
      </c>
      <c r="F257" s="97">
        <v>1.1140360287503817E-3</v>
      </c>
      <c r="G257" s="99">
        <f t="shared" si="12"/>
        <v>0.7051848061989916</v>
      </c>
      <c r="H257" s="46"/>
      <c r="I257" s="46">
        <f>G257*'Eilat Car Data'!F$6</f>
        <v>19533.619131712068</v>
      </c>
      <c r="J257" s="46">
        <f>I257*'Tier 1 Coefficients'!I$10</f>
        <v>4688068.5916108964</v>
      </c>
      <c r="K257" s="46">
        <f t="shared" si="13"/>
        <v>4688.068591610896</v>
      </c>
      <c r="L257" s="46">
        <f>K257*'Tier 1 Coefficients'!D$4</f>
        <v>14856.489366814929</v>
      </c>
      <c r="M257" s="46">
        <f>K257*'Tier 1 Coefficients'!C$21</f>
        <v>11907.694222691676</v>
      </c>
      <c r="N257" s="46">
        <f>K257*'Tier 1 Coefficients'!C$45</f>
        <v>239.09149817215567</v>
      </c>
      <c r="O257" s="46">
        <f>I257*'Tier 2 FC'!D$38</f>
        <v>4902938.4020597292</v>
      </c>
      <c r="P257" s="46">
        <f t="shared" si="14"/>
        <v>4902.938402059729</v>
      </c>
      <c r="Q257" s="46">
        <f>P257*'Tier 1 Coefficients'!D$4</f>
        <v>15537.411796127282</v>
      </c>
      <c r="R257" s="46">
        <f>$I257*'T2 HDV'!D30</f>
        <v>56.647495481964995</v>
      </c>
      <c r="S257" s="121">
        <f>$I257*'T2 HDV'!E30</f>
        <v>9493.3388980120653</v>
      </c>
      <c r="T257" s="46">
        <f>44.011*(P257/(12.011+1.008*'Tier 3 CO2 Tables'!B$4+16*'Tier 3 CO2 Tables'!C$4))</f>
        <v>15539.758518225042</v>
      </c>
      <c r="U257" s="46">
        <f>I257*'Tier 3 CO2 Tables'!H$15/10000</f>
        <v>3.0472445845470828</v>
      </c>
      <c r="V257" s="46">
        <f>44.011*(U257/(12.011+1.008*'Tier 3 CO2 Tables'!B$6+16*'Tier 3 CO2 Tables'!C$6))</f>
        <v>9.5063583569258689</v>
      </c>
      <c r="W257" s="46">
        <f>I257*'T3 Methane'!D$30</f>
        <v>3418383.3480496118</v>
      </c>
      <c r="X257" s="46" cm="1">
        <f t="array" ref="X257">_xlfn.IFS(E257='Euro Age Table'!C$5,'Euro Age Table'!G$5,E257='Euro Age Table'!C$6,'Euro Age Table'!G$6,E257='Euro Age Table'!C$7,'Euro Age Table'!G$7,E257='Euro Age Table'!C$8,'Euro Age Table'!G$8,E257='Euro Age Table'!C$9,'Euro Age Table'!G$9,E257='Euro Age Table'!C$10,'Euro Age Table'!G$10,E257='Euro Age Table'!C$11,'Euro Age Table'!G$11)</f>
        <v>16</v>
      </c>
      <c r="Y257" s="46">
        <f>X257*'Eilat Car Data'!F$6</f>
        <v>443200</v>
      </c>
      <c r="Z257" s="46">
        <f>'T3 N2O HDV'!C27</f>
        <v>9</v>
      </c>
      <c r="AA257" s="124">
        <f t="shared" si="15"/>
        <v>175802.57218540862</v>
      </c>
    </row>
    <row r="258" spans="1:27" ht="12.5">
      <c r="A258" s="58" t="s">
        <v>75</v>
      </c>
      <c r="B258" s="49" t="s">
        <v>22</v>
      </c>
      <c r="C258" s="49" t="s">
        <v>79</v>
      </c>
      <c r="D258" s="56" t="s">
        <v>84</v>
      </c>
      <c r="E258" s="50" t="s">
        <v>58</v>
      </c>
      <c r="F258" s="97">
        <v>5.2070869195665987E-3</v>
      </c>
      <c r="G258" s="99">
        <f t="shared" si="12"/>
        <v>3.296086020085657</v>
      </c>
      <c r="H258" s="46"/>
      <c r="I258" s="46">
        <f>G258*'Eilat Car Data'!F$6</f>
        <v>91301.582756372693</v>
      </c>
      <c r="J258" s="46">
        <f>I258*'Tier 1 Coefficients'!I$10</f>
        <v>21912379.861529447</v>
      </c>
      <c r="K258" s="46">
        <f t="shared" si="13"/>
        <v>21912.379861529447</v>
      </c>
      <c r="L258" s="46">
        <f>K258*'Tier 1 Coefficients'!D$4</f>
        <v>69440.331781186818</v>
      </c>
      <c r="M258" s="46">
        <f>K258*'Tier 1 Coefficients'!C$21</f>
        <v>55657.444848284795</v>
      </c>
      <c r="N258" s="46">
        <f>K258*'Tier 1 Coefficients'!C$45</f>
        <v>1117.5313729380018</v>
      </c>
      <c r="O258" s="46">
        <f>I258*'Tier 2 FC'!D$38</f>
        <v>22916697.271849547</v>
      </c>
      <c r="P258" s="46">
        <f t="shared" si="14"/>
        <v>22916.697271849545</v>
      </c>
      <c r="Q258" s="46">
        <f>P258*'Tier 1 Coefficients'!D$4</f>
        <v>72623.013654491209</v>
      </c>
      <c r="R258" s="46">
        <f>$I258*'T2 HDV'!D31</f>
        <v>264.77458999348079</v>
      </c>
      <c r="S258" s="121">
        <f>$I258*'T2 HDV'!E31</f>
        <v>44372.569219597128</v>
      </c>
      <c r="T258" s="46">
        <f>44.011*(P258/(12.011+1.008*'Tier 3 CO2 Tables'!B$4+16*'Tier 3 CO2 Tables'!C$4))</f>
        <v>72633.982407407413</v>
      </c>
      <c r="U258" s="46">
        <f>I258*'Tier 3 CO2 Tables'!H$15/10000</f>
        <v>14.24304690999414</v>
      </c>
      <c r="V258" s="46">
        <f>44.011*(U258/(12.011+1.008*'Tier 3 CO2 Tables'!B$6+16*'Tier 3 CO2 Tables'!C$6))</f>
        <v>44.433423134964613</v>
      </c>
      <c r="W258" s="46">
        <f>I258*'T3 Methane'!D$30</f>
        <v>15977776.982365221</v>
      </c>
      <c r="X258" s="46" cm="1">
        <f t="array" ref="X258">_xlfn.IFS(E258='Euro Age Table'!C$5,'Euro Age Table'!G$5,E258='Euro Age Table'!C$6,'Euro Age Table'!G$6,E258='Euro Age Table'!C$7,'Euro Age Table'!G$7,E258='Euro Age Table'!C$8,'Euro Age Table'!G$8,E258='Euro Age Table'!C$9,'Euro Age Table'!G$9,E258='Euro Age Table'!C$10,'Euro Age Table'!G$10,E258='Euro Age Table'!C$11,'Euro Age Table'!G$11)</f>
        <v>13</v>
      </c>
      <c r="Y258" s="46">
        <f>X258*'Eilat Car Data'!F$6</f>
        <v>360100</v>
      </c>
      <c r="Z258" s="46">
        <f>'T3 N2O HDV'!C28</f>
        <v>19</v>
      </c>
      <c r="AA258" s="124">
        <f t="shared" si="15"/>
        <v>1734730.0723710812</v>
      </c>
    </row>
    <row r="259" spans="1:27" ht="12.5">
      <c r="A259" s="58" t="s">
        <v>75</v>
      </c>
      <c r="B259" s="49" t="s">
        <v>22</v>
      </c>
      <c r="C259" s="49" t="s">
        <v>79</v>
      </c>
      <c r="D259" s="56" t="s">
        <v>84</v>
      </c>
      <c r="E259" s="50" t="s">
        <v>59</v>
      </c>
      <c r="F259" s="97">
        <v>1.7808072222543138E-2</v>
      </c>
      <c r="G259" s="99">
        <f t="shared" si="12"/>
        <v>11.272509716869806</v>
      </c>
      <c r="H259" s="46"/>
      <c r="I259" s="46">
        <f>G259*'Eilat Car Data'!F$6</f>
        <v>312248.5191572936</v>
      </c>
      <c r="J259" s="46">
        <f>I259*'Tier 1 Coefficients'!I$10</f>
        <v>74939644.59775047</v>
      </c>
      <c r="K259" s="46">
        <f t="shared" si="13"/>
        <v>74939.644597750477</v>
      </c>
      <c r="L259" s="46">
        <f>K259*'Tier 1 Coefficients'!D$4</f>
        <v>237483.73373027125</v>
      </c>
      <c r="M259" s="46">
        <f>K259*'Tier 1 Coefficients'!C$21</f>
        <v>190346.69727828621</v>
      </c>
      <c r="N259" s="46">
        <f>K259*'Tier 1 Coefficients'!C$45</f>
        <v>3821.9218744852742</v>
      </c>
      <c r="O259" s="46">
        <f>I259*'Tier 2 FC'!D$38</f>
        <v>78374378.308480695</v>
      </c>
      <c r="P259" s="46">
        <f t="shared" si="14"/>
        <v>78374.378308480693</v>
      </c>
      <c r="Q259" s="46">
        <f>P259*'Tier 1 Coefficients'!D$4</f>
        <v>248368.40485957533</v>
      </c>
      <c r="R259" s="46">
        <f>$I259*'T2 HDV'!D32</f>
        <v>3434.7337107302296</v>
      </c>
      <c r="S259" s="121">
        <f>$I259*'T2 HDV'!E32</f>
        <v>151752.78031044468</v>
      </c>
      <c r="T259" s="46">
        <f>44.011*(P259/(12.011+1.008*'Tier 3 CO2 Tables'!B$4+16*'Tier 3 CO2 Tables'!C$4))</f>
        <v>248405.9176468862</v>
      </c>
      <c r="U259" s="46">
        <f>I259*'Tier 3 CO2 Tables'!H$15/10000</f>
        <v>48.710768988537808</v>
      </c>
      <c r="V259" s="46">
        <f>44.011*(U259/(12.011+1.008*'Tier 3 CO2 Tables'!B$6+16*'Tier 3 CO2 Tables'!C$6))</f>
        <v>151.96089877219276</v>
      </c>
      <c r="W259" s="46">
        <f>I259*'T3 Methane'!D$30</f>
        <v>54643490.852526382</v>
      </c>
      <c r="X259" s="46" cm="1">
        <f t="array" ref="X259">_xlfn.IFS(E259='Euro Age Table'!C$5,'Euro Age Table'!G$5,E259='Euro Age Table'!C$6,'Euro Age Table'!G$6,E259='Euro Age Table'!C$7,'Euro Age Table'!G$7,E259='Euro Age Table'!C$8,'Euro Age Table'!G$8,E259='Euro Age Table'!C$9,'Euro Age Table'!G$9,E259='Euro Age Table'!C$10,'Euro Age Table'!G$10,E259='Euro Age Table'!C$11,'Euro Age Table'!G$11)</f>
        <v>9</v>
      </c>
      <c r="Y259" s="46">
        <f>X259*'Eilat Car Data'!F$6</f>
        <v>249300</v>
      </c>
      <c r="Z259" s="46">
        <f>'T3 N2O HDV'!C29</f>
        <v>49</v>
      </c>
      <c r="AA259" s="124">
        <f t="shared" si="15"/>
        <v>15300177.438707387</v>
      </c>
    </row>
    <row r="260" spans="1:27" ht="12.5">
      <c r="A260" s="58" t="s">
        <v>75</v>
      </c>
      <c r="B260" s="51" t="s">
        <v>22</v>
      </c>
      <c r="C260" s="51" t="s">
        <v>79</v>
      </c>
      <c r="D260" s="57" t="s">
        <v>84</v>
      </c>
      <c r="E260" s="50" t="s">
        <v>60</v>
      </c>
      <c r="F260" s="97">
        <v>5.0651504773850685E-2</v>
      </c>
      <c r="G260" s="99">
        <f t="shared" si="12"/>
        <v>32.062402521847481</v>
      </c>
      <c r="H260" s="46"/>
      <c r="I260" s="46">
        <f>G260*'Eilat Car Data'!F$6</f>
        <v>888128.5498551752</v>
      </c>
      <c r="J260" s="46">
        <f>I260*'Tier 1 Coefficients'!I$10</f>
        <v>213150851.96524206</v>
      </c>
      <c r="K260" s="46">
        <f t="shared" ref="K260:K323" si="16">J260/1000</f>
        <v>213150.85196524207</v>
      </c>
      <c r="L260" s="46">
        <f>K260*'Tier 1 Coefficients'!D$4</f>
        <v>675475.04987785209</v>
      </c>
      <c r="M260" s="46">
        <f>K260*'Tier 1 Coefficients'!C$21</f>
        <v>541403.16399171483</v>
      </c>
      <c r="N260" s="46">
        <f>K260*'Tier 1 Coefficients'!C$45</f>
        <v>10870.693450227345</v>
      </c>
      <c r="O260" s="46">
        <f>I260*'Tier 2 FC'!D$38</f>
        <v>222920266.01364899</v>
      </c>
      <c r="P260" s="46">
        <f t="shared" ref="P260:P323" si="17">O260/1000</f>
        <v>222920.266013649</v>
      </c>
      <c r="Q260" s="46">
        <f>P260*'Tier 1 Coefficients'!D$4</f>
        <v>706434.32299725374</v>
      </c>
      <c r="R260" s="46">
        <f>$I260*'T2 HDV'!D33</f>
        <v>7993.1569486965764</v>
      </c>
      <c r="S260" s="121">
        <f>$I260*'T2 HDV'!E33</f>
        <v>431630.47522961511</v>
      </c>
      <c r="T260" s="46">
        <f>44.011*(P260/(12.011+1.008*'Tier 3 CO2 Tables'!B$4+16*'Tier 3 CO2 Tables'!C$4))</f>
        <v>706541.02062863193</v>
      </c>
      <c r="U260" s="46">
        <f>I260*'Tier 3 CO2 Tables'!H$15/10000</f>
        <v>138.54805377740735</v>
      </c>
      <c r="V260" s="46">
        <f>44.011*(U260/(12.011+1.008*'Tier 3 CO2 Tables'!B$6+16*'Tier 3 CO2 Tables'!C$6))</f>
        <v>432.22242662822947</v>
      </c>
      <c r="W260" s="46">
        <f>I260*'T3 Methane'!D$30</f>
        <v>155422496.22465566</v>
      </c>
      <c r="X260" s="46" cm="1">
        <f t="array" ref="X260">_xlfn.IFS(E260='Euro Age Table'!C$5,'Euro Age Table'!G$5,E260='Euro Age Table'!C$6,'Euro Age Table'!G$6,E260='Euro Age Table'!C$7,'Euro Age Table'!G$7,E260='Euro Age Table'!C$8,'Euro Age Table'!G$8,E260='Euro Age Table'!C$9,'Euro Age Table'!G$9,E260='Euro Age Table'!C$10,'Euro Age Table'!G$10,E260='Euro Age Table'!C$11,'Euro Age Table'!G$11)</f>
        <v>3</v>
      </c>
      <c r="Y260" s="46">
        <f>X260*'Eilat Car Data'!F$6</f>
        <v>83100</v>
      </c>
      <c r="Z260" s="46">
        <f>'T3 N2O HDV'!C30</f>
        <v>61</v>
      </c>
      <c r="AA260" s="124">
        <f t="shared" ref="AA260:AA323" si="18">Z260*I260</f>
        <v>54175841.541165687</v>
      </c>
    </row>
    <row r="261" spans="1:27" ht="12.5">
      <c r="A261" s="58" t="s">
        <v>75</v>
      </c>
      <c r="B261" s="49" t="s">
        <v>23</v>
      </c>
      <c r="C261" s="49" t="s">
        <v>76</v>
      </c>
      <c r="D261" s="56" t="s">
        <v>77</v>
      </c>
      <c r="E261" s="50" t="s">
        <v>54</v>
      </c>
      <c r="F261" s="97">
        <v>1.3203389970374894E-4</v>
      </c>
      <c r="G261" s="99">
        <f t="shared" si="12"/>
        <v>8.3577458512473071E-2</v>
      </c>
      <c r="H261" s="46"/>
      <c r="I261" s="46">
        <f>G261*'Eilat Car Data'!F$6</f>
        <v>2315.0956007955042</v>
      </c>
      <c r="J261" s="46">
        <f>I261*'Tier 1 Coefficients'!I$5*4</f>
        <v>532471.98818296602</v>
      </c>
      <c r="K261" s="46">
        <f t="shared" si="16"/>
        <v>532.47198818296602</v>
      </c>
      <c r="L261" s="46">
        <f>K261*'Tier 1 Coefficients'!D$5</f>
        <v>1610.1952922652893</v>
      </c>
      <c r="M261" s="46">
        <f>K261*'Tier 1 Coefficients'!C$21*0.95</f>
        <v>1284.8549074854968</v>
      </c>
      <c r="N261" s="46">
        <f>K261*1.02*'Tier 1 Coefficients'!C$45</f>
        <v>27.699192825277891</v>
      </c>
      <c r="O261" s="46">
        <f>I261*'Tier 2 FC'!D31*1.28</f>
        <v>370415.29612728069</v>
      </c>
      <c r="P261" s="46">
        <f t="shared" si="17"/>
        <v>370.41529612728067</v>
      </c>
      <c r="Q261" s="46">
        <f>P261*'Tier 1 Coefficients'!D5</f>
        <v>1120.1358554888968</v>
      </c>
      <c r="R261" s="46">
        <f>I261*'T2 LPG'!C11*1.02</f>
        <v>0</v>
      </c>
      <c r="S261" s="121">
        <f>I261*'T2 LPG'!D2</f>
        <v>1534.9083833274194</v>
      </c>
      <c r="T261" s="46">
        <f>44.011*(P261/(12.011+1.008*'Tier 3 CO2 Tables'!B$5+16*'Tier 3 CO2 Tables'!C$5))</f>
        <v>1119.9590276210654</v>
      </c>
      <c r="U261" s="46">
        <f>I261*'Tier 3 CO2 Tables'!H$15/10000</f>
        <v>0.36115491372409864</v>
      </c>
      <c r="V261" s="46">
        <f>44.011*(U261/(12.011+1.008*'Tier 3 CO2 Tables'!B$6+16*'Tier 3 CO2 Tables'!C$6))</f>
        <v>1.1266795089689916</v>
      </c>
      <c r="W261" s="46">
        <f>I261*3.04*'T3 Methane'!D$13</f>
        <v>563031.25011346664</v>
      </c>
      <c r="X261" s="46" cm="1">
        <f t="array" ref="X261">_xlfn.IFS(E261='Euro Age Table'!C$5,'Euro Age Table'!G$5,E261='Euro Age Table'!C$6,'Euro Age Table'!G$6,E261='Euro Age Table'!C$7,'Euro Age Table'!G$7,E261='Euro Age Table'!C$8,'Euro Age Table'!G$8,E261='Euro Age Table'!C$9,'Euro Age Table'!G$9,E261='Euro Age Table'!C$10,'Euro Age Table'!G$10,E261='Euro Age Table'!C$11,'Euro Age Table'!G$11)</f>
        <v>27</v>
      </c>
      <c r="Y261" s="46">
        <f>X261*'Eilat Car Data'!F$6</f>
        <v>747900</v>
      </c>
      <c r="Z261" s="46">
        <f>'T3 N2O HDV'!C$2</f>
        <v>6</v>
      </c>
      <c r="AA261" s="124">
        <f t="shared" si="18"/>
        <v>13890.573604773024</v>
      </c>
    </row>
    <row r="262" spans="1:27" ht="12.5">
      <c r="A262" s="58" t="s">
        <v>75</v>
      </c>
      <c r="B262" s="49" t="s">
        <v>23</v>
      </c>
      <c r="C262" s="49" t="s">
        <v>76</v>
      </c>
      <c r="D262" s="56" t="s">
        <v>77</v>
      </c>
      <c r="E262" s="50" t="s">
        <v>55</v>
      </c>
      <c r="F262" s="97">
        <v>6.6016949851874468E-5</v>
      </c>
      <c r="G262" s="99">
        <f t="shared" si="12"/>
        <v>4.1788729256236536E-2</v>
      </c>
      <c r="H262" s="46"/>
      <c r="I262" s="46">
        <f>G262*'Eilat Car Data'!F$6</f>
        <v>1157.5478003977521</v>
      </c>
      <c r="J262" s="46">
        <f>I262*'Tier 1 Coefficients'!I$5*4</f>
        <v>266235.99409148301</v>
      </c>
      <c r="K262" s="46">
        <f t="shared" si="16"/>
        <v>266.23599409148301</v>
      </c>
      <c r="L262" s="46">
        <f>K262*'Tier 1 Coefficients'!D$5</f>
        <v>805.09764613264463</v>
      </c>
      <c r="M262" s="46">
        <f>K262*'Tier 1 Coefficients'!C$21*0.95</f>
        <v>642.42745374274841</v>
      </c>
      <c r="N262" s="46">
        <f>K262*1.02*'Tier 1 Coefficients'!C$45</f>
        <v>13.849596412638945</v>
      </c>
      <c r="O262" s="46">
        <f>I262*'Tier 2 FC'!D$32*1.28</f>
        <v>149647.77963542141</v>
      </c>
      <c r="P262" s="46">
        <f t="shared" si="17"/>
        <v>149.64777963542141</v>
      </c>
      <c r="Q262" s="46">
        <f>P262*'Tier 1 Coefficients'!D6</f>
        <v>410.48385953996092</v>
      </c>
      <c r="R262" s="46">
        <f>I262*'T2 LPG'!C12*1.02</f>
        <v>3.5420962692171218</v>
      </c>
      <c r="S262" s="121">
        <f>I262*'T2 LPG'!D3</f>
        <v>689.89848903706024</v>
      </c>
      <c r="T262" s="46">
        <f>44.011*(P262/(12.011+1.008*'Tier 3 CO2 Tables'!B$5+16*'Tier 3 CO2 Tables'!C$5))</f>
        <v>452.46344715891047</v>
      </c>
      <c r="U262" s="46">
        <f>I262*'Tier 3 CO2 Tables'!H$15/10000</f>
        <v>0.18057745686204932</v>
      </c>
      <c r="V262" s="46">
        <f>44.011*(U262/(12.011+1.008*'Tier 3 CO2 Tables'!B$6+16*'Tier 3 CO2 Tables'!C$6))</f>
        <v>0.5633397544844958</v>
      </c>
      <c r="W262" s="46">
        <f>I262*3.04*'T3 Methane'!D$13</f>
        <v>281515.62505673332</v>
      </c>
      <c r="X262" s="46" cm="1">
        <f t="array" ref="X262">_xlfn.IFS(E262='Euro Age Table'!C$5,'Euro Age Table'!G$5,E262='Euro Age Table'!C$6,'Euro Age Table'!G$6,E262='Euro Age Table'!C$7,'Euro Age Table'!G$7,E262='Euro Age Table'!C$8,'Euro Age Table'!G$8,E262='Euro Age Table'!C$9,'Euro Age Table'!G$9,E262='Euro Age Table'!C$10,'Euro Age Table'!G$10,E262='Euro Age Table'!C$11,'Euro Age Table'!G$11)</f>
        <v>23</v>
      </c>
      <c r="Y262" s="46">
        <f>X262*'Eilat Car Data'!F$6</f>
        <v>637100</v>
      </c>
      <c r="Z262" s="46">
        <f>'T3 N2O HDV'!C$2</f>
        <v>6</v>
      </c>
      <c r="AA262" s="124">
        <f t="shared" si="18"/>
        <v>6945.2868023865121</v>
      </c>
    </row>
    <row r="263" spans="1:27" ht="12.5">
      <c r="A263" s="58" t="s">
        <v>75</v>
      </c>
      <c r="B263" s="49" t="s">
        <v>23</v>
      </c>
      <c r="C263" s="49" t="s">
        <v>76</v>
      </c>
      <c r="D263" s="56" t="s">
        <v>77</v>
      </c>
      <c r="E263" s="50" t="s">
        <v>57</v>
      </c>
      <c r="F263" s="97">
        <v>9.0773306046327393E-5</v>
      </c>
      <c r="G263" s="99">
        <f t="shared" si="12"/>
        <v>5.7459502727325237E-2</v>
      </c>
      <c r="H263" s="46"/>
      <c r="I263" s="46">
        <f>G263*'Eilat Car Data'!F$6</f>
        <v>1591.6282255469091</v>
      </c>
      <c r="J263" s="46">
        <f>I263*'Tier 1 Coefficients'!I$5*4</f>
        <v>366074.49187578907</v>
      </c>
      <c r="K263" s="46">
        <f t="shared" si="16"/>
        <v>366.07449187578908</v>
      </c>
      <c r="L263" s="46">
        <f>K263*'Tier 1 Coefficients'!D$5</f>
        <v>1107.0092634323862</v>
      </c>
      <c r="M263" s="46">
        <f>K263*'Tier 1 Coefficients'!C$21*0.95</f>
        <v>883.33774889627909</v>
      </c>
      <c r="N263" s="46">
        <f>K263*1.02*'Tier 1 Coefficients'!C$45</f>
        <v>19.043195067378548</v>
      </c>
      <c r="O263" s="46">
        <f>I263*'Tier 2 FC'!D$32*1.28</f>
        <v>205765.69699870443</v>
      </c>
      <c r="P263" s="46">
        <f t="shared" si="17"/>
        <v>205.76569699870444</v>
      </c>
      <c r="Q263" s="46">
        <f>P263*'Tier 1 Coefficients'!D7</f>
        <v>630.26032990703175</v>
      </c>
      <c r="R263" s="46">
        <f>I263*'T2 LPG'!C14*1.02</f>
        <v>14.611147110520625</v>
      </c>
      <c r="S263" s="121">
        <f>I263*'T2 LPG'!D5</f>
        <v>738.51549665376581</v>
      </c>
      <c r="T263" s="46">
        <f>44.011*(P263/(12.011+1.008*'Tier 3 CO2 Tables'!B$5+16*'Tier 3 CO2 Tables'!C$5))</f>
        <v>622.1372398435019</v>
      </c>
      <c r="U263" s="46">
        <f>I263*'Tier 3 CO2 Tables'!H$15/10000</f>
        <v>0.24829400318531783</v>
      </c>
      <c r="V263" s="46">
        <f>44.011*(U263/(12.011+1.008*'Tier 3 CO2 Tables'!B$6+16*'Tier 3 CO2 Tables'!C$6))</f>
        <v>0.77459216241618178</v>
      </c>
      <c r="W263" s="46">
        <f>I263*3.04*'T3 Methane'!D$13</f>
        <v>387083.98445300828</v>
      </c>
      <c r="X263" s="46" cm="1">
        <f t="array" ref="X263">_xlfn.IFS(E263='Euro Age Table'!C$5,'Euro Age Table'!G$5,E263='Euro Age Table'!C$6,'Euro Age Table'!G$6,E263='Euro Age Table'!C$7,'Euro Age Table'!G$7,E263='Euro Age Table'!C$8,'Euro Age Table'!G$8,E263='Euro Age Table'!C$9,'Euro Age Table'!G$9,E263='Euro Age Table'!C$10,'Euro Age Table'!G$10,E263='Euro Age Table'!C$11,'Euro Age Table'!G$11)</f>
        <v>16</v>
      </c>
      <c r="Y263" s="46">
        <f>X263*'Eilat Car Data'!F$6</f>
        <v>443200</v>
      </c>
      <c r="Z263" s="46">
        <f>'T3 N2O HDV'!C$2</f>
        <v>6</v>
      </c>
      <c r="AA263" s="124">
        <f t="shared" si="18"/>
        <v>9549.7693532814556</v>
      </c>
    </row>
    <row r="264" spans="1:27" ht="12.5">
      <c r="A264" s="58" t="s">
        <v>75</v>
      </c>
      <c r="B264" s="49" t="s">
        <v>23</v>
      </c>
      <c r="C264" s="49" t="s">
        <v>76</v>
      </c>
      <c r="D264" s="56" t="s">
        <v>77</v>
      </c>
      <c r="E264" s="50" t="s">
        <v>58</v>
      </c>
      <c r="F264" s="97">
        <v>1.8154661209265479E-4</v>
      </c>
      <c r="G264" s="99">
        <f t="shared" si="12"/>
        <v>0.11491900545465047</v>
      </c>
      <c r="H264" s="46"/>
      <c r="I264" s="46">
        <f>G264*'Eilat Car Data'!F$6</f>
        <v>3183.2564510938182</v>
      </c>
      <c r="J264" s="46">
        <f>I264*'Tier 1 Coefficients'!I$5*4</f>
        <v>732148.98375157814</v>
      </c>
      <c r="K264" s="46">
        <f t="shared" si="16"/>
        <v>732.14898375157816</v>
      </c>
      <c r="L264" s="46">
        <f>K264*'Tier 1 Coefficients'!D$5</f>
        <v>2214.0185268647724</v>
      </c>
      <c r="M264" s="46">
        <f>K264*'Tier 1 Coefficients'!C$21*0.95</f>
        <v>1766.6754977925582</v>
      </c>
      <c r="N264" s="46">
        <f>K264*1.02*'Tier 1 Coefficients'!C$45</f>
        <v>38.086390134757096</v>
      </c>
      <c r="O264" s="46">
        <f>I264*'Tier 2 FC'!D$32*1.28</f>
        <v>411531.39399740886</v>
      </c>
      <c r="P264" s="46">
        <f t="shared" si="17"/>
        <v>411.53139399740888</v>
      </c>
      <c r="Q264" s="46">
        <f>P264*'Tier 1 Coefficients'!D8</f>
        <v>1219779.05180832</v>
      </c>
      <c r="R264" s="46">
        <f>I264*'T2 LPG'!C15*1.02</f>
        <v>29.222294221041249</v>
      </c>
      <c r="S264" s="121">
        <f>I264*'T2 LPG'!D6</f>
        <v>1266.9360675353398</v>
      </c>
      <c r="T264" s="46">
        <f>44.011*(P264/(12.011+1.008*'Tier 3 CO2 Tables'!B$5+16*'Tier 3 CO2 Tables'!C$5))</f>
        <v>1244.2744796870038</v>
      </c>
      <c r="U264" s="46">
        <f>I264*'Tier 3 CO2 Tables'!H$15/10000</f>
        <v>0.49658800637063566</v>
      </c>
      <c r="V264" s="46">
        <f>44.011*(U264/(12.011+1.008*'Tier 3 CO2 Tables'!B$6+16*'Tier 3 CO2 Tables'!C$6))</f>
        <v>1.5491843248323636</v>
      </c>
      <c r="W264" s="46">
        <f>I264*3.04*'T3 Methane'!D$13</f>
        <v>774167.96890601655</v>
      </c>
      <c r="X264" s="46" cm="1">
        <f t="array" ref="X264">_xlfn.IFS(E264='Euro Age Table'!C$5,'Euro Age Table'!G$5,E264='Euro Age Table'!C$6,'Euro Age Table'!G$6,E264='Euro Age Table'!C$7,'Euro Age Table'!G$7,E264='Euro Age Table'!C$8,'Euro Age Table'!G$8,E264='Euro Age Table'!C$9,'Euro Age Table'!G$9,E264='Euro Age Table'!C$10,'Euro Age Table'!G$10,E264='Euro Age Table'!C$11,'Euro Age Table'!G$11)</f>
        <v>13</v>
      </c>
      <c r="Y264" s="46">
        <f>X264*'Eilat Car Data'!F$6</f>
        <v>360100</v>
      </c>
      <c r="Z264" s="46">
        <f>'T3 N2O HDV'!C$2</f>
        <v>6</v>
      </c>
      <c r="AA264" s="124">
        <f t="shared" si="18"/>
        <v>19099.538706562911</v>
      </c>
    </row>
    <row r="265" spans="1:27" ht="12.5">
      <c r="A265" s="58" t="s">
        <v>75</v>
      </c>
      <c r="B265" s="49" t="s">
        <v>23</v>
      </c>
      <c r="C265" s="49" t="s">
        <v>76</v>
      </c>
      <c r="D265" s="57" t="s">
        <v>77</v>
      </c>
      <c r="E265" s="51" t="s">
        <v>60</v>
      </c>
      <c r="F265" s="97">
        <v>0</v>
      </c>
      <c r="G265" s="99">
        <f t="shared" si="12"/>
        <v>0</v>
      </c>
      <c r="H265" s="46"/>
      <c r="I265" s="46">
        <f>G265*'Eilat Car Data'!F$6</f>
        <v>0</v>
      </c>
      <c r="J265" s="46">
        <f>I265*'Tier 1 Coefficients'!I$5*4</f>
        <v>0</v>
      </c>
      <c r="K265" s="46">
        <f t="shared" si="16"/>
        <v>0</v>
      </c>
      <c r="L265" s="46">
        <f>K265*'Tier 1 Coefficients'!D$5</f>
        <v>0</v>
      </c>
      <c r="M265" s="46">
        <f>K265*'Tier 1 Coefficients'!C$21*0.95</f>
        <v>0</v>
      </c>
      <c r="N265" s="46">
        <f>K265*1.02*'Tier 1 Coefficients'!C$45</f>
        <v>0</v>
      </c>
      <c r="O265" s="46">
        <f>I265*'Tier 2 FC'!D$32*1.28</f>
        <v>0</v>
      </c>
      <c r="P265" s="46">
        <f t="shared" si="17"/>
        <v>0</v>
      </c>
      <c r="Q265" s="46">
        <f>P265*'Tier 1 Coefficients'!D9</f>
        <v>0</v>
      </c>
      <c r="R265" s="46">
        <f>I265*'T2 LPG'!C17*1.02</f>
        <v>0</v>
      </c>
      <c r="S265" s="121">
        <f>I265*'T2 LPG'!D8</f>
        <v>0</v>
      </c>
      <c r="T265" s="46">
        <f>44.011*(P265/(12.011+1.008*'Tier 3 CO2 Tables'!B$5+16*'Tier 3 CO2 Tables'!C$5))</f>
        <v>0</v>
      </c>
      <c r="U265" s="46">
        <f>I265*'Tier 3 CO2 Tables'!H$15/10000</f>
        <v>0</v>
      </c>
      <c r="V265" s="46">
        <f>44.011*(U265/(12.011+1.008*'Tier 3 CO2 Tables'!B$6+16*'Tier 3 CO2 Tables'!C$6))</f>
        <v>0</v>
      </c>
      <c r="W265" s="46">
        <f>I265*3.04*'T3 Methane'!D$13</f>
        <v>0</v>
      </c>
      <c r="X265" s="46" cm="1">
        <f t="array" ref="X265">_xlfn.IFS(E265='Euro Age Table'!C$5,'Euro Age Table'!G$5,E265='Euro Age Table'!C$6,'Euro Age Table'!G$6,E265='Euro Age Table'!C$7,'Euro Age Table'!G$7,E265='Euro Age Table'!C$8,'Euro Age Table'!G$8,E265='Euro Age Table'!C$9,'Euro Age Table'!G$9,E265='Euro Age Table'!C$10,'Euro Age Table'!G$10,E265='Euro Age Table'!C$11,'Euro Age Table'!G$11)</f>
        <v>3</v>
      </c>
      <c r="Y265" s="46">
        <f>X265*'Eilat Car Data'!F$6</f>
        <v>83100</v>
      </c>
      <c r="Z265" s="46">
        <f>'T3 N2O HDV'!C$2</f>
        <v>6</v>
      </c>
      <c r="AA265" s="124">
        <f t="shared" si="18"/>
        <v>0</v>
      </c>
    </row>
    <row r="266" spans="1:27" ht="12.5">
      <c r="A266" s="58" t="s">
        <v>75</v>
      </c>
      <c r="B266" s="49" t="s">
        <v>23</v>
      </c>
      <c r="C266" s="49" t="s">
        <v>76</v>
      </c>
      <c r="D266" s="56" t="s">
        <v>85</v>
      </c>
      <c r="E266" s="50" t="s">
        <v>57</v>
      </c>
      <c r="F266" s="97">
        <v>8.2521187314843085E-6</v>
      </c>
      <c r="G266" s="99">
        <f t="shared" si="12"/>
        <v>5.223591157029567E-3</v>
      </c>
      <c r="H266" s="46"/>
      <c r="I266" s="46">
        <f>G266*'Eilat Car Data'!F$6</f>
        <v>144.69347504971901</v>
      </c>
      <c r="J266" s="46">
        <f>I266*'Tier 1 Coefficients'!I$5*4</f>
        <v>33279.499261435376</v>
      </c>
      <c r="K266" s="46">
        <f t="shared" si="16"/>
        <v>33.279499261435376</v>
      </c>
      <c r="L266" s="46">
        <f>K266*'Tier 1 Coefficients'!D$5</f>
        <v>100.63720576658058</v>
      </c>
      <c r="M266" s="46">
        <f>K266*'Tier 1 Coefficients'!C$21*0.95</f>
        <v>80.303431717843551</v>
      </c>
      <c r="N266" s="46">
        <f>K266*1.02*'Tier 1 Coefficients'!C$45</f>
        <v>1.7311995515798682</v>
      </c>
      <c r="O266" s="46">
        <f>I266*'Tier 2 FC'!D$34*1.28</f>
        <v>28707.185449864253</v>
      </c>
      <c r="P266" s="46">
        <f t="shared" si="17"/>
        <v>28.707185449864252</v>
      </c>
      <c r="Q266" s="46">
        <f>P266*'Tier 1 Coefficients'!D10</f>
        <v>88.82003178187999</v>
      </c>
      <c r="R266" s="46">
        <f>I266*'T2 LPG'!C14*1.02</f>
        <v>1.3282861009564204</v>
      </c>
      <c r="S266" s="121">
        <f>I266*'T2 LPG'!D5</f>
        <v>67.13777242306962</v>
      </c>
      <c r="T266" s="46">
        <f>44.011*(P266/(12.011+1.008*'Tier 3 CO2 Tables'!B$5+16*'Tier 3 CO2 Tables'!C$5))</f>
        <v>86.796824640632565</v>
      </c>
      <c r="U266" s="46">
        <f>I266*'Tier 3 CO2 Tables'!H$15/10000</f>
        <v>2.2572182107756165E-2</v>
      </c>
      <c r="V266" s="46">
        <f>44.011*(U266/(12.011+1.008*'Tier 3 CO2 Tables'!B$6+16*'Tier 3 CO2 Tables'!C$6))</f>
        <v>7.0417469310561975E-2</v>
      </c>
      <c r="W266" s="46">
        <f>I266*3.04*'T3 Methane'!D$13</f>
        <v>35189.453132091665</v>
      </c>
      <c r="X266" s="46" cm="1">
        <f t="array" ref="X266">_xlfn.IFS(E266='Euro Age Table'!C$5,'Euro Age Table'!G$5,E266='Euro Age Table'!C$6,'Euro Age Table'!G$6,E266='Euro Age Table'!C$7,'Euro Age Table'!G$7,E266='Euro Age Table'!C$8,'Euro Age Table'!G$8,E266='Euro Age Table'!C$9,'Euro Age Table'!G$9,E266='Euro Age Table'!C$10,'Euro Age Table'!G$10,E266='Euro Age Table'!C$11,'Euro Age Table'!G$11)</f>
        <v>16</v>
      </c>
      <c r="Y266" s="46">
        <f>X266*'Eilat Car Data'!F$6</f>
        <v>443200</v>
      </c>
      <c r="Z266" s="46">
        <f>'T3 N2O HDV'!C$2</f>
        <v>6</v>
      </c>
      <c r="AA266" s="124">
        <f t="shared" si="18"/>
        <v>868.16085029831402</v>
      </c>
    </row>
    <row r="267" spans="1:27" ht="12.5">
      <c r="A267" s="58" t="s">
        <v>75</v>
      </c>
      <c r="B267" s="49" t="s">
        <v>23</v>
      </c>
      <c r="C267" s="49" t="s">
        <v>76</v>
      </c>
      <c r="D267" s="56" t="s">
        <v>88</v>
      </c>
      <c r="E267" s="49" t="s">
        <v>60</v>
      </c>
      <c r="F267" s="79">
        <v>0</v>
      </c>
      <c r="G267" s="78">
        <f t="shared" si="12"/>
        <v>0</v>
      </c>
      <c r="H267" s="46"/>
      <c r="I267" s="46">
        <f>G267*'Eilat Car Data'!F$6</f>
        <v>0</v>
      </c>
      <c r="J267" s="46">
        <f>I267*'Tier 1 Coefficients'!I$5*4</f>
        <v>0</v>
      </c>
      <c r="K267" s="46">
        <f t="shared" si="16"/>
        <v>0</v>
      </c>
      <c r="L267" s="46">
        <f>K267*'Tier 1 Coefficients'!D$5</f>
        <v>0</v>
      </c>
      <c r="M267" s="46">
        <f>K267*'Tier 1 Coefficients'!C$21*0.95</f>
        <v>0</v>
      </c>
      <c r="N267" s="46">
        <f>K267*1.02*'Tier 1 Coefficients'!C$45</f>
        <v>0</v>
      </c>
      <c r="O267" s="46">
        <f>I267*'Tier 2 FC'!D$34*1.28</f>
        <v>0</v>
      </c>
      <c r="P267" s="46">
        <f t="shared" si="17"/>
        <v>0</v>
      </c>
      <c r="Q267" s="46">
        <f>P267*'Tier 1 Coefficients'!D11</f>
        <v>0</v>
      </c>
      <c r="R267" s="46">
        <f>I267*'T2 LPG'!C17*1.02</f>
        <v>0</v>
      </c>
      <c r="S267" s="121">
        <f>I267*'T2 LPG'!D8</f>
        <v>0</v>
      </c>
      <c r="T267" s="46">
        <f>44.011*(P267/(12.011+1.008*'Tier 3 CO2 Tables'!B$5+16*'Tier 3 CO2 Tables'!C$5))</f>
        <v>0</v>
      </c>
      <c r="U267" s="46">
        <f>I267*'Tier 3 CO2 Tables'!H$15/10000</f>
        <v>0</v>
      </c>
      <c r="V267" s="46">
        <f>44.011*(U267/(12.011+1.008*'Tier 3 CO2 Tables'!B$6+16*'Tier 3 CO2 Tables'!C$6))</f>
        <v>0</v>
      </c>
      <c r="W267" s="46">
        <f>I267*3.04*'T3 Methane'!D$13</f>
        <v>0</v>
      </c>
      <c r="X267" s="46" cm="1">
        <f t="array" ref="X267">_xlfn.IFS(E267='Euro Age Table'!C$5,'Euro Age Table'!G$5,E267='Euro Age Table'!C$6,'Euro Age Table'!G$6,E267='Euro Age Table'!C$7,'Euro Age Table'!G$7,E267='Euro Age Table'!C$8,'Euro Age Table'!G$8,E267='Euro Age Table'!C$9,'Euro Age Table'!G$9,E267='Euro Age Table'!C$10,'Euro Age Table'!G$10,E267='Euro Age Table'!C$11,'Euro Age Table'!G$11)</f>
        <v>3</v>
      </c>
      <c r="Y267" s="46">
        <f>X267*'Eilat Car Data'!F$6</f>
        <v>83100</v>
      </c>
      <c r="Z267" s="46">
        <f>'T3 N2O HDV'!C$2</f>
        <v>6</v>
      </c>
      <c r="AA267" s="124">
        <f t="shared" si="18"/>
        <v>0</v>
      </c>
    </row>
    <row r="268" spans="1:27" ht="12.5">
      <c r="A268" s="89" t="s">
        <v>8</v>
      </c>
      <c r="B268" s="53"/>
      <c r="C268" s="53"/>
      <c r="D268" s="53"/>
      <c r="E268" s="53"/>
      <c r="F268" s="94"/>
      <c r="G268" s="93">
        <f>'Eilat Car Data'!B8</f>
        <v>50</v>
      </c>
      <c r="H268" s="46">
        <f>SUM(G272:G317)</f>
        <v>49.915371252950862</v>
      </c>
      <c r="I268" s="46"/>
      <c r="J268" s="46"/>
      <c r="K268" s="46">
        <f t="shared" si="16"/>
        <v>0</v>
      </c>
      <c r="L268" s="46"/>
      <c r="M268" s="46"/>
      <c r="N268" s="46"/>
      <c r="O268" s="46"/>
      <c r="P268" s="46">
        <f t="shared" si="17"/>
        <v>0</v>
      </c>
      <c r="Q268" s="46"/>
      <c r="R268" s="46"/>
      <c r="S268" s="46"/>
      <c r="T268" s="46"/>
      <c r="U268" s="46"/>
      <c r="V268" s="46">
        <f>44.011*(U268/(12.011+1.008*'Tier 3 CO2 Tables'!B$6+16*'Tier 3 CO2 Tables'!C$6))</f>
        <v>0</v>
      </c>
      <c r="W268" s="46"/>
      <c r="X268" s="46" t="e" cm="1">
        <f t="array" ref="X268">_xlfn.IFS(E268='Euro Age Table'!C$5,'Euro Age Table'!G$5,E268='Euro Age Table'!C$6,'Euro Age Table'!G$6,E268='Euro Age Table'!C$7,'Euro Age Table'!G$7,E268='Euro Age Table'!C$8,'Euro Age Table'!G$8,E268='Euro Age Table'!C$9,'Euro Age Table'!G$9,E268='Euro Age Table'!C$10,'Euro Age Table'!G$10,E268='Euro Age Table'!C$11,'Euro Age Table'!G$11)</f>
        <v>#N/A</v>
      </c>
      <c r="Y268" s="46"/>
      <c r="Z268" s="46"/>
      <c r="AA268" s="124">
        <f t="shared" si="18"/>
        <v>0</v>
      </c>
    </row>
    <row r="269" spans="1:27" ht="12.5">
      <c r="A269" s="49" t="s">
        <v>89</v>
      </c>
      <c r="B269" s="49" t="s">
        <v>22</v>
      </c>
      <c r="C269" s="49" t="s">
        <v>65</v>
      </c>
      <c r="D269" s="49" t="s">
        <v>66</v>
      </c>
      <c r="E269" s="50" t="s">
        <v>57</v>
      </c>
      <c r="F269" s="80">
        <v>0</v>
      </c>
      <c r="G269" s="78">
        <f>F269*$G$166</f>
        <v>0</v>
      </c>
      <c r="H269" s="46"/>
      <c r="I269" s="46">
        <f>G269*'Eilat Car Data'!F$8</f>
        <v>0</v>
      </c>
      <c r="J269" s="46">
        <f>I269*'Tier 1 Coefficients'!I$10</f>
        <v>0</v>
      </c>
      <c r="K269" s="46">
        <f t="shared" si="16"/>
        <v>0</v>
      </c>
      <c r="L269" s="46">
        <f>K269*'Tier 1 Coefficients'!D$4</f>
        <v>0</v>
      </c>
      <c r="M269" s="46">
        <f>K269*'Tier 1 Coefficients'!C$21</f>
        <v>0</v>
      </c>
      <c r="N269" s="46">
        <f>K269*'Tier 1 Coefficients'!C$45</f>
        <v>0</v>
      </c>
      <c r="O269" s="46">
        <f>I269*'Tier 2 FC'!D$44</f>
        <v>0</v>
      </c>
      <c r="P269" s="46">
        <f t="shared" si="17"/>
        <v>0</v>
      </c>
      <c r="Q269" s="46">
        <f>P269*'Tier 1 Coefficients'!D$4</f>
        <v>0</v>
      </c>
      <c r="R269" s="46">
        <f>$I269*'T2 Bus'!C9</f>
        <v>0</v>
      </c>
      <c r="S269" s="46">
        <f>$I269*'T2 Bus'!D9</f>
        <v>0</v>
      </c>
      <c r="T269" s="46">
        <f>44.011*(P269/(12.011+1.008*'Tier 3 CO2 Tables'!B$4+16*'Tier 3 CO2 Tables'!C$4))</f>
        <v>0</v>
      </c>
      <c r="U269" s="46">
        <f>I269*'Tier 3 CO2 Tables'!H$11/10000</f>
        <v>0</v>
      </c>
      <c r="V269" s="46">
        <f>44.011*(U269/(12.011+1.008*'Tier 3 CO2 Tables'!B$6+16*'Tier 3 CO2 Tables'!C$6))</f>
        <v>0</v>
      </c>
      <c r="W269" s="46">
        <f>I269*'T3 Methane'!D$29</f>
        <v>0</v>
      </c>
      <c r="X269" s="46" cm="1">
        <f t="array" ref="X269">_xlfn.IFS(E269='Euro Age Table'!C$5,'Euro Age Table'!G$5,E269='Euro Age Table'!C$6,'Euro Age Table'!G$6,E269='Euro Age Table'!C$7,'Euro Age Table'!G$7,E269='Euro Age Table'!C$8,'Euro Age Table'!G$8,E269='Euro Age Table'!C$9,'Euro Age Table'!G$9,E269='Euro Age Table'!C$10,'Euro Age Table'!G$10,E269='Euro Age Table'!C$11,'Euro Age Table'!G$11)</f>
        <v>16</v>
      </c>
      <c r="Y269" s="46">
        <f>X269*'Eilat Car Data'!F$8</f>
        <v>902400</v>
      </c>
      <c r="Z269" s="46">
        <f>'T3 N2O HDV'!C34</f>
        <v>6</v>
      </c>
      <c r="AA269" s="124">
        <f t="shared" si="18"/>
        <v>0</v>
      </c>
    </row>
    <row r="270" spans="1:27" ht="12.5">
      <c r="A270" s="49" t="s">
        <v>89</v>
      </c>
      <c r="B270" s="49" t="s">
        <v>22</v>
      </c>
      <c r="C270" s="49" t="s">
        <v>65</v>
      </c>
      <c r="D270" s="49" t="s">
        <v>66</v>
      </c>
      <c r="E270" s="50" t="s">
        <v>58</v>
      </c>
      <c r="F270" s="97">
        <v>0</v>
      </c>
      <c r="G270" s="99">
        <f>F270*$G$166</f>
        <v>0</v>
      </c>
      <c r="H270" s="46"/>
      <c r="I270" s="46">
        <f>G270*'Eilat Car Data'!F$8</f>
        <v>0</v>
      </c>
      <c r="J270" s="46">
        <f>I270*'Tier 1 Coefficients'!I$10</f>
        <v>0</v>
      </c>
      <c r="K270" s="46">
        <f t="shared" si="16"/>
        <v>0</v>
      </c>
      <c r="L270" s="46">
        <f>K270*'Tier 1 Coefficients'!D$4</f>
        <v>0</v>
      </c>
      <c r="M270" s="46">
        <f>K270*'Tier 1 Coefficients'!C$21</f>
        <v>0</v>
      </c>
      <c r="N270" s="46">
        <f>K270*'Tier 1 Coefficients'!C$45</f>
        <v>0</v>
      </c>
      <c r="O270" s="46">
        <f>I270*'Tier 2 FC'!D$44</f>
        <v>0</v>
      </c>
      <c r="P270" s="46">
        <f t="shared" si="17"/>
        <v>0</v>
      </c>
      <c r="Q270" s="46">
        <f>P270*'Tier 1 Coefficients'!D$4</f>
        <v>0</v>
      </c>
      <c r="R270" s="46">
        <f>$I270*'T2 Bus'!C10</f>
        <v>0</v>
      </c>
      <c r="S270" s="46">
        <f>$I270*'T2 Bus'!D10</f>
        <v>0</v>
      </c>
      <c r="T270" s="46">
        <f>44.011*(P270/(12.011+1.008*'Tier 3 CO2 Tables'!B$4+16*'Tier 3 CO2 Tables'!C$4))</f>
        <v>0</v>
      </c>
      <c r="U270" s="46">
        <f>I270*'Tier 3 CO2 Tables'!H$11/10000</f>
        <v>0</v>
      </c>
      <c r="V270" s="46">
        <f>44.011*(U270/(12.011+1.008*'Tier 3 CO2 Tables'!B$6+16*'Tier 3 CO2 Tables'!C$6))</f>
        <v>0</v>
      </c>
      <c r="W270" s="46">
        <f>I270*'T3 Methane'!D$29</f>
        <v>0</v>
      </c>
      <c r="X270" s="46" cm="1">
        <f t="array" ref="X270">_xlfn.IFS(E270='Euro Age Table'!C$5,'Euro Age Table'!G$5,E270='Euro Age Table'!C$6,'Euro Age Table'!G$6,E270='Euro Age Table'!C$7,'Euro Age Table'!G$7,E270='Euro Age Table'!C$8,'Euro Age Table'!G$8,E270='Euro Age Table'!C$9,'Euro Age Table'!G$9,E270='Euro Age Table'!C$10,'Euro Age Table'!G$10,E270='Euro Age Table'!C$11,'Euro Age Table'!G$11)</f>
        <v>13</v>
      </c>
      <c r="Y270" s="46">
        <f>X270*'Eilat Car Data'!F$8</f>
        <v>733200</v>
      </c>
      <c r="Z270" s="46">
        <f>'T3 N2O HDV'!C35</f>
        <v>12.8</v>
      </c>
      <c r="AA270" s="124">
        <f t="shared" si="18"/>
        <v>0</v>
      </c>
    </row>
    <row r="271" spans="1:27" ht="12.5">
      <c r="A271" s="49" t="s">
        <v>89</v>
      </c>
      <c r="B271" s="49" t="s">
        <v>22</v>
      </c>
      <c r="C271" s="49" t="s">
        <v>65</v>
      </c>
      <c r="D271" s="49" t="s">
        <v>66</v>
      </c>
      <c r="E271" s="50" t="s">
        <v>59</v>
      </c>
      <c r="F271" s="97">
        <v>1.6925749409825842E-3</v>
      </c>
      <c r="G271" s="99">
        <f>F271*$G$166</f>
        <v>1.0713999376419758</v>
      </c>
      <c r="H271" s="46"/>
      <c r="I271" s="46">
        <f>G271*'Eilat Car Data'!F$8</f>
        <v>60426.956483007438</v>
      </c>
      <c r="J271" s="46">
        <f>I271*'Tier 1 Coefficients'!I$10</f>
        <v>14502469.555921786</v>
      </c>
      <c r="K271" s="46">
        <f t="shared" si="16"/>
        <v>14502.469555921785</v>
      </c>
      <c r="L271" s="46">
        <f>K271*'Tier 1 Coefficients'!D$4</f>
        <v>45958.326022716137</v>
      </c>
      <c r="M271" s="46">
        <f>K271*'Tier 1 Coefficients'!C$21</f>
        <v>36836.272672041334</v>
      </c>
      <c r="N271" s="46">
        <f>K271*'Tier 1 Coefficients'!C$45</f>
        <v>739.62594735201105</v>
      </c>
      <c r="O271" s="46">
        <f>I271*'Tier 2 FC'!D$44</f>
        <v>18188513.90138524</v>
      </c>
      <c r="P271" s="46">
        <f t="shared" si="17"/>
        <v>18188.513901385239</v>
      </c>
      <c r="Q271" s="46">
        <f>P271*'Tier 1 Coefficients'!D$4</f>
        <v>57639.400553489824</v>
      </c>
      <c r="R271" s="46">
        <f>$I271*'T2 Bus'!C11</f>
        <v>1933.662607456238</v>
      </c>
      <c r="S271" s="46">
        <f>$I271*'T2 Bus'!D11</f>
        <v>16013.143467996972</v>
      </c>
      <c r="T271" s="46">
        <f>44.011*(P271/(12.011+1.008*'Tier 3 CO2 Tables'!B$4+16*'Tier 3 CO2 Tables'!C$4))</f>
        <v>57648.106228331642</v>
      </c>
      <c r="U271" s="46">
        <f>I271*'Tier 3 CO2 Tables'!H$11/10000</f>
        <v>51.362913010556319</v>
      </c>
      <c r="V271" s="46">
        <f>44.011*(U271/(12.011+1.008*'Tier 3 CO2 Tables'!B$6+16*'Tier 3 CO2 Tables'!C$6))</f>
        <v>160.23467883413485</v>
      </c>
      <c r="W271" s="46">
        <f>I271*'T3 Methane'!D$29</f>
        <v>5136291.3010556325</v>
      </c>
      <c r="X271" s="46" cm="1">
        <f t="array" ref="X271">_xlfn.IFS(E271='Euro Age Table'!C$5,'Euro Age Table'!G$5,E271='Euro Age Table'!C$6,'Euro Age Table'!G$6,E271='Euro Age Table'!C$7,'Euro Age Table'!G$7,E271='Euro Age Table'!C$8,'Euro Age Table'!G$8,E271='Euro Age Table'!C$9,'Euro Age Table'!G$9,E271='Euro Age Table'!C$10,'Euro Age Table'!G$10,E271='Euro Age Table'!C$11,'Euro Age Table'!G$11)</f>
        <v>9</v>
      </c>
      <c r="Y271" s="46">
        <f>X271*'Eilat Car Data'!F$8</f>
        <v>507600</v>
      </c>
      <c r="Z271" s="46">
        <f>'T3 N2O HDV'!C36</f>
        <v>33.200000000000003</v>
      </c>
      <c r="AA271" s="124">
        <f t="shared" si="18"/>
        <v>2006174.955235847</v>
      </c>
    </row>
    <row r="272" spans="1:27" ht="12.5">
      <c r="A272" s="49" t="s">
        <v>89</v>
      </c>
      <c r="B272" s="49" t="s">
        <v>22</v>
      </c>
      <c r="C272" s="49" t="s">
        <v>65</v>
      </c>
      <c r="D272" s="51" t="s">
        <v>66</v>
      </c>
      <c r="E272" s="50" t="s">
        <v>60</v>
      </c>
      <c r="F272" s="97">
        <v>1.0823571333125474E-2</v>
      </c>
      <c r="G272" s="99">
        <f t="shared" ref="G272:G317" si="19">F272*$G$268</f>
        <v>0.54117856665627373</v>
      </c>
      <c r="H272" s="46"/>
      <c r="I272" s="46">
        <f>G272*'Eilat Car Data'!F$8</f>
        <v>30522.471159413839</v>
      </c>
      <c r="J272" s="46">
        <f>I272*'Tier 1 Coefficients'!I$10</f>
        <v>7325393.0782593209</v>
      </c>
      <c r="K272" s="46">
        <f t="shared" si="16"/>
        <v>7325.3930782593206</v>
      </c>
      <c r="L272" s="46">
        <f>K272*'Tier 1 Coefficients'!D$4</f>
        <v>23214.170665003789</v>
      </c>
      <c r="M272" s="46">
        <f>K272*'Tier 1 Coefficients'!C$21</f>
        <v>18606.498418778676</v>
      </c>
      <c r="N272" s="46">
        <f>K272*'Tier 1 Coefficients'!C$45</f>
        <v>373.59504699122533</v>
      </c>
      <c r="O272" s="46">
        <f>I272*'Tier 2 FC'!D$44</f>
        <v>9187263.818983566</v>
      </c>
      <c r="P272" s="46">
        <f t="shared" si="17"/>
        <v>9187.2638189835652</v>
      </c>
      <c r="Q272" s="46">
        <f>P272*'Tier 1 Coefficients'!D$4</f>
        <v>29114.439042358918</v>
      </c>
      <c r="R272" s="46">
        <f>$I272*'T2 Bus'!C12</f>
        <v>1220.8988463765536</v>
      </c>
      <c r="S272" s="46">
        <f>$I272*'T2 Bus'!D12</f>
        <v>8088.4548572446674</v>
      </c>
      <c r="T272" s="46">
        <f>44.011*(P272/(12.011+1.008*'Tier 3 CO2 Tables'!B$4+16*'Tier 3 CO2 Tables'!C$4))</f>
        <v>29118.836396201441</v>
      </c>
      <c r="U272" s="46">
        <f>I272*'Tier 3 CO2 Tables'!H$12/10000</f>
        <v>2.5944100485501762</v>
      </c>
      <c r="V272" s="46">
        <f>44.011*(U272/(12.011+1.008*'Tier 3 CO2 Tables'!B$6+16*'Tier 3 CO2 Tables'!C$6))</f>
        <v>8.0936698587957885</v>
      </c>
      <c r="W272" s="46">
        <f>I272*'T3 Methane'!D$29</f>
        <v>2594410.0485501764</v>
      </c>
      <c r="X272" s="46" cm="1">
        <f t="array" ref="X272">_xlfn.IFS(E272='Euro Age Table'!C$5,'Euro Age Table'!G$5,E272='Euro Age Table'!C$6,'Euro Age Table'!G$6,E272='Euro Age Table'!C$7,'Euro Age Table'!G$7,E272='Euro Age Table'!C$8,'Euro Age Table'!G$8,E272='Euro Age Table'!C$9,'Euro Age Table'!G$9,E272='Euro Age Table'!C$10,'Euro Age Table'!G$10,E272='Euro Age Table'!C$11,'Euro Age Table'!G$11)</f>
        <v>3</v>
      </c>
      <c r="Y272" s="46">
        <f>X272*'Eilat Car Data'!F$8</f>
        <v>169200</v>
      </c>
      <c r="Z272" s="46">
        <f>'T3 N2O HDV'!C37</f>
        <v>41.5</v>
      </c>
      <c r="AA272" s="124">
        <f t="shared" si="18"/>
        <v>1266682.5531156743</v>
      </c>
    </row>
    <row r="273" spans="1:27" ht="12.5">
      <c r="A273" s="52" t="s">
        <v>8</v>
      </c>
      <c r="B273" s="49" t="s">
        <v>22</v>
      </c>
      <c r="C273" s="49" t="s">
        <v>65</v>
      </c>
      <c r="D273" s="49" t="s">
        <v>66</v>
      </c>
      <c r="E273" s="50" t="s">
        <v>55</v>
      </c>
      <c r="F273" s="97">
        <v>0</v>
      </c>
      <c r="G273" s="99">
        <f t="shared" si="19"/>
        <v>0</v>
      </c>
      <c r="H273" s="46"/>
      <c r="I273" s="46">
        <f>G273*'Eilat Car Data'!F$8</f>
        <v>0</v>
      </c>
      <c r="J273" s="46">
        <f>I273*'Tier 1 Coefficients'!I$10</f>
        <v>0</v>
      </c>
      <c r="K273" s="46">
        <f t="shared" si="16"/>
        <v>0</v>
      </c>
      <c r="L273" s="46">
        <f>K273*'Tier 1 Coefficients'!D$4</f>
        <v>0</v>
      </c>
      <c r="M273" s="46">
        <f>K273*'Tier 1 Coefficients'!C$21</f>
        <v>0</v>
      </c>
      <c r="N273" s="46">
        <f>K273*'Tier 1 Coefficients'!C$45</f>
        <v>0</v>
      </c>
      <c r="O273" s="46">
        <f>I273*'Tier 2 FC'!D$44</f>
        <v>0</v>
      </c>
      <c r="P273" s="46">
        <f t="shared" si="17"/>
        <v>0</v>
      </c>
      <c r="Q273" s="46">
        <f>P273*'Tier 1 Coefficients'!D$4</f>
        <v>0</v>
      </c>
      <c r="R273" s="46">
        <f>$I273*'T2 Bus'!C7</f>
        <v>0</v>
      </c>
      <c r="S273" s="46">
        <f>$I273*'T2 Bus'!D7</f>
        <v>0</v>
      </c>
      <c r="T273" s="46">
        <f>44.011*(P273/(12.011+1.008*'Tier 3 CO2 Tables'!B$4+16*'Tier 3 CO2 Tables'!C$4))</f>
        <v>0</v>
      </c>
      <c r="U273" s="46">
        <f>I273*'Tier 3 CO2 Tables'!H$11/10000</f>
        <v>0</v>
      </c>
      <c r="V273" s="46">
        <f>44.011*(U273/(12.011+1.008*'Tier 3 CO2 Tables'!B$6+16*'Tier 3 CO2 Tables'!C$6))</f>
        <v>0</v>
      </c>
      <c r="W273" s="46">
        <f>I273*'T3 Methane'!D$29</f>
        <v>0</v>
      </c>
      <c r="X273" s="46" cm="1">
        <f t="array" ref="X273">_xlfn.IFS(E273='Euro Age Table'!C$5,'Euro Age Table'!G$5,E273='Euro Age Table'!C$6,'Euro Age Table'!G$6,E273='Euro Age Table'!C$7,'Euro Age Table'!G$7,E273='Euro Age Table'!C$8,'Euro Age Table'!G$8,E273='Euro Age Table'!C$9,'Euro Age Table'!G$9,E273='Euro Age Table'!C$10,'Euro Age Table'!G$10,E273='Euro Age Table'!C$11,'Euro Age Table'!G$11)</f>
        <v>23</v>
      </c>
      <c r="Y273" s="46">
        <f>X273*'Eilat Car Data'!F$8</f>
        <v>1297200</v>
      </c>
      <c r="Z273" s="46">
        <f>'T3 N2O HDV'!C32</f>
        <v>12</v>
      </c>
      <c r="AA273" s="124">
        <f t="shared" si="18"/>
        <v>0</v>
      </c>
    </row>
    <row r="274" spans="1:27" ht="12.5">
      <c r="A274" s="49" t="s">
        <v>8</v>
      </c>
      <c r="B274" s="49" t="s">
        <v>22</v>
      </c>
      <c r="C274" s="49" t="s">
        <v>65</v>
      </c>
      <c r="D274" s="49" t="s">
        <v>66</v>
      </c>
      <c r="E274" s="50" t="s">
        <v>56</v>
      </c>
      <c r="F274" s="97">
        <v>0</v>
      </c>
      <c r="G274" s="99">
        <f t="shared" si="19"/>
        <v>0</v>
      </c>
      <c r="H274" s="46"/>
      <c r="I274" s="46">
        <f>G274*'Eilat Car Data'!F$8</f>
        <v>0</v>
      </c>
      <c r="J274" s="46">
        <f>I274*'Tier 1 Coefficients'!I$10</f>
        <v>0</v>
      </c>
      <c r="K274" s="46">
        <f t="shared" si="16"/>
        <v>0</v>
      </c>
      <c r="L274" s="46">
        <f>K274*'Tier 1 Coefficients'!D$4</f>
        <v>0</v>
      </c>
      <c r="M274" s="46">
        <f>K274*'Tier 1 Coefficients'!C$21</f>
        <v>0</v>
      </c>
      <c r="N274" s="46">
        <f>K274*'Tier 1 Coefficients'!C$45</f>
        <v>0</v>
      </c>
      <c r="O274" s="46">
        <f>I274*'Tier 2 FC'!D$44</f>
        <v>0</v>
      </c>
      <c r="P274" s="46">
        <f t="shared" si="17"/>
        <v>0</v>
      </c>
      <c r="Q274" s="46">
        <f>P274*'Tier 1 Coefficients'!D$4</f>
        <v>0</v>
      </c>
      <c r="R274" s="46">
        <f>$I274*'T2 Bus'!C8</f>
        <v>0</v>
      </c>
      <c r="S274" s="46">
        <f>$I274*'T2 Bus'!D8</f>
        <v>0</v>
      </c>
      <c r="T274" s="46">
        <f>44.011*(P274/(12.011+1.008*'Tier 3 CO2 Tables'!B$4+16*'Tier 3 CO2 Tables'!C$4))</f>
        <v>0</v>
      </c>
      <c r="U274" s="46">
        <f>I274*'Tier 3 CO2 Tables'!H$11/10000</f>
        <v>0</v>
      </c>
      <c r="V274" s="46">
        <f>44.011*(U274/(12.011+1.008*'Tier 3 CO2 Tables'!B$6+16*'Tier 3 CO2 Tables'!C$6))</f>
        <v>0</v>
      </c>
      <c r="W274" s="46">
        <f>I274*'T3 Methane'!D$29</f>
        <v>0</v>
      </c>
      <c r="X274" s="46" cm="1">
        <f t="array" ref="X274">_xlfn.IFS(E274='Euro Age Table'!C$5,'Euro Age Table'!G$5,E274='Euro Age Table'!C$6,'Euro Age Table'!G$6,E274='Euro Age Table'!C$7,'Euro Age Table'!G$7,E274='Euro Age Table'!C$8,'Euro Age Table'!G$8,E274='Euro Age Table'!C$9,'Euro Age Table'!G$9,E274='Euro Age Table'!C$10,'Euro Age Table'!G$10,E274='Euro Age Table'!C$11,'Euro Age Table'!G$11)</f>
        <v>18</v>
      </c>
      <c r="Y274" s="46">
        <f>X274*'Eilat Car Data'!F$8</f>
        <v>1015200</v>
      </c>
      <c r="Z274" s="46">
        <f>'T3 N2O HDV'!C33</f>
        <v>12</v>
      </c>
      <c r="AA274" s="124">
        <f t="shared" si="18"/>
        <v>0</v>
      </c>
    </row>
    <row r="275" spans="1:27" ht="12.5">
      <c r="A275" s="49" t="s">
        <v>8</v>
      </c>
      <c r="B275" s="49" t="s">
        <v>22</v>
      </c>
      <c r="C275" s="49" t="s">
        <v>65</v>
      </c>
      <c r="D275" s="49" t="s">
        <v>66</v>
      </c>
      <c r="E275" s="50" t="s">
        <v>57</v>
      </c>
      <c r="F275" s="97">
        <v>1.336243374459935E-3</v>
      </c>
      <c r="G275" s="99">
        <f t="shared" si="19"/>
        <v>6.6812168722996751E-2</v>
      </c>
      <c r="H275" s="46"/>
      <c r="I275" s="46">
        <f>G275*'Eilat Car Data'!F$8</f>
        <v>3768.2063159770169</v>
      </c>
      <c r="J275" s="46">
        <f>I275*'Tier 1 Coefficients'!I$10</f>
        <v>904369.51583448402</v>
      </c>
      <c r="K275" s="46">
        <f t="shared" si="16"/>
        <v>904.36951583448399</v>
      </c>
      <c r="L275" s="46">
        <f>K275*'Tier 1 Coefficients'!D$4</f>
        <v>2865.9469956794796</v>
      </c>
      <c r="M275" s="46">
        <f>K275*'Tier 1 Coefficients'!C$21</f>
        <v>2297.0985702195894</v>
      </c>
      <c r="N275" s="46">
        <f>K275*'Tier 1 Coefficients'!C$45</f>
        <v>46.122845307558677</v>
      </c>
      <c r="O275" s="46">
        <f>I275*'Tier 2 FC'!D$44</f>
        <v>1134230.1011090821</v>
      </c>
      <c r="P275" s="46">
        <f t="shared" si="17"/>
        <v>1134.2301011090822</v>
      </c>
      <c r="Q275" s="46">
        <f>P275*'Tier 1 Coefficients'!D$4</f>
        <v>3594.3751904146816</v>
      </c>
      <c r="R275" s="46">
        <f>$I275*'T2 Bus'!C9</f>
        <v>3.7682063159770167</v>
      </c>
      <c r="S275" s="46">
        <f>$I275*'T2 Bus'!D9</f>
        <v>3244.4256380562115</v>
      </c>
      <c r="T275" s="46">
        <f>44.011*(P275/(12.011+1.008*'Tier 3 CO2 Tables'!B$4+16*'Tier 3 CO2 Tables'!C$4))</f>
        <v>3594.9180736051167</v>
      </c>
      <c r="U275" s="46">
        <f>I275*'Tier 3 CO2 Tables'!H$11/10000</f>
        <v>3.2029753685804643</v>
      </c>
      <c r="V275" s="46">
        <f>44.011*(U275/(12.011+1.008*'Tier 3 CO2 Tables'!B$6+16*'Tier 3 CO2 Tables'!C$6))</f>
        <v>9.9921850108589965</v>
      </c>
      <c r="W275" s="46">
        <f>I275*'T3 Methane'!D$29</f>
        <v>320297.53685804643</v>
      </c>
      <c r="X275" s="46" cm="1">
        <f t="array" ref="X275">_xlfn.IFS(E275='Euro Age Table'!C$5,'Euro Age Table'!G$5,E275='Euro Age Table'!C$6,'Euro Age Table'!G$6,E275='Euro Age Table'!C$7,'Euro Age Table'!G$7,E275='Euro Age Table'!C$8,'Euro Age Table'!G$8,E275='Euro Age Table'!C$9,'Euro Age Table'!G$9,E275='Euro Age Table'!C$10,'Euro Age Table'!G$10,E275='Euro Age Table'!C$11,'Euro Age Table'!G$11)</f>
        <v>16</v>
      </c>
      <c r="Y275" s="46">
        <f>X275*'Eilat Car Data'!F$8</f>
        <v>902400</v>
      </c>
      <c r="Z275" s="46">
        <f>'T3 N2O HDV'!C34</f>
        <v>6</v>
      </c>
      <c r="AA275" s="124">
        <f t="shared" si="18"/>
        <v>22609.237895862101</v>
      </c>
    </row>
    <row r="276" spans="1:27" ht="12.5">
      <c r="A276" s="49" t="s">
        <v>8</v>
      </c>
      <c r="B276" s="49" t="s">
        <v>22</v>
      </c>
      <c r="C276" s="49" t="s">
        <v>65</v>
      </c>
      <c r="D276" s="49" t="s">
        <v>66</v>
      </c>
      <c r="E276" s="50" t="s">
        <v>58</v>
      </c>
      <c r="F276" s="97">
        <v>6.5921339806690122E-3</v>
      </c>
      <c r="G276" s="99">
        <f t="shared" si="19"/>
        <v>0.32960669903345063</v>
      </c>
      <c r="H276" s="46"/>
      <c r="I276" s="46">
        <f>G276*'Eilat Car Data'!F$8</f>
        <v>18589.817825486614</v>
      </c>
      <c r="J276" s="46">
        <f>I276*'Tier 1 Coefficients'!I$10</f>
        <v>4461556.2781167878</v>
      </c>
      <c r="K276" s="46">
        <f t="shared" si="16"/>
        <v>4461.5562781167882</v>
      </c>
      <c r="L276" s="46">
        <f>K276*'Tier 1 Coefficients'!D$4</f>
        <v>14138.671845352103</v>
      </c>
      <c r="M276" s="46">
        <f>K276*'Tier 1 Coefficients'!C$21</f>
        <v>11332.352946416642</v>
      </c>
      <c r="N276" s="46">
        <f>K276*'Tier 1 Coefficients'!C$45</f>
        <v>227.53937018395618</v>
      </c>
      <c r="O276" s="46">
        <f>I276*'Tier 2 FC'!D$44</f>
        <v>5595535.1654714709</v>
      </c>
      <c r="P276" s="46">
        <f t="shared" si="17"/>
        <v>5595.5351654714705</v>
      </c>
      <c r="Q276" s="46">
        <f>P276*'Tier 1 Coefficients'!D$4</f>
        <v>17732.25093937909</v>
      </c>
      <c r="R276" s="46">
        <f>$I276*'T2 Bus'!C10</f>
        <v>223.07781390583938</v>
      </c>
      <c r="S276" s="46">
        <f>$I276*'T2 Bus'!D10</f>
        <v>4926.3017237539534</v>
      </c>
      <c r="T276" s="46">
        <f>44.011*(P276/(12.011+1.008*'Tier 3 CO2 Tables'!B$4+16*'Tier 3 CO2 Tables'!C$4))</f>
        <v>17734.92916311857</v>
      </c>
      <c r="U276" s="46">
        <f>I276*'Tier 3 CO2 Tables'!H$11/10000</f>
        <v>15.801345151663622</v>
      </c>
      <c r="V276" s="46">
        <f>44.011*(U276/(12.011+1.008*'Tier 3 CO2 Tables'!B$6+16*'Tier 3 CO2 Tables'!C$6))</f>
        <v>49.294779386904381</v>
      </c>
      <c r="W276" s="46">
        <f>I276*'T3 Methane'!D$29</f>
        <v>1580134.5151663623</v>
      </c>
      <c r="X276" s="46" cm="1">
        <f t="array" ref="X276">_xlfn.IFS(E276='Euro Age Table'!C$5,'Euro Age Table'!G$5,E276='Euro Age Table'!C$6,'Euro Age Table'!G$6,E276='Euro Age Table'!C$7,'Euro Age Table'!G$7,E276='Euro Age Table'!C$8,'Euro Age Table'!G$8,E276='Euro Age Table'!C$9,'Euro Age Table'!G$9,E276='Euro Age Table'!C$10,'Euro Age Table'!G$10,E276='Euro Age Table'!C$11,'Euro Age Table'!G$11)</f>
        <v>13</v>
      </c>
      <c r="Y276" s="46">
        <f>X276*'Eilat Car Data'!F$8</f>
        <v>733200</v>
      </c>
      <c r="Z276" s="46">
        <f>'T3 N2O HDV'!C35</f>
        <v>12.8</v>
      </c>
      <c r="AA276" s="124">
        <f t="shared" si="18"/>
        <v>237949.66816622869</v>
      </c>
    </row>
    <row r="277" spans="1:27" ht="12.5">
      <c r="A277" s="49" t="s">
        <v>8</v>
      </c>
      <c r="B277" s="49" t="s">
        <v>22</v>
      </c>
      <c r="C277" s="49" t="s">
        <v>65</v>
      </c>
      <c r="D277" s="49" t="s">
        <v>66</v>
      </c>
      <c r="E277" s="50" t="s">
        <v>59</v>
      </c>
      <c r="F277" s="97">
        <v>4.6634893768651729E-2</v>
      </c>
      <c r="G277" s="99">
        <f t="shared" si="19"/>
        <v>2.3317446884325865</v>
      </c>
      <c r="H277" s="46"/>
      <c r="I277" s="46">
        <f>G277*'Eilat Car Data'!F$8</f>
        <v>131510.40042759787</v>
      </c>
      <c r="J277" s="46">
        <f>I277*'Tier 1 Coefficients'!I$10</f>
        <v>31562496.102623489</v>
      </c>
      <c r="K277" s="46">
        <f t="shared" si="16"/>
        <v>31562.496102623489</v>
      </c>
      <c r="L277" s="46">
        <f>K277*'Tier 1 Coefficients'!D$4</f>
        <v>100021.55014921384</v>
      </c>
      <c r="M277" s="46">
        <f>K277*'Tier 1 Coefficients'!C$21</f>
        <v>80168.740100663665</v>
      </c>
      <c r="N277" s="46">
        <f>K277*'Tier 1 Coefficients'!C$45</f>
        <v>1609.6873012337978</v>
      </c>
      <c r="O277" s="46">
        <f>I277*'Tier 2 FC'!D$44</f>
        <v>39584630.52870696</v>
      </c>
      <c r="P277" s="46">
        <f t="shared" si="17"/>
        <v>39584.630528706963</v>
      </c>
      <c r="Q277" s="46">
        <f>P277*'Tier 1 Coefficients'!D$4</f>
        <v>125443.69414547237</v>
      </c>
      <c r="R277" s="46">
        <f>$I277*'T2 Bus'!C11</f>
        <v>4208.3328136831315</v>
      </c>
      <c r="S277" s="46">
        <f>$I277*'T2 Bus'!D11</f>
        <v>34850.256113313437</v>
      </c>
      <c r="T277" s="46">
        <f>44.011*(P277/(12.011+1.008*'Tier 3 CO2 Tables'!B$4+16*'Tier 3 CO2 Tables'!C$4))</f>
        <v>125462.64076881856</v>
      </c>
      <c r="U277" s="46">
        <f>I277*'Tier 3 CO2 Tables'!H$11/10000</f>
        <v>111.7838403634582</v>
      </c>
      <c r="V277" s="46">
        <f>44.011*(U277/(12.011+1.008*'Tier 3 CO2 Tables'!B$6+16*'Tier 3 CO2 Tables'!C$6))</f>
        <v>348.72725687897895</v>
      </c>
      <c r="W277" s="46">
        <f>I277*'T3 Methane'!D$29</f>
        <v>11178384.036345819</v>
      </c>
      <c r="X277" s="46" cm="1">
        <f t="array" ref="X277">_xlfn.IFS(E277='Euro Age Table'!C$5,'Euro Age Table'!G$5,E277='Euro Age Table'!C$6,'Euro Age Table'!G$6,E277='Euro Age Table'!C$7,'Euro Age Table'!G$7,E277='Euro Age Table'!C$8,'Euro Age Table'!G$8,E277='Euro Age Table'!C$9,'Euro Age Table'!G$9,E277='Euro Age Table'!C$10,'Euro Age Table'!G$10,E277='Euro Age Table'!C$11,'Euro Age Table'!G$11)</f>
        <v>9</v>
      </c>
      <c r="Y277" s="46">
        <f>X277*'Eilat Car Data'!F$8</f>
        <v>507600</v>
      </c>
      <c r="Z277" s="46">
        <f>'T3 N2O HDV'!C36</f>
        <v>33.200000000000003</v>
      </c>
      <c r="AA277" s="124">
        <f t="shared" si="18"/>
        <v>4366145.2941962499</v>
      </c>
    </row>
    <row r="278" spans="1:27" ht="12.5">
      <c r="A278" s="51" t="s">
        <v>8</v>
      </c>
      <c r="B278" s="51" t="s">
        <v>22</v>
      </c>
      <c r="C278" s="51" t="s">
        <v>65</v>
      </c>
      <c r="D278" s="49" t="s">
        <v>66</v>
      </c>
      <c r="E278" s="50" t="s">
        <v>60</v>
      </c>
      <c r="F278" s="97">
        <v>7.665582824818494E-2</v>
      </c>
      <c r="G278" s="99">
        <f t="shared" si="19"/>
        <v>3.832791412409247</v>
      </c>
      <c r="H278" s="46"/>
      <c r="I278" s="46">
        <f>G278*'Eilat Car Data'!F$8</f>
        <v>216169.43565988154</v>
      </c>
      <c r="J278" s="46">
        <f>I278*'Tier 1 Coefficients'!I$10</f>
        <v>51880664.558371566</v>
      </c>
      <c r="K278" s="46">
        <f t="shared" si="16"/>
        <v>51880.664558371565</v>
      </c>
      <c r="L278" s="46">
        <f>K278*'Tier 1 Coefficients'!D$4</f>
        <v>164409.82598547949</v>
      </c>
      <c r="M278" s="46">
        <f>K278*'Tier 1 Coefficients'!C$21</f>
        <v>131776.88797826378</v>
      </c>
      <c r="N278" s="46">
        <f>K278*'Tier 1 Coefficients'!C$45</f>
        <v>2645.9138924769495</v>
      </c>
      <c r="O278" s="46">
        <f>I278*'Tier 2 FC'!D$44</f>
        <v>65067000.133624345</v>
      </c>
      <c r="P278" s="46">
        <f t="shared" si="17"/>
        <v>65067.000133624344</v>
      </c>
      <c r="Q278" s="46">
        <f>P278*'Tier 1 Coefficients'!D$4</f>
        <v>206197.32342345556</v>
      </c>
      <c r="R278" s="46">
        <f>$I278*'T2 Bus'!C12</f>
        <v>8646.7774263952615</v>
      </c>
      <c r="S278" s="46">
        <f>$I278*'T2 Bus'!D12</f>
        <v>57284.900449868612</v>
      </c>
      <c r="T278" s="46">
        <f>44.011*(P278/(12.011+1.008*'Tier 3 CO2 Tables'!B$4+16*'Tier 3 CO2 Tables'!C$4))</f>
        <v>206228.46682248017</v>
      </c>
      <c r="U278" s="46">
        <f>I278*'Tier 3 CO2 Tables'!H$12/10000</f>
        <v>18.374402031089929</v>
      </c>
      <c r="V278" s="46">
        <f>44.011*(U278/(12.011+1.008*'Tier 3 CO2 Tables'!B$6+16*'Tier 3 CO2 Tables'!C$6))</f>
        <v>57.32183467896111</v>
      </c>
      <c r="W278" s="46">
        <f>I278*'T3 Methane'!D$29</f>
        <v>18374402.031089932</v>
      </c>
      <c r="X278" s="46" cm="1">
        <f t="array" ref="X278">_xlfn.IFS(E278='Euro Age Table'!C$5,'Euro Age Table'!G$5,E278='Euro Age Table'!C$6,'Euro Age Table'!G$6,E278='Euro Age Table'!C$7,'Euro Age Table'!G$7,E278='Euro Age Table'!C$8,'Euro Age Table'!G$8,E278='Euro Age Table'!C$9,'Euro Age Table'!G$9,E278='Euro Age Table'!C$10,'Euro Age Table'!G$10,E278='Euro Age Table'!C$11,'Euro Age Table'!G$11)</f>
        <v>3</v>
      </c>
      <c r="Y278" s="46">
        <f>X278*'Eilat Car Data'!F$8</f>
        <v>169200</v>
      </c>
      <c r="Z278" s="46">
        <f>'T3 N2O HDV'!C37</f>
        <v>41.5</v>
      </c>
      <c r="AA278" s="124">
        <f t="shared" si="18"/>
        <v>8971031.5798850842</v>
      </c>
    </row>
    <row r="279" spans="1:27" ht="12.5">
      <c r="A279" s="49" t="s">
        <v>8</v>
      </c>
      <c r="B279" s="49" t="s">
        <v>22</v>
      </c>
      <c r="C279" s="49" t="s">
        <v>67</v>
      </c>
      <c r="D279" s="52" t="s">
        <v>90</v>
      </c>
      <c r="E279" s="50" t="s">
        <v>54</v>
      </c>
      <c r="F279" s="97">
        <v>4.4541445815331164E-5</v>
      </c>
      <c r="G279" s="99">
        <f t="shared" si="19"/>
        <v>2.227072290766558E-3</v>
      </c>
      <c r="H279" s="46"/>
      <c r="I279" s="46">
        <f>G279*'Eilat Car Data'!F$8</f>
        <v>125.60687719923388</v>
      </c>
      <c r="J279" s="46">
        <f>I279*'Tier 1 Coefficients'!I$10</f>
        <v>30145.650527816131</v>
      </c>
      <c r="K279" s="46">
        <f t="shared" si="16"/>
        <v>30.14565052781613</v>
      </c>
      <c r="L279" s="46">
        <f>K279*'Tier 1 Coefficients'!D$4</f>
        <v>95.531566522649314</v>
      </c>
      <c r="M279" s="46">
        <f>K279*'Tier 1 Coefficients'!C$21</f>
        <v>76.569952340652975</v>
      </c>
      <c r="N279" s="46">
        <f>K279*'Tier 1 Coefficients'!C$45</f>
        <v>1.5374281769186224</v>
      </c>
      <c r="O279" s="46">
        <f>I279*'Tier 2 FC'!D$43</f>
        <v>45972.117054919596</v>
      </c>
      <c r="P279" s="46">
        <f t="shared" si="17"/>
        <v>45.972117054919593</v>
      </c>
      <c r="Q279" s="46">
        <f>P279*'Tier 1 Coefficients'!D$4</f>
        <v>145.68563894704019</v>
      </c>
      <c r="R279" s="46">
        <f>$I279*'T2 Bus'!C6</f>
        <v>3.6425994387777827</v>
      </c>
      <c r="S279" s="46">
        <f>$I279*'T2 Bus'!D6</f>
        <v>332.85822457796979</v>
      </c>
      <c r="T279" s="46">
        <f>44.011*(P279/(12.011+1.008*'Tier 3 CO2 Tables'!B$4+16*'Tier 3 CO2 Tables'!C$4))</f>
        <v>145.7076428504399</v>
      </c>
      <c r="U279" s="46">
        <f>I279*'Tier 3 CO2 Tables'!H$11/10000</f>
        <v>0.10676584561934881</v>
      </c>
      <c r="V279" s="46">
        <f>44.011*(U279/(12.011+1.008*'Tier 3 CO2 Tables'!B$6+16*'Tier 3 CO2 Tables'!C$6))</f>
        <v>0.33307283369529989</v>
      </c>
      <c r="W279" s="46">
        <f>I279*'T3 Methane'!D$29</f>
        <v>10676.58456193488</v>
      </c>
      <c r="X279" s="46" cm="1">
        <f t="array" ref="X279">_xlfn.IFS(E279='Euro Age Table'!C$5,'Euro Age Table'!G$5,E279='Euro Age Table'!C$6,'Euro Age Table'!G$6,E279='Euro Age Table'!C$7,'Euro Age Table'!G$7,E279='Euro Age Table'!C$8,'Euro Age Table'!G$8,E279='Euro Age Table'!C$9,'Euro Age Table'!G$9,E279='Euro Age Table'!C$10,'Euro Age Table'!G$10,E279='Euro Age Table'!C$11,'Euro Age Table'!G$11)</f>
        <v>27</v>
      </c>
      <c r="Y279" s="46">
        <f>X279*'Eilat Car Data'!F$8</f>
        <v>1522800</v>
      </c>
      <c r="Z279" s="46">
        <f>'T3 N2O HDV'!C31</f>
        <v>30</v>
      </c>
      <c r="AA279" s="124">
        <f t="shared" si="18"/>
        <v>3768.2063159770164</v>
      </c>
    </row>
    <row r="280" spans="1:27" ht="12.5">
      <c r="A280" s="49" t="s">
        <v>8</v>
      </c>
      <c r="B280" s="49" t="s">
        <v>22</v>
      </c>
      <c r="C280" s="49" t="s">
        <v>67</v>
      </c>
      <c r="D280" s="49" t="s">
        <v>90</v>
      </c>
      <c r="E280" s="50" t="s">
        <v>55</v>
      </c>
      <c r="F280" s="97">
        <v>0</v>
      </c>
      <c r="G280" s="99">
        <f t="shared" si="19"/>
        <v>0</v>
      </c>
      <c r="H280" s="46"/>
      <c r="I280" s="46">
        <f>G280*'Eilat Car Data'!F$8</f>
        <v>0</v>
      </c>
      <c r="J280" s="46">
        <f>I280*'Tier 1 Coefficients'!I$10</f>
        <v>0</v>
      </c>
      <c r="K280" s="46">
        <f t="shared" si="16"/>
        <v>0</v>
      </c>
      <c r="L280" s="46">
        <f>K280*'Tier 1 Coefficients'!D$4</f>
        <v>0</v>
      </c>
      <c r="M280" s="46">
        <f>K280*'Tier 1 Coefficients'!C$21</f>
        <v>0</v>
      </c>
      <c r="N280" s="46">
        <f>K280*'Tier 1 Coefficients'!C$45</f>
        <v>0</v>
      </c>
      <c r="O280" s="46">
        <f>I280*'Tier 2 FC'!D$44</f>
        <v>0</v>
      </c>
      <c r="P280" s="46">
        <f t="shared" si="17"/>
        <v>0</v>
      </c>
      <c r="Q280" s="46">
        <f>P280*'Tier 1 Coefficients'!D$4</f>
        <v>0</v>
      </c>
      <c r="R280" s="46">
        <f>$I280*'T2 Bus'!C7</f>
        <v>0</v>
      </c>
      <c r="S280" s="46">
        <f>$I280*'T2 Bus'!D7</f>
        <v>0</v>
      </c>
      <c r="T280" s="46">
        <f>44.011*(P280/(12.011+1.008*'Tier 3 CO2 Tables'!B$4+16*'Tier 3 CO2 Tables'!C$4))</f>
        <v>0</v>
      </c>
      <c r="U280" s="46">
        <f>I280*'Tier 3 CO2 Tables'!H$11/10000</f>
        <v>0</v>
      </c>
      <c r="V280" s="46">
        <f>44.011*(U280/(12.011+1.008*'Tier 3 CO2 Tables'!B$6+16*'Tier 3 CO2 Tables'!C$6))</f>
        <v>0</v>
      </c>
      <c r="W280" s="46">
        <f>I280*'T3 Methane'!D$29</f>
        <v>0</v>
      </c>
      <c r="X280" s="46" cm="1">
        <f t="array" ref="X280">_xlfn.IFS(E280='Euro Age Table'!C$5,'Euro Age Table'!G$5,E280='Euro Age Table'!C$6,'Euro Age Table'!G$6,E280='Euro Age Table'!C$7,'Euro Age Table'!G$7,E280='Euro Age Table'!C$8,'Euro Age Table'!G$8,E280='Euro Age Table'!C$9,'Euro Age Table'!G$9,E280='Euro Age Table'!C$10,'Euro Age Table'!G$10,E280='Euro Age Table'!C$11,'Euro Age Table'!G$11)</f>
        <v>23</v>
      </c>
      <c r="Y280" s="46">
        <f>X280*'Eilat Car Data'!F$8</f>
        <v>1297200</v>
      </c>
      <c r="Z280" s="46">
        <f>'T3 N2O HDV'!C32</f>
        <v>12</v>
      </c>
      <c r="AA280" s="124">
        <f t="shared" si="18"/>
        <v>0</v>
      </c>
    </row>
    <row r="281" spans="1:27" ht="12.5">
      <c r="A281" s="49" t="s">
        <v>8</v>
      </c>
      <c r="B281" s="49" t="s">
        <v>22</v>
      </c>
      <c r="C281" s="49" t="s">
        <v>67</v>
      </c>
      <c r="D281" s="49" t="s">
        <v>90</v>
      </c>
      <c r="E281" s="50" t="s">
        <v>56</v>
      </c>
      <c r="F281" s="97">
        <v>8.9082891630662327E-5</v>
      </c>
      <c r="G281" s="99">
        <f t="shared" si="19"/>
        <v>4.4541445815331161E-3</v>
      </c>
      <c r="H281" s="46"/>
      <c r="I281" s="46">
        <f>G281*'Eilat Car Data'!F$8</f>
        <v>251.21375439846776</v>
      </c>
      <c r="J281" s="46">
        <f>I281*'Tier 1 Coefficients'!I$10</f>
        <v>60291.301055632262</v>
      </c>
      <c r="K281" s="46">
        <f t="shared" si="16"/>
        <v>60.29130105563226</v>
      </c>
      <c r="L281" s="46">
        <f>K281*'Tier 1 Coefficients'!D$4</f>
        <v>191.06313304529863</v>
      </c>
      <c r="M281" s="46">
        <f>K281*'Tier 1 Coefficients'!C$21</f>
        <v>153.13990468130595</v>
      </c>
      <c r="N281" s="46">
        <f>K281*'Tier 1 Coefficients'!C$45</f>
        <v>3.0748563538372449</v>
      </c>
      <c r="O281" s="46">
        <f>I281*'Tier 2 FC'!D$44</f>
        <v>75615.340073938802</v>
      </c>
      <c r="P281" s="46">
        <f t="shared" si="17"/>
        <v>75.615340073938796</v>
      </c>
      <c r="Q281" s="46">
        <f>P281*'Tier 1 Coefficients'!D$4</f>
        <v>239.62501269431206</v>
      </c>
      <c r="R281" s="46">
        <f>$I281*'T2 Bus'!C8</f>
        <v>30.14565052781613</v>
      </c>
      <c r="S281" s="46">
        <f>$I281*'T2 Bus'!D8</f>
        <v>371.79635650973228</v>
      </c>
      <c r="T281" s="46">
        <f>44.011*(P281/(12.011+1.008*'Tier 3 CO2 Tables'!B$4+16*'Tier 3 CO2 Tables'!C$4))</f>
        <v>239.66120490700774</v>
      </c>
      <c r="U281" s="46">
        <f>I281*'Tier 3 CO2 Tables'!H$11/10000</f>
        <v>0.21353169123869761</v>
      </c>
      <c r="V281" s="46">
        <f>44.011*(U281/(12.011+1.008*'Tier 3 CO2 Tables'!B$6+16*'Tier 3 CO2 Tables'!C$6))</f>
        <v>0.66614566739059977</v>
      </c>
      <c r="W281" s="46">
        <f>I281*'T3 Methane'!D$29</f>
        <v>21353.16912386976</v>
      </c>
      <c r="X281" s="46" cm="1">
        <f t="array" ref="X281">_xlfn.IFS(E281='Euro Age Table'!C$5,'Euro Age Table'!G$5,E281='Euro Age Table'!C$6,'Euro Age Table'!G$6,E281='Euro Age Table'!C$7,'Euro Age Table'!G$7,E281='Euro Age Table'!C$8,'Euro Age Table'!G$8,E281='Euro Age Table'!C$9,'Euro Age Table'!G$9,E281='Euro Age Table'!C$10,'Euro Age Table'!G$10,E281='Euro Age Table'!C$11,'Euro Age Table'!G$11)</f>
        <v>18</v>
      </c>
      <c r="Y281" s="46">
        <f>X281*'Eilat Car Data'!F$8</f>
        <v>1015200</v>
      </c>
      <c r="Z281" s="46">
        <f>'T3 N2O HDV'!C33</f>
        <v>12</v>
      </c>
      <c r="AA281" s="124">
        <f t="shared" si="18"/>
        <v>3014.5650527816133</v>
      </c>
    </row>
    <row r="282" spans="1:27" ht="12.5">
      <c r="A282" s="49" t="s">
        <v>8</v>
      </c>
      <c r="B282" s="49" t="s">
        <v>22</v>
      </c>
      <c r="C282" s="49" t="s">
        <v>67</v>
      </c>
      <c r="D282" s="49" t="s">
        <v>90</v>
      </c>
      <c r="E282" s="50" t="s">
        <v>57</v>
      </c>
      <c r="F282" s="97">
        <v>2.6724867489198701E-4</v>
      </c>
      <c r="G282" s="99">
        <f t="shared" si="19"/>
        <v>1.3362433744599351E-2</v>
      </c>
      <c r="H282" s="46"/>
      <c r="I282" s="46">
        <f>G282*'Eilat Car Data'!F$8</f>
        <v>753.64126319540344</v>
      </c>
      <c r="J282" s="46">
        <f>I282*'Tier 1 Coefficients'!I$10</f>
        <v>180873.90316689684</v>
      </c>
      <c r="K282" s="46">
        <f t="shared" si="16"/>
        <v>180.87390316689684</v>
      </c>
      <c r="L282" s="46">
        <f>K282*'Tier 1 Coefficients'!D$4</f>
        <v>573.18939913589611</v>
      </c>
      <c r="M282" s="46">
        <f>K282*'Tier 1 Coefficients'!C$21</f>
        <v>459.41971404391796</v>
      </c>
      <c r="N282" s="46">
        <f>K282*'Tier 1 Coefficients'!C$45</f>
        <v>9.2245690615117386</v>
      </c>
      <c r="O282" s="46">
        <f>I282*'Tier 2 FC'!D$44</f>
        <v>226846.02022181643</v>
      </c>
      <c r="P282" s="46">
        <f t="shared" si="17"/>
        <v>226.84602022181645</v>
      </c>
      <c r="Q282" s="46">
        <f>P282*'Tier 1 Coefficients'!D$4</f>
        <v>718.87503808293627</v>
      </c>
      <c r="R282" s="46">
        <f>$I282*'T2 Bus'!C9</f>
        <v>0.75364126319540348</v>
      </c>
      <c r="S282" s="46">
        <f>$I282*'T2 Bus'!D9</f>
        <v>648.8851276112423</v>
      </c>
      <c r="T282" s="46">
        <f>44.011*(P282/(12.011+1.008*'Tier 3 CO2 Tables'!B$4+16*'Tier 3 CO2 Tables'!C$4))</f>
        <v>718.9836147210234</v>
      </c>
      <c r="U282" s="46">
        <f>I282*'Tier 3 CO2 Tables'!H$11/10000</f>
        <v>0.64059507371609292</v>
      </c>
      <c r="V282" s="46">
        <f>44.011*(U282/(12.011+1.008*'Tier 3 CO2 Tables'!B$6+16*'Tier 3 CO2 Tables'!C$6))</f>
        <v>1.9984370021717996</v>
      </c>
      <c r="W282" s="46">
        <f>I282*'T3 Methane'!D$29</f>
        <v>64059.507371609296</v>
      </c>
      <c r="X282" s="46" cm="1">
        <f t="array" ref="X282">_xlfn.IFS(E282='Euro Age Table'!C$5,'Euro Age Table'!G$5,E282='Euro Age Table'!C$6,'Euro Age Table'!G$6,E282='Euro Age Table'!C$7,'Euro Age Table'!G$7,E282='Euro Age Table'!C$8,'Euro Age Table'!G$8,E282='Euro Age Table'!C$9,'Euro Age Table'!G$9,E282='Euro Age Table'!C$10,'Euro Age Table'!G$10,E282='Euro Age Table'!C$11,'Euro Age Table'!G$11)</f>
        <v>16</v>
      </c>
      <c r="Y282" s="46">
        <f>X282*'Eilat Car Data'!F$8</f>
        <v>902400</v>
      </c>
      <c r="Z282" s="46">
        <f>'T3 N2O HDV'!C34</f>
        <v>6</v>
      </c>
      <c r="AA282" s="124">
        <f t="shared" si="18"/>
        <v>4521.8475791724204</v>
      </c>
    </row>
    <row r="283" spans="1:27" ht="12.5">
      <c r="A283" s="49" t="s">
        <v>8</v>
      </c>
      <c r="B283" s="49" t="s">
        <v>22</v>
      </c>
      <c r="C283" s="49" t="s">
        <v>67</v>
      </c>
      <c r="D283" s="49" t="s">
        <v>90</v>
      </c>
      <c r="E283" s="50" t="s">
        <v>58</v>
      </c>
      <c r="F283" s="97">
        <v>1.7816578326132467E-3</v>
      </c>
      <c r="G283" s="99">
        <f t="shared" si="19"/>
        <v>8.9082891630662339E-2</v>
      </c>
      <c r="H283" s="46"/>
      <c r="I283" s="46">
        <f>G283*'Eilat Car Data'!F$8</f>
        <v>5024.2750879693558</v>
      </c>
      <c r="J283" s="46">
        <f>I283*'Tier 1 Coefficients'!I$10</f>
        <v>1205826.0211126455</v>
      </c>
      <c r="K283" s="46">
        <f t="shared" si="16"/>
        <v>1205.8260211126455</v>
      </c>
      <c r="L283" s="46">
        <f>K283*'Tier 1 Coefficients'!D$4</f>
        <v>3821.2626609059739</v>
      </c>
      <c r="M283" s="46">
        <f>K283*'Tier 1 Coefficients'!C$21</f>
        <v>3062.7980936261197</v>
      </c>
      <c r="N283" s="46">
        <f>K283*'Tier 1 Coefficients'!C$45</f>
        <v>61.497127076744917</v>
      </c>
      <c r="O283" s="46">
        <f>I283*'Tier 2 FC'!D$44</f>
        <v>1512306.8014787761</v>
      </c>
      <c r="P283" s="46">
        <f t="shared" si="17"/>
        <v>1512.3068014787762</v>
      </c>
      <c r="Q283" s="46">
        <f>P283*'Tier 1 Coefficients'!D$4</f>
        <v>4792.5002538862418</v>
      </c>
      <c r="R283" s="46">
        <f>$I283*'T2 Bus'!C10</f>
        <v>60.291301055632267</v>
      </c>
      <c r="S283" s="46">
        <f>$I283*'T2 Bus'!D10</f>
        <v>1331.4328983118794</v>
      </c>
      <c r="T283" s="46">
        <f>44.011*(P283/(12.011+1.008*'Tier 3 CO2 Tables'!B$4+16*'Tier 3 CO2 Tables'!C$4))</f>
        <v>4793.2240981401555</v>
      </c>
      <c r="U283" s="46">
        <f>I283*'Tier 3 CO2 Tables'!H$11/10000</f>
        <v>4.2706338247739524</v>
      </c>
      <c r="V283" s="46">
        <f>44.011*(U283/(12.011+1.008*'Tier 3 CO2 Tables'!B$6+16*'Tier 3 CO2 Tables'!C$6))</f>
        <v>13.322913347811998</v>
      </c>
      <c r="W283" s="46">
        <f>I283*'T3 Methane'!D$29</f>
        <v>427063.38247739524</v>
      </c>
      <c r="X283" s="46" cm="1">
        <f t="array" ref="X283">_xlfn.IFS(E283='Euro Age Table'!C$5,'Euro Age Table'!G$5,E283='Euro Age Table'!C$6,'Euro Age Table'!G$6,E283='Euro Age Table'!C$7,'Euro Age Table'!G$7,E283='Euro Age Table'!C$8,'Euro Age Table'!G$8,E283='Euro Age Table'!C$9,'Euro Age Table'!G$9,E283='Euro Age Table'!C$10,'Euro Age Table'!G$10,E283='Euro Age Table'!C$11,'Euro Age Table'!G$11)</f>
        <v>13</v>
      </c>
      <c r="Y283" s="46">
        <f>X283*'Eilat Car Data'!F$8</f>
        <v>733200</v>
      </c>
      <c r="Z283" s="46">
        <f>'T3 N2O HDV'!C35</f>
        <v>12.8</v>
      </c>
      <c r="AA283" s="124">
        <f t="shared" si="18"/>
        <v>64310.72112600776</v>
      </c>
    </row>
    <row r="284" spans="1:27" ht="12.5">
      <c r="A284" s="49" t="s">
        <v>8</v>
      </c>
      <c r="B284" s="49" t="s">
        <v>22</v>
      </c>
      <c r="C284" s="49" t="s">
        <v>67</v>
      </c>
      <c r="D284" s="49" t="s">
        <v>90</v>
      </c>
      <c r="E284" s="50" t="s">
        <v>59</v>
      </c>
      <c r="F284" s="97">
        <v>1.1580775911986103E-2</v>
      </c>
      <c r="G284" s="99">
        <f t="shared" si="19"/>
        <v>0.57903879559930516</v>
      </c>
      <c r="H284" s="46"/>
      <c r="I284" s="46">
        <f>G284*'Eilat Car Data'!F$8</f>
        <v>32657.788071800809</v>
      </c>
      <c r="J284" s="46">
        <f>I284*'Tier 1 Coefficients'!I$10</f>
        <v>7837869.1372321937</v>
      </c>
      <c r="K284" s="46">
        <f t="shared" si="16"/>
        <v>7837.8691372321937</v>
      </c>
      <c r="L284" s="46">
        <f>K284*'Tier 1 Coefficients'!D$4</f>
        <v>24838.207295888824</v>
      </c>
      <c r="M284" s="46">
        <f>K284*'Tier 1 Coefficients'!C$21</f>
        <v>19908.187608569773</v>
      </c>
      <c r="N284" s="46">
        <f>K284*'Tier 1 Coefficients'!C$45</f>
        <v>399.73132599884184</v>
      </c>
      <c r="O284" s="46">
        <f>I284*'Tier 2 FC'!D$44</f>
        <v>9829994.2096120436</v>
      </c>
      <c r="P284" s="46">
        <f t="shared" si="17"/>
        <v>9829.9942096120431</v>
      </c>
      <c r="Q284" s="46">
        <f>P284*'Tier 1 Coefficients'!D$4</f>
        <v>31151.251650260565</v>
      </c>
      <c r="R284" s="46">
        <f>$I284*'T2 Bus'!C11</f>
        <v>1045.0492182976259</v>
      </c>
      <c r="S284" s="46">
        <f>$I284*'T2 Bus'!D11</f>
        <v>8654.3138390272143</v>
      </c>
      <c r="T284" s="46">
        <f>44.011*(P284/(12.011+1.008*'Tier 3 CO2 Tables'!B$4+16*'Tier 3 CO2 Tables'!C$4))</f>
        <v>31155.956637911004</v>
      </c>
      <c r="U284" s="46">
        <f>I284*'Tier 3 CO2 Tables'!H$11/10000</f>
        <v>27.75911986103069</v>
      </c>
      <c r="V284" s="46">
        <f>44.011*(U284/(12.011+1.008*'Tier 3 CO2 Tables'!B$6+16*'Tier 3 CO2 Tables'!C$6))</f>
        <v>86.598936760777974</v>
      </c>
      <c r="W284" s="46">
        <f>I284*'T3 Methane'!D$29</f>
        <v>2775911.9861030686</v>
      </c>
      <c r="X284" s="46" cm="1">
        <f t="array" ref="X284">_xlfn.IFS(E284='Euro Age Table'!C$5,'Euro Age Table'!G$5,E284='Euro Age Table'!C$6,'Euro Age Table'!G$6,E284='Euro Age Table'!C$7,'Euro Age Table'!G$7,E284='Euro Age Table'!C$8,'Euro Age Table'!G$8,E284='Euro Age Table'!C$9,'Euro Age Table'!G$9,E284='Euro Age Table'!C$10,'Euro Age Table'!G$10,E284='Euro Age Table'!C$11,'Euro Age Table'!G$11)</f>
        <v>9</v>
      </c>
      <c r="Y284" s="46">
        <f>X284*'Eilat Car Data'!F$8</f>
        <v>507600</v>
      </c>
      <c r="Z284" s="46">
        <f>'T3 N2O HDV'!C36</f>
        <v>33.200000000000003</v>
      </c>
      <c r="AA284" s="124">
        <f t="shared" si="18"/>
        <v>1084238.5639837869</v>
      </c>
    </row>
    <row r="285" spans="1:27" ht="12.5">
      <c r="A285" s="49" t="s">
        <v>8</v>
      </c>
      <c r="B285" s="49" t="s">
        <v>22</v>
      </c>
      <c r="C285" s="49" t="s">
        <v>67</v>
      </c>
      <c r="D285" s="51" t="s">
        <v>90</v>
      </c>
      <c r="E285" s="50" t="s">
        <v>60</v>
      </c>
      <c r="F285" s="97">
        <v>2.9397354238118571E-2</v>
      </c>
      <c r="G285" s="99">
        <f t="shared" si="19"/>
        <v>1.4698677119059285</v>
      </c>
      <c r="H285" s="46"/>
      <c r="I285" s="46">
        <f>G285*'Eilat Car Data'!F$8</f>
        <v>82900.538951494367</v>
      </c>
      <c r="J285" s="46">
        <f>I285*'Tier 1 Coefficients'!I$10</f>
        <v>19896129.34835865</v>
      </c>
      <c r="K285" s="46">
        <f t="shared" si="16"/>
        <v>19896.129348358649</v>
      </c>
      <c r="L285" s="46">
        <f>K285*'Tier 1 Coefficients'!D$4</f>
        <v>63050.833904948558</v>
      </c>
      <c r="M285" s="46">
        <f>K285*'Tier 1 Coefficients'!C$21</f>
        <v>50536.168544830965</v>
      </c>
      <c r="N285" s="46">
        <f>K285*'Tier 1 Coefficients'!C$45</f>
        <v>1014.702596766291</v>
      </c>
      <c r="O285" s="46">
        <f>I285*'Tier 2 FC'!D$44</f>
        <v>24953062.224399805</v>
      </c>
      <c r="P285" s="46">
        <f t="shared" si="17"/>
        <v>24953.062224399804</v>
      </c>
      <c r="Q285" s="46">
        <f>P285*'Tier 1 Coefficients'!D$4</f>
        <v>79076.254189122978</v>
      </c>
      <c r="R285" s="46">
        <f>$I285*'T2 Bus'!C12</f>
        <v>3316.0215580597746</v>
      </c>
      <c r="S285" s="46">
        <f>$I285*'T2 Bus'!D12</f>
        <v>21968.642822146008</v>
      </c>
      <c r="T285" s="46">
        <f>44.011*(P285/(12.011+1.008*'Tier 3 CO2 Tables'!B$4+16*'Tier 3 CO2 Tables'!C$4))</f>
        <v>79088.197619312559</v>
      </c>
      <c r="U285" s="46">
        <f>I285*'Tier 3 CO2 Tables'!H$12/10000</f>
        <v>7.0465458108770207</v>
      </c>
      <c r="V285" s="46">
        <f>44.011*(U285/(12.011+1.008*'Tier 3 CO2 Tables'!B$6+16*'Tier 3 CO2 Tables'!C$6))</f>
        <v>21.982807023889791</v>
      </c>
      <c r="W285" s="46">
        <f>I285*'T3 Methane'!D$29</f>
        <v>7046545.8108770214</v>
      </c>
      <c r="X285" s="46" cm="1">
        <f t="array" ref="X285">_xlfn.IFS(E285='Euro Age Table'!C$5,'Euro Age Table'!G$5,E285='Euro Age Table'!C$6,'Euro Age Table'!G$6,E285='Euro Age Table'!C$7,'Euro Age Table'!G$7,E285='Euro Age Table'!C$8,'Euro Age Table'!G$8,E285='Euro Age Table'!C$9,'Euro Age Table'!G$9,E285='Euro Age Table'!C$10,'Euro Age Table'!G$10,E285='Euro Age Table'!C$11,'Euro Age Table'!G$11)</f>
        <v>3</v>
      </c>
      <c r="Y285" s="46">
        <f>X285*'Eilat Car Data'!F$8</f>
        <v>169200</v>
      </c>
      <c r="Z285" s="46">
        <f>'T3 N2O HDV'!C37</f>
        <v>41.5</v>
      </c>
      <c r="AA285" s="124">
        <f t="shared" si="18"/>
        <v>3440372.3664870164</v>
      </c>
    </row>
    <row r="286" spans="1:27" ht="12.5">
      <c r="A286" s="49" t="s">
        <v>8</v>
      </c>
      <c r="B286" s="49" t="s">
        <v>22</v>
      </c>
      <c r="C286" s="49" t="s">
        <v>67</v>
      </c>
      <c r="D286" s="49" t="s">
        <v>91</v>
      </c>
      <c r="E286" s="50" t="s">
        <v>54</v>
      </c>
      <c r="F286" s="97">
        <v>4.4541445815331164E-5</v>
      </c>
      <c r="G286" s="99">
        <f t="shared" si="19"/>
        <v>2.227072290766558E-3</v>
      </c>
      <c r="H286" s="46"/>
      <c r="I286" s="46">
        <f>G286*'Eilat Car Data'!F$8</f>
        <v>125.60687719923388</v>
      </c>
      <c r="J286" s="46">
        <f>I286*'Tier 1 Coefficients'!I$10</f>
        <v>30145.650527816131</v>
      </c>
      <c r="K286" s="46">
        <f t="shared" si="16"/>
        <v>30.14565052781613</v>
      </c>
      <c r="L286" s="46">
        <f>K286*'Tier 1 Coefficients'!D$4</f>
        <v>95.531566522649314</v>
      </c>
      <c r="M286" s="46">
        <f>K286*'Tier 1 Coefficients'!C$21</f>
        <v>76.569952340652975</v>
      </c>
      <c r="N286" s="46">
        <f>K286*'Tier 1 Coefficients'!C$45</f>
        <v>1.5374281769186224</v>
      </c>
      <c r="O286" s="46">
        <f>I286*'Tier 2 FC'!D$43</f>
        <v>45972.117054919596</v>
      </c>
      <c r="P286" s="46">
        <f t="shared" si="17"/>
        <v>45.972117054919593</v>
      </c>
      <c r="Q286" s="46">
        <f>P286*'Tier 1 Coefficients'!D$4</f>
        <v>145.68563894704019</v>
      </c>
      <c r="R286" s="46">
        <f>$I286*'T2 Bus'!C6</f>
        <v>3.6425994387777827</v>
      </c>
      <c r="S286" s="46">
        <f>$I286*'T2 Bus'!D6</f>
        <v>332.85822457796979</v>
      </c>
      <c r="T286" s="46">
        <f>44.011*(P286/(12.011+1.008*'Tier 3 CO2 Tables'!B$4+16*'Tier 3 CO2 Tables'!C$4))</f>
        <v>145.7076428504399</v>
      </c>
      <c r="U286" s="46">
        <f>I286*'Tier 3 CO2 Tables'!H$11/10000</f>
        <v>0.10676584561934881</v>
      </c>
      <c r="V286" s="46">
        <f>44.011*(U286/(12.011+1.008*'Tier 3 CO2 Tables'!B$6+16*'Tier 3 CO2 Tables'!C$6))</f>
        <v>0.33307283369529989</v>
      </c>
      <c r="W286" s="46">
        <f>I286*'T3 Methane'!D$30</f>
        <v>21981.203509865929</v>
      </c>
      <c r="X286" s="46" cm="1">
        <f t="array" ref="X286">_xlfn.IFS(E286='Euro Age Table'!C$5,'Euro Age Table'!G$5,E286='Euro Age Table'!C$6,'Euro Age Table'!G$6,E286='Euro Age Table'!C$7,'Euro Age Table'!G$7,E286='Euro Age Table'!C$8,'Euro Age Table'!G$8,E286='Euro Age Table'!C$9,'Euro Age Table'!G$9,E286='Euro Age Table'!C$10,'Euro Age Table'!G$10,E286='Euro Age Table'!C$11,'Euro Age Table'!G$11)</f>
        <v>27</v>
      </c>
      <c r="Y286" s="46">
        <f>X286*'Eilat Car Data'!F$8</f>
        <v>1522800</v>
      </c>
      <c r="Z286" s="46">
        <f>'T3 N2O HDV'!C31</f>
        <v>30</v>
      </c>
      <c r="AA286" s="124">
        <f t="shared" si="18"/>
        <v>3768.2063159770164</v>
      </c>
    </row>
    <row r="287" spans="1:27" ht="12.5">
      <c r="A287" s="49" t="s">
        <v>8</v>
      </c>
      <c r="B287" s="49" t="s">
        <v>22</v>
      </c>
      <c r="C287" s="49" t="s">
        <v>67</v>
      </c>
      <c r="D287" s="49" t="s">
        <v>91</v>
      </c>
      <c r="E287" s="50" t="s">
        <v>55</v>
      </c>
      <c r="F287" s="97">
        <v>0</v>
      </c>
      <c r="G287" s="99">
        <f t="shared" si="19"/>
        <v>0</v>
      </c>
      <c r="H287" s="46"/>
      <c r="I287" s="46">
        <f>G287*'Eilat Car Data'!F$8</f>
        <v>0</v>
      </c>
      <c r="J287" s="46">
        <f>I287*'Tier 1 Coefficients'!I$10</f>
        <v>0</v>
      </c>
      <c r="K287" s="46">
        <f t="shared" si="16"/>
        <v>0</v>
      </c>
      <c r="L287" s="46">
        <f>K287*'Tier 1 Coefficients'!D$4</f>
        <v>0</v>
      </c>
      <c r="M287" s="46">
        <f>K287*'Tier 1 Coefficients'!C$21</f>
        <v>0</v>
      </c>
      <c r="N287" s="46">
        <f>K287*'Tier 1 Coefficients'!C$45</f>
        <v>0</v>
      </c>
      <c r="O287" s="46">
        <f>I287*'Tier 2 FC'!D$44</f>
        <v>0</v>
      </c>
      <c r="P287" s="46">
        <f t="shared" si="17"/>
        <v>0</v>
      </c>
      <c r="Q287" s="46">
        <f>P287*'Tier 1 Coefficients'!D$4</f>
        <v>0</v>
      </c>
      <c r="R287" s="46">
        <f>$I287*'T2 Bus'!C7</f>
        <v>0</v>
      </c>
      <c r="S287" s="46">
        <f>$I287*'T2 Bus'!D7</f>
        <v>0</v>
      </c>
      <c r="T287" s="46">
        <f>44.011*(P287/(12.011+1.008*'Tier 3 CO2 Tables'!B$4+16*'Tier 3 CO2 Tables'!C$4))</f>
        <v>0</v>
      </c>
      <c r="U287" s="46">
        <f>I287*'Tier 3 CO2 Tables'!H$11/10000</f>
        <v>0</v>
      </c>
      <c r="V287" s="46">
        <f>44.011*(U287/(12.011+1.008*'Tier 3 CO2 Tables'!B$6+16*'Tier 3 CO2 Tables'!C$6))</f>
        <v>0</v>
      </c>
      <c r="W287" s="46">
        <f>I287*'T3 Methane'!D$30</f>
        <v>0</v>
      </c>
      <c r="X287" s="46" cm="1">
        <f t="array" ref="X287">_xlfn.IFS(E287='Euro Age Table'!C$5,'Euro Age Table'!G$5,E287='Euro Age Table'!C$6,'Euro Age Table'!G$6,E287='Euro Age Table'!C$7,'Euro Age Table'!G$7,E287='Euro Age Table'!C$8,'Euro Age Table'!G$8,E287='Euro Age Table'!C$9,'Euro Age Table'!G$9,E287='Euro Age Table'!C$10,'Euro Age Table'!G$10,E287='Euro Age Table'!C$11,'Euro Age Table'!G$11)</f>
        <v>23</v>
      </c>
      <c r="Y287" s="46">
        <f>X287*'Eilat Car Data'!F$8</f>
        <v>1297200</v>
      </c>
      <c r="Z287" s="46">
        <f>'T3 N2O HDV'!C32</f>
        <v>12</v>
      </c>
      <c r="AA287" s="124">
        <f t="shared" si="18"/>
        <v>0</v>
      </c>
    </row>
    <row r="288" spans="1:27" ht="12.5">
      <c r="A288" s="49" t="s">
        <v>8</v>
      </c>
      <c r="B288" s="49" t="s">
        <v>22</v>
      </c>
      <c r="C288" s="49" t="s">
        <v>67</v>
      </c>
      <c r="D288" s="49" t="s">
        <v>91</v>
      </c>
      <c r="E288" s="50" t="s">
        <v>56</v>
      </c>
      <c r="F288" s="97">
        <v>4.4541445815331164E-5</v>
      </c>
      <c r="G288" s="99">
        <f t="shared" si="19"/>
        <v>2.227072290766558E-3</v>
      </c>
      <c r="H288" s="46"/>
      <c r="I288" s="46">
        <f>G288*'Eilat Car Data'!F$8</f>
        <v>125.60687719923388</v>
      </c>
      <c r="J288" s="46">
        <f>I288*'Tier 1 Coefficients'!I$10</f>
        <v>30145.650527816131</v>
      </c>
      <c r="K288" s="46">
        <f t="shared" si="16"/>
        <v>30.14565052781613</v>
      </c>
      <c r="L288" s="46">
        <f>K288*'Tier 1 Coefficients'!D$4</f>
        <v>95.531566522649314</v>
      </c>
      <c r="M288" s="46">
        <f>K288*'Tier 1 Coefficients'!C$21</f>
        <v>76.569952340652975</v>
      </c>
      <c r="N288" s="46">
        <f>K288*'Tier 1 Coefficients'!C$45</f>
        <v>1.5374281769186224</v>
      </c>
      <c r="O288" s="46">
        <f>I288*'Tier 2 FC'!D$44</f>
        <v>37807.670036969401</v>
      </c>
      <c r="P288" s="46">
        <f t="shared" si="17"/>
        <v>37.807670036969398</v>
      </c>
      <c r="Q288" s="46">
        <f>P288*'Tier 1 Coefficients'!D$4</f>
        <v>119.81250634715603</v>
      </c>
      <c r="R288" s="46">
        <f>$I288*'T2 Bus'!C8</f>
        <v>15.072825263908065</v>
      </c>
      <c r="S288" s="46">
        <f>$I288*'T2 Bus'!D8</f>
        <v>185.89817825486614</v>
      </c>
      <c r="T288" s="46">
        <f>44.011*(P288/(12.011+1.008*'Tier 3 CO2 Tables'!B$4+16*'Tier 3 CO2 Tables'!C$4))</f>
        <v>119.83060245350387</v>
      </c>
      <c r="U288" s="46">
        <f>I288*'Tier 3 CO2 Tables'!H$11/10000</f>
        <v>0.10676584561934881</v>
      </c>
      <c r="V288" s="46">
        <f>44.011*(U288/(12.011+1.008*'Tier 3 CO2 Tables'!B$6+16*'Tier 3 CO2 Tables'!C$6))</f>
        <v>0.33307283369529989</v>
      </c>
      <c r="W288" s="46">
        <f>I288*'T3 Methane'!D$30</f>
        <v>21981.203509865929</v>
      </c>
      <c r="X288" s="46" cm="1">
        <f t="array" ref="X288">_xlfn.IFS(E288='Euro Age Table'!C$5,'Euro Age Table'!G$5,E288='Euro Age Table'!C$6,'Euro Age Table'!G$6,E288='Euro Age Table'!C$7,'Euro Age Table'!G$7,E288='Euro Age Table'!C$8,'Euro Age Table'!G$8,E288='Euro Age Table'!C$9,'Euro Age Table'!G$9,E288='Euro Age Table'!C$10,'Euro Age Table'!G$10,E288='Euro Age Table'!C$11,'Euro Age Table'!G$11)</f>
        <v>18</v>
      </c>
      <c r="Y288" s="46">
        <f>X288*'Eilat Car Data'!F$8</f>
        <v>1015200</v>
      </c>
      <c r="Z288" s="46">
        <f>'T3 N2O HDV'!C33</f>
        <v>12</v>
      </c>
      <c r="AA288" s="124">
        <f t="shared" si="18"/>
        <v>1507.2825263908067</v>
      </c>
    </row>
    <row r="289" spans="1:27" ht="12.5">
      <c r="A289" s="49" t="s">
        <v>8</v>
      </c>
      <c r="B289" s="49" t="s">
        <v>22</v>
      </c>
      <c r="C289" s="49" t="s">
        <v>67</v>
      </c>
      <c r="D289" s="49" t="s">
        <v>91</v>
      </c>
      <c r="E289" s="50" t="s">
        <v>57</v>
      </c>
      <c r="F289" s="97">
        <v>8.9082891630662327E-5</v>
      </c>
      <c r="G289" s="99">
        <f t="shared" si="19"/>
        <v>4.4541445815331161E-3</v>
      </c>
      <c r="H289" s="46"/>
      <c r="I289" s="46">
        <f>G289*'Eilat Car Data'!F$8</f>
        <v>251.21375439846776</v>
      </c>
      <c r="J289" s="46">
        <f>I289*'Tier 1 Coefficients'!I$10</f>
        <v>60291.301055632262</v>
      </c>
      <c r="K289" s="46">
        <f t="shared" si="16"/>
        <v>60.29130105563226</v>
      </c>
      <c r="L289" s="46">
        <f>K289*'Tier 1 Coefficients'!D$4</f>
        <v>191.06313304529863</v>
      </c>
      <c r="M289" s="46">
        <f>K289*'Tier 1 Coefficients'!C$21</f>
        <v>153.13990468130595</v>
      </c>
      <c r="N289" s="46">
        <f>K289*'Tier 1 Coefficients'!C$45</f>
        <v>3.0748563538372449</v>
      </c>
      <c r="O289" s="46">
        <f>I289*'Tier 2 FC'!D$44</f>
        <v>75615.340073938802</v>
      </c>
      <c r="P289" s="46">
        <f t="shared" si="17"/>
        <v>75.615340073938796</v>
      </c>
      <c r="Q289" s="46">
        <f>P289*'Tier 1 Coefficients'!D$4</f>
        <v>239.62501269431206</v>
      </c>
      <c r="R289" s="46">
        <f>$I289*'T2 Bus'!C9</f>
        <v>0.25121375439846777</v>
      </c>
      <c r="S289" s="46">
        <f>$I289*'T2 Bus'!D9</f>
        <v>216.29504253708075</v>
      </c>
      <c r="T289" s="46">
        <f>44.011*(P289/(12.011+1.008*'Tier 3 CO2 Tables'!B$4+16*'Tier 3 CO2 Tables'!C$4))</f>
        <v>239.66120490700774</v>
      </c>
      <c r="U289" s="46">
        <f>I289*'Tier 3 CO2 Tables'!H$11/10000</f>
        <v>0.21353169123869761</v>
      </c>
      <c r="V289" s="46">
        <f>44.011*(U289/(12.011+1.008*'Tier 3 CO2 Tables'!B$6+16*'Tier 3 CO2 Tables'!C$6))</f>
        <v>0.66614566739059977</v>
      </c>
      <c r="W289" s="46">
        <f>I289*'T3 Methane'!D$30</f>
        <v>43962.407019731858</v>
      </c>
      <c r="X289" s="46" cm="1">
        <f t="array" ref="X289">_xlfn.IFS(E289='Euro Age Table'!C$5,'Euro Age Table'!G$5,E289='Euro Age Table'!C$6,'Euro Age Table'!G$6,E289='Euro Age Table'!C$7,'Euro Age Table'!G$7,E289='Euro Age Table'!C$8,'Euro Age Table'!G$8,E289='Euro Age Table'!C$9,'Euro Age Table'!G$9,E289='Euro Age Table'!C$10,'Euro Age Table'!G$10,E289='Euro Age Table'!C$11,'Euro Age Table'!G$11)</f>
        <v>16</v>
      </c>
      <c r="Y289" s="46">
        <f>X289*'Eilat Car Data'!F$8</f>
        <v>902400</v>
      </c>
      <c r="Z289" s="46">
        <f>'T3 N2O HDV'!C34</f>
        <v>6</v>
      </c>
      <c r="AA289" s="124">
        <f t="shared" si="18"/>
        <v>1507.2825263908067</v>
      </c>
    </row>
    <row r="290" spans="1:27" ht="12.5">
      <c r="A290" s="49" t="s">
        <v>8</v>
      </c>
      <c r="B290" s="49" t="s">
        <v>22</v>
      </c>
      <c r="C290" s="49" t="s">
        <v>67</v>
      </c>
      <c r="D290" s="49" t="s">
        <v>91</v>
      </c>
      <c r="E290" s="50" t="s">
        <v>58</v>
      </c>
      <c r="F290" s="97">
        <v>1.2917019286446038E-3</v>
      </c>
      <c r="G290" s="99">
        <f t="shared" si="19"/>
        <v>6.4585096432230191E-2</v>
      </c>
      <c r="H290" s="46"/>
      <c r="I290" s="46">
        <f>G290*'Eilat Car Data'!F$8</f>
        <v>3642.5994387777828</v>
      </c>
      <c r="J290" s="46">
        <f>I290*'Tier 1 Coefficients'!I$10</f>
        <v>874223.86530666787</v>
      </c>
      <c r="K290" s="46">
        <f t="shared" si="16"/>
        <v>874.2238653066679</v>
      </c>
      <c r="L290" s="46">
        <f>K290*'Tier 1 Coefficients'!D$4</f>
        <v>2770.4154291568307</v>
      </c>
      <c r="M290" s="46">
        <f>K290*'Tier 1 Coefficients'!C$21</f>
        <v>2220.5286178789365</v>
      </c>
      <c r="N290" s="46">
        <f>K290*'Tier 1 Coefficients'!C$45</f>
        <v>44.58541713064006</v>
      </c>
      <c r="O290" s="46">
        <f>I290*'Tier 2 FC'!D$44</f>
        <v>1096422.4310721126</v>
      </c>
      <c r="P290" s="46">
        <f t="shared" si="17"/>
        <v>1096.4224310721127</v>
      </c>
      <c r="Q290" s="46">
        <f>P290*'Tier 1 Coefficients'!D$4</f>
        <v>3474.562684067525</v>
      </c>
      <c r="R290" s="46">
        <f>$I290*'T2 Bus'!C10</f>
        <v>43.711193265333392</v>
      </c>
      <c r="S290" s="46">
        <f>$I290*'T2 Bus'!D10</f>
        <v>965.2888512761125</v>
      </c>
      <c r="T290" s="46">
        <f>44.011*(P290/(12.011+1.008*'Tier 3 CO2 Tables'!B$4+16*'Tier 3 CO2 Tables'!C$4))</f>
        <v>3475.0874711516126</v>
      </c>
      <c r="U290" s="46">
        <f>I290*'Tier 3 CO2 Tables'!H$11/10000</f>
        <v>3.0962095229611153</v>
      </c>
      <c r="V290" s="46">
        <f>44.011*(U290/(12.011+1.008*'Tier 3 CO2 Tables'!B$6+16*'Tier 3 CO2 Tables'!C$6))</f>
        <v>9.6591121771636974</v>
      </c>
      <c r="W290" s="46">
        <f>I290*'T3 Methane'!D$30</f>
        <v>637454.90178611199</v>
      </c>
      <c r="X290" s="46" cm="1">
        <f t="array" ref="X290">_xlfn.IFS(E290='Euro Age Table'!C$5,'Euro Age Table'!G$5,E290='Euro Age Table'!C$6,'Euro Age Table'!G$6,E290='Euro Age Table'!C$7,'Euro Age Table'!G$7,E290='Euro Age Table'!C$8,'Euro Age Table'!G$8,E290='Euro Age Table'!C$9,'Euro Age Table'!G$9,E290='Euro Age Table'!C$10,'Euro Age Table'!G$10,E290='Euro Age Table'!C$11,'Euro Age Table'!G$11)</f>
        <v>13</v>
      </c>
      <c r="Y290" s="46">
        <f>X290*'Eilat Car Data'!F$8</f>
        <v>733200</v>
      </c>
      <c r="Z290" s="46">
        <f>'T3 N2O HDV'!C35</f>
        <v>12.8</v>
      </c>
      <c r="AA290" s="124">
        <f t="shared" si="18"/>
        <v>46625.272816355624</v>
      </c>
    </row>
    <row r="291" spans="1:27" ht="12.5">
      <c r="A291" s="49" t="s">
        <v>8</v>
      </c>
      <c r="B291" s="49" t="s">
        <v>22</v>
      </c>
      <c r="C291" s="49" t="s">
        <v>67</v>
      </c>
      <c r="D291" s="49" t="s">
        <v>91</v>
      </c>
      <c r="E291" s="50" t="s">
        <v>59</v>
      </c>
      <c r="F291" s="97">
        <v>3.1624426528885129E-3</v>
      </c>
      <c r="G291" s="99">
        <f t="shared" si="19"/>
        <v>0.15812213264442565</v>
      </c>
      <c r="H291" s="46"/>
      <c r="I291" s="46">
        <f>G291*'Eilat Car Data'!F$8</f>
        <v>8918.0882811456067</v>
      </c>
      <c r="J291" s="46">
        <f>I291*'Tier 1 Coefficients'!I$10</f>
        <v>2140341.1874749456</v>
      </c>
      <c r="K291" s="46">
        <f t="shared" si="16"/>
        <v>2140.3411874749454</v>
      </c>
      <c r="L291" s="46">
        <f>K291*'Tier 1 Coefficients'!D$4</f>
        <v>6782.7412231081016</v>
      </c>
      <c r="M291" s="46">
        <f>K291*'Tier 1 Coefficients'!C$21</f>
        <v>5436.4666161863615</v>
      </c>
      <c r="N291" s="46">
        <f>K291*'Tier 1 Coefficients'!C$45</f>
        <v>109.1574005612222</v>
      </c>
      <c r="O291" s="46">
        <f>I291*'Tier 2 FC'!D$44</f>
        <v>2684344.5726248277</v>
      </c>
      <c r="P291" s="46">
        <f t="shared" si="17"/>
        <v>2684.3445726248278</v>
      </c>
      <c r="Q291" s="46">
        <f>P291*'Tier 1 Coefficients'!D$4</f>
        <v>8506.68795064808</v>
      </c>
      <c r="R291" s="46">
        <f>$I291*'T2 Bus'!C11</f>
        <v>285.37882499665943</v>
      </c>
      <c r="S291" s="46">
        <f>$I291*'T2 Bus'!D11</f>
        <v>2363.2933945035861</v>
      </c>
      <c r="T291" s="46">
        <f>44.011*(P291/(12.011+1.008*'Tier 3 CO2 Tables'!B$4+16*'Tier 3 CO2 Tables'!C$4))</f>
        <v>8507.9727741987754</v>
      </c>
      <c r="U291" s="46">
        <f>I291*'Tier 3 CO2 Tables'!H$11/10000</f>
        <v>7.5803750389737656</v>
      </c>
      <c r="V291" s="46">
        <f>44.011*(U291/(12.011+1.008*'Tier 3 CO2 Tables'!B$6+16*'Tier 3 CO2 Tables'!C$6))</f>
        <v>23.648171192366295</v>
      </c>
      <c r="W291" s="46">
        <f>I291*'T3 Methane'!D$30</f>
        <v>1560665.4492004812</v>
      </c>
      <c r="X291" s="46" cm="1">
        <f t="array" ref="X291">_xlfn.IFS(E291='Euro Age Table'!C$5,'Euro Age Table'!G$5,E291='Euro Age Table'!C$6,'Euro Age Table'!G$6,E291='Euro Age Table'!C$7,'Euro Age Table'!G$7,E291='Euro Age Table'!C$8,'Euro Age Table'!G$8,E291='Euro Age Table'!C$9,'Euro Age Table'!G$9,E291='Euro Age Table'!C$10,'Euro Age Table'!G$10,E291='Euro Age Table'!C$11,'Euro Age Table'!G$11)</f>
        <v>9</v>
      </c>
      <c r="Y291" s="46">
        <f>X291*'Eilat Car Data'!F$8</f>
        <v>507600</v>
      </c>
      <c r="Z291" s="46">
        <f>'T3 N2O HDV'!C36</f>
        <v>33.200000000000003</v>
      </c>
      <c r="AA291" s="124">
        <f t="shared" si="18"/>
        <v>296080.53093403415</v>
      </c>
    </row>
    <row r="292" spans="1:27" ht="12.5">
      <c r="A292" s="49" t="s">
        <v>8</v>
      </c>
      <c r="B292" s="49" t="s">
        <v>22</v>
      </c>
      <c r="C292" s="49" t="s">
        <v>67</v>
      </c>
      <c r="D292" s="49" t="s">
        <v>91</v>
      </c>
      <c r="E292" s="50" t="s">
        <v>60</v>
      </c>
      <c r="F292" s="97">
        <v>3.6523985568571557E-3</v>
      </c>
      <c r="G292" s="99">
        <f t="shared" si="19"/>
        <v>0.1826199278428578</v>
      </c>
      <c r="H292" s="46"/>
      <c r="I292" s="46">
        <f>G292*'Eilat Car Data'!F$8</f>
        <v>10299.76393033718</v>
      </c>
      <c r="J292" s="46">
        <f>I292*'Tier 1 Coefficients'!I$10</f>
        <v>2471943.3432809231</v>
      </c>
      <c r="K292" s="46">
        <f t="shared" si="16"/>
        <v>2471.9433432809233</v>
      </c>
      <c r="L292" s="46">
        <f>K292*'Tier 1 Coefficients'!D$4</f>
        <v>7833.5884548572458</v>
      </c>
      <c r="M292" s="46">
        <f>K292*'Tier 1 Coefficients'!C$21</f>
        <v>6278.7360919335451</v>
      </c>
      <c r="N292" s="46">
        <f>K292*'Tier 1 Coefficients'!C$45</f>
        <v>126.06911050732708</v>
      </c>
      <c r="O292" s="46">
        <f>I292*'Tier 2 FC'!D$44</f>
        <v>3100228.9430314912</v>
      </c>
      <c r="P292" s="46">
        <f t="shared" si="17"/>
        <v>3100.2289430314913</v>
      </c>
      <c r="Q292" s="46">
        <f>P292*'Tier 1 Coefficients'!D$4</f>
        <v>9824.6255204667959</v>
      </c>
      <c r="R292" s="46">
        <f>$I292*'T2 Bus'!C12</f>
        <v>411.99055721348719</v>
      </c>
      <c r="S292" s="46">
        <f>$I292*'T2 Bus'!D12</f>
        <v>2729.4374415393527</v>
      </c>
      <c r="T292" s="46">
        <f>44.011*(P292/(12.011+1.008*'Tier 3 CO2 Tables'!B$4+16*'Tier 3 CO2 Tables'!C$4))</f>
        <v>9826.1094011873192</v>
      </c>
      <c r="U292" s="46">
        <f>I292*'Tier 3 CO2 Tables'!H$12/10000</f>
        <v>0.87547993407866032</v>
      </c>
      <c r="V292" s="46">
        <f>44.011*(U292/(12.011+1.008*'Tier 3 CO2 Tables'!B$6+16*'Tier 3 CO2 Tables'!C$6))</f>
        <v>2.7311972363014596</v>
      </c>
      <c r="W292" s="46">
        <f>I292*'T3 Methane'!D$30</f>
        <v>1802458.6878090065</v>
      </c>
      <c r="X292" s="46" cm="1">
        <f t="array" ref="X292">_xlfn.IFS(E292='Euro Age Table'!C$5,'Euro Age Table'!G$5,E292='Euro Age Table'!C$6,'Euro Age Table'!G$6,E292='Euro Age Table'!C$7,'Euro Age Table'!G$7,E292='Euro Age Table'!C$8,'Euro Age Table'!G$8,E292='Euro Age Table'!C$9,'Euro Age Table'!G$9,E292='Euro Age Table'!C$10,'Euro Age Table'!G$10,E292='Euro Age Table'!C$11,'Euro Age Table'!G$11)</f>
        <v>3</v>
      </c>
      <c r="Y292" s="46">
        <f>X292*'Eilat Car Data'!F$8</f>
        <v>169200</v>
      </c>
      <c r="Z292" s="46">
        <f>'T3 N2O HDV'!C37</f>
        <v>41.5</v>
      </c>
      <c r="AA292" s="124">
        <f t="shared" si="18"/>
        <v>427440.20310899295</v>
      </c>
    </row>
    <row r="293" spans="1:27" ht="12.5">
      <c r="A293" s="49" t="s">
        <v>8</v>
      </c>
      <c r="B293" s="49" t="s">
        <v>22</v>
      </c>
      <c r="C293" s="49" t="s">
        <v>67</v>
      </c>
      <c r="D293" s="52" t="s">
        <v>92</v>
      </c>
      <c r="E293" s="50" t="s">
        <v>55</v>
      </c>
      <c r="F293" s="97">
        <v>0</v>
      </c>
      <c r="G293" s="99">
        <f t="shared" si="19"/>
        <v>0</v>
      </c>
      <c r="H293" s="46"/>
      <c r="I293" s="46">
        <f>G293*'Eilat Car Data'!F$8</f>
        <v>0</v>
      </c>
      <c r="J293" s="46">
        <f>I293*'Tier 1 Coefficients'!I$10</f>
        <v>0</v>
      </c>
      <c r="K293" s="46">
        <f t="shared" si="16"/>
        <v>0</v>
      </c>
      <c r="L293" s="46">
        <f>K293*'Tier 1 Coefficients'!D$4</f>
        <v>0</v>
      </c>
      <c r="M293" s="46">
        <f>K293*'Tier 1 Coefficients'!C$21</f>
        <v>0</v>
      </c>
      <c r="N293" s="46">
        <f>K293*'Tier 1 Coefficients'!C$45</f>
        <v>0</v>
      </c>
      <c r="O293" s="46">
        <f>I293*'Tier 2 FC'!D$44</f>
        <v>0</v>
      </c>
      <c r="P293" s="46">
        <f t="shared" si="17"/>
        <v>0</v>
      </c>
      <c r="Q293" s="46">
        <f>P293*'Tier 1 Coefficients'!D$4</f>
        <v>0</v>
      </c>
      <c r="R293" s="46">
        <f>$I293*'T2 Bus'!C7</f>
        <v>0</v>
      </c>
      <c r="S293" s="46">
        <f>$I293*'T2 Bus'!D7</f>
        <v>0</v>
      </c>
      <c r="T293" s="46">
        <f>44.011*(P293/(12.011+1.008*'Tier 3 CO2 Tables'!B$4+16*'Tier 3 CO2 Tables'!C$4))</f>
        <v>0</v>
      </c>
      <c r="U293" s="46">
        <f>I293*'Tier 3 CO2 Tables'!H$11/10000</f>
        <v>0</v>
      </c>
      <c r="V293" s="46">
        <f>44.011*(U293/(12.011+1.008*'Tier 3 CO2 Tables'!B$6+16*'Tier 3 CO2 Tables'!C$6))</f>
        <v>0</v>
      </c>
      <c r="W293" s="46">
        <f>I293*'T3 Methane'!D$30</f>
        <v>0</v>
      </c>
      <c r="X293" s="46" cm="1">
        <f t="array" ref="X293">_xlfn.IFS(E293='Euro Age Table'!C$5,'Euro Age Table'!G$5,E293='Euro Age Table'!C$6,'Euro Age Table'!G$6,E293='Euro Age Table'!C$7,'Euro Age Table'!G$7,E293='Euro Age Table'!C$8,'Euro Age Table'!G$8,E293='Euro Age Table'!C$9,'Euro Age Table'!G$9,E293='Euro Age Table'!C$10,'Euro Age Table'!G$10,E293='Euro Age Table'!C$11,'Euro Age Table'!G$11)</f>
        <v>23</v>
      </c>
      <c r="Y293" s="46">
        <f>X293*'Eilat Car Data'!F$8</f>
        <v>1297200</v>
      </c>
      <c r="Z293" s="46">
        <f>'T3 N2O HDV'!C32</f>
        <v>12</v>
      </c>
      <c r="AA293" s="124">
        <f t="shared" si="18"/>
        <v>0</v>
      </c>
    </row>
    <row r="294" spans="1:27" ht="12.5">
      <c r="A294" s="49" t="s">
        <v>8</v>
      </c>
      <c r="B294" s="49" t="s">
        <v>22</v>
      </c>
      <c r="C294" s="49" t="s">
        <v>67</v>
      </c>
      <c r="D294" s="49" t="s">
        <v>92</v>
      </c>
      <c r="E294" s="50" t="s">
        <v>56</v>
      </c>
      <c r="F294" s="97">
        <v>9.7991180793728563E-4</v>
      </c>
      <c r="G294" s="99">
        <f t="shared" si="19"/>
        <v>4.8995590396864283E-2</v>
      </c>
      <c r="H294" s="46"/>
      <c r="I294" s="46">
        <f>G294*'Eilat Car Data'!F$8</f>
        <v>2763.3512983831456</v>
      </c>
      <c r="J294" s="46">
        <f>I294*'Tier 1 Coefficients'!I$10</f>
        <v>663204.31161195494</v>
      </c>
      <c r="K294" s="46">
        <f t="shared" si="16"/>
        <v>663.20431161195495</v>
      </c>
      <c r="L294" s="46">
        <f>K294*'Tier 1 Coefficients'!D$4</f>
        <v>2101.6944634982851</v>
      </c>
      <c r="M294" s="46">
        <f>K294*'Tier 1 Coefficients'!C$21</f>
        <v>1684.5389514943656</v>
      </c>
      <c r="N294" s="46">
        <f>K294*'Tier 1 Coefficients'!C$45</f>
        <v>33.823419892209699</v>
      </c>
      <c r="O294" s="46">
        <f>I294*'Tier 2 FC'!D$44</f>
        <v>831768.74081332679</v>
      </c>
      <c r="P294" s="46">
        <f t="shared" si="17"/>
        <v>831.76874081332676</v>
      </c>
      <c r="Q294" s="46">
        <f>P294*'Tier 1 Coefficients'!D$4</f>
        <v>2635.8751396374323</v>
      </c>
      <c r="R294" s="46">
        <f>$I294*'T2 Bus'!C8</f>
        <v>331.60215580597747</v>
      </c>
      <c r="S294" s="46">
        <f>$I294*'T2 Bus'!D8</f>
        <v>4089.7599216070553</v>
      </c>
      <c r="T294" s="46">
        <f>44.011*(P294/(12.011+1.008*'Tier 3 CO2 Tables'!B$4+16*'Tier 3 CO2 Tables'!C$4))</f>
        <v>2636.273253977085</v>
      </c>
      <c r="U294" s="46">
        <f>I294*'Tier 3 CO2 Tables'!H$11/10000</f>
        <v>2.3488486036256737</v>
      </c>
      <c r="V294" s="46">
        <f>44.011*(U294/(12.011+1.008*'Tier 3 CO2 Tables'!B$6+16*'Tier 3 CO2 Tables'!C$6))</f>
        <v>7.3276023412965978</v>
      </c>
      <c r="W294" s="46">
        <f>I294*'T3 Methane'!D$30</f>
        <v>483586.4772170505</v>
      </c>
      <c r="X294" s="46" cm="1">
        <f t="array" ref="X294">_xlfn.IFS(E294='Euro Age Table'!C$5,'Euro Age Table'!G$5,E294='Euro Age Table'!C$6,'Euro Age Table'!G$6,E294='Euro Age Table'!C$7,'Euro Age Table'!G$7,E294='Euro Age Table'!C$8,'Euro Age Table'!G$8,E294='Euro Age Table'!C$9,'Euro Age Table'!G$9,E294='Euro Age Table'!C$10,'Euro Age Table'!G$10,E294='Euro Age Table'!C$11,'Euro Age Table'!G$11)</f>
        <v>18</v>
      </c>
      <c r="Y294" s="46">
        <f>X294*'Eilat Car Data'!F$8</f>
        <v>1015200</v>
      </c>
      <c r="Z294" s="46">
        <f>'T3 N2O HDV'!C33</f>
        <v>12</v>
      </c>
      <c r="AA294" s="124">
        <f t="shared" si="18"/>
        <v>33160.215580597745</v>
      </c>
    </row>
    <row r="295" spans="1:27" ht="12.5">
      <c r="A295" s="49" t="s">
        <v>8</v>
      </c>
      <c r="B295" s="49" t="s">
        <v>22</v>
      </c>
      <c r="C295" s="49" t="s">
        <v>67</v>
      </c>
      <c r="D295" s="49" t="s">
        <v>92</v>
      </c>
      <c r="E295" s="50" t="s">
        <v>57</v>
      </c>
      <c r="F295" s="97">
        <v>1.1224444345463453E-2</v>
      </c>
      <c r="G295" s="99">
        <f t="shared" si="19"/>
        <v>0.56122221727317267</v>
      </c>
      <c r="H295" s="46"/>
      <c r="I295" s="46">
        <f>G295*'Eilat Car Data'!F$8</f>
        <v>31652.93305420694</v>
      </c>
      <c r="J295" s="46">
        <f>I295*'Tier 1 Coefficients'!I$10</f>
        <v>7596703.9330096655</v>
      </c>
      <c r="K295" s="46">
        <f t="shared" si="16"/>
        <v>7596.7039330096659</v>
      </c>
      <c r="L295" s="46">
        <f>K295*'Tier 1 Coefficients'!D$4</f>
        <v>24073.954763707632</v>
      </c>
      <c r="M295" s="46">
        <f>K295*'Tier 1 Coefficients'!C$21</f>
        <v>19295.62798984455</v>
      </c>
      <c r="N295" s="46">
        <f>K295*'Tier 1 Coefficients'!C$45</f>
        <v>387.43190058349296</v>
      </c>
      <c r="O295" s="46">
        <f>I295*'Tier 2 FC'!D$44</f>
        <v>9527532.8493162896</v>
      </c>
      <c r="P295" s="46">
        <f t="shared" si="17"/>
        <v>9527.5328493162888</v>
      </c>
      <c r="Q295" s="46">
        <f>P295*'Tier 1 Coefficients'!D$4</f>
        <v>30192.751599483319</v>
      </c>
      <c r="R295" s="46">
        <f>$I295*'T2 Bus'!C9</f>
        <v>31.65293305420694</v>
      </c>
      <c r="S295" s="46">
        <f>$I295*'T2 Bus'!D9</f>
        <v>27253.175359672176</v>
      </c>
      <c r="T295" s="46">
        <f>44.011*(P295/(12.011+1.008*'Tier 3 CO2 Tables'!B$4+16*'Tier 3 CO2 Tables'!C$4))</f>
        <v>30197.311818282975</v>
      </c>
      <c r="U295" s="46">
        <f>I295*'Tier 3 CO2 Tables'!H$11/10000</f>
        <v>26.904993096075899</v>
      </c>
      <c r="V295" s="46">
        <f>44.011*(U295/(12.011+1.008*'Tier 3 CO2 Tables'!B$6+16*'Tier 3 CO2 Tables'!C$6))</f>
        <v>83.934354091215567</v>
      </c>
      <c r="W295" s="46">
        <f>I295*'T3 Methane'!D$30</f>
        <v>5539263.2844862146</v>
      </c>
      <c r="X295" s="46" cm="1">
        <f t="array" ref="X295">_xlfn.IFS(E295='Euro Age Table'!C$5,'Euro Age Table'!G$5,E295='Euro Age Table'!C$6,'Euro Age Table'!G$6,E295='Euro Age Table'!C$7,'Euro Age Table'!G$7,E295='Euro Age Table'!C$8,'Euro Age Table'!G$8,E295='Euro Age Table'!C$9,'Euro Age Table'!G$9,E295='Euro Age Table'!C$10,'Euro Age Table'!G$10,E295='Euro Age Table'!C$11,'Euro Age Table'!G$11)</f>
        <v>16</v>
      </c>
      <c r="Y295" s="46">
        <f>X295*'Eilat Car Data'!F$8</f>
        <v>902400</v>
      </c>
      <c r="Z295" s="46">
        <f>'T3 N2O HDV'!C34</f>
        <v>6</v>
      </c>
      <c r="AA295" s="124">
        <f t="shared" si="18"/>
        <v>189917.59832524165</v>
      </c>
    </row>
    <row r="296" spans="1:27" ht="12.5">
      <c r="A296" s="49" t="s">
        <v>8</v>
      </c>
      <c r="B296" s="49" t="s">
        <v>22</v>
      </c>
      <c r="C296" s="49" t="s">
        <v>67</v>
      </c>
      <c r="D296" s="49" t="s">
        <v>92</v>
      </c>
      <c r="E296" s="50" t="s">
        <v>58</v>
      </c>
      <c r="F296" s="97">
        <v>6.4273306311522865E-2</v>
      </c>
      <c r="G296" s="99">
        <f t="shared" si="19"/>
        <v>3.2136653155761432</v>
      </c>
      <c r="H296" s="46"/>
      <c r="I296" s="46">
        <f>G296*'Eilat Car Data'!F$8</f>
        <v>181250.72379849447</v>
      </c>
      <c r="J296" s="46">
        <f>I296*'Tier 1 Coefficients'!I$10</f>
        <v>43500173.711638674</v>
      </c>
      <c r="K296" s="46">
        <f t="shared" si="16"/>
        <v>43500.173711638672</v>
      </c>
      <c r="L296" s="46">
        <f>K296*'Tier 1 Coefficients'!D$4</f>
        <v>137852.05049218296</v>
      </c>
      <c r="M296" s="46">
        <f>K296*'Tier 1 Coefficients'!C$21</f>
        <v>110490.44122756223</v>
      </c>
      <c r="N296" s="46">
        <f>K296*'Tier 1 Coefficients'!C$45</f>
        <v>2218.5088592935722</v>
      </c>
      <c r="O296" s="46">
        <f>I296*'Tier 2 FC'!D$44</f>
        <v>54556467.863346837</v>
      </c>
      <c r="P296" s="46">
        <f t="shared" si="17"/>
        <v>54556.467863346836</v>
      </c>
      <c r="Q296" s="46">
        <f>P296*'Tier 1 Coefficients'!D$4</f>
        <v>172889.44665894614</v>
      </c>
      <c r="R296" s="46">
        <f>$I296*'T2 Bus'!C10</f>
        <v>2175.0086855819336</v>
      </c>
      <c r="S296" s="46">
        <f>$I296*'T2 Bus'!D10</f>
        <v>48031.441806601033</v>
      </c>
      <c r="T296" s="46">
        <f>44.011*(P296/(12.011+1.008*'Tier 3 CO2 Tables'!B$4+16*'Tier 3 CO2 Tables'!C$4))</f>
        <v>172915.55934040606</v>
      </c>
      <c r="U296" s="46">
        <f>I296*'Tier 3 CO2 Tables'!H$11/10000</f>
        <v>154.06311522872028</v>
      </c>
      <c r="V296" s="46">
        <f>44.011*(U296/(12.011+1.008*'Tier 3 CO2 Tables'!B$6+16*'Tier 3 CO2 Tables'!C$6))</f>
        <v>480.62409902231758</v>
      </c>
      <c r="W296" s="46">
        <f>I296*'T3 Methane'!D$30</f>
        <v>31718876.664736532</v>
      </c>
      <c r="X296" s="46" cm="1">
        <f t="array" ref="X296">_xlfn.IFS(E296='Euro Age Table'!C$5,'Euro Age Table'!G$5,E296='Euro Age Table'!C$6,'Euro Age Table'!G$6,E296='Euro Age Table'!C$7,'Euro Age Table'!G$7,E296='Euro Age Table'!C$8,'Euro Age Table'!G$8,E296='Euro Age Table'!C$9,'Euro Age Table'!G$9,E296='Euro Age Table'!C$10,'Euro Age Table'!G$10,E296='Euro Age Table'!C$11,'Euro Age Table'!G$11)</f>
        <v>13</v>
      </c>
      <c r="Y296" s="46">
        <f>X296*'Eilat Car Data'!F$8</f>
        <v>733200</v>
      </c>
      <c r="Z296" s="46">
        <f>'T3 N2O HDV'!C35</f>
        <v>12.8</v>
      </c>
      <c r="AA296" s="124">
        <f t="shared" si="18"/>
        <v>2320009.2646207293</v>
      </c>
    </row>
    <row r="297" spans="1:27" ht="12.5">
      <c r="A297" s="49" t="s">
        <v>8</v>
      </c>
      <c r="B297" s="49" t="s">
        <v>22</v>
      </c>
      <c r="C297" s="49" t="s">
        <v>67</v>
      </c>
      <c r="D297" s="49" t="s">
        <v>92</v>
      </c>
      <c r="E297" s="50" t="s">
        <v>59</v>
      </c>
      <c r="F297" s="97">
        <v>0.18800944278651285</v>
      </c>
      <c r="G297" s="99">
        <f t="shared" si="19"/>
        <v>9.4004721393256432</v>
      </c>
      <c r="H297" s="46"/>
      <c r="I297" s="46">
        <f>G297*'Eilat Car Data'!F$8</f>
        <v>530186.62865796627</v>
      </c>
      <c r="J297" s="46">
        <f>I297*'Tier 1 Coefficients'!I$10</f>
        <v>127244790.87791191</v>
      </c>
      <c r="K297" s="46">
        <f t="shared" si="16"/>
        <v>127244.79087791192</v>
      </c>
      <c r="L297" s="46">
        <f>K297*'Tier 1 Coefficients'!D$4</f>
        <v>403238.74229210289</v>
      </c>
      <c r="M297" s="46">
        <f>K297*'Tier 1 Coefficients'!C$21</f>
        <v>323201.76882989629</v>
      </c>
      <c r="N297" s="46">
        <f>K297*'Tier 1 Coefficients'!C$45</f>
        <v>6489.4843347735077</v>
      </c>
      <c r="O297" s="46">
        <f>I297*'Tier 2 FC'!D$44</f>
        <v>159586175.22604784</v>
      </c>
      <c r="P297" s="46">
        <f t="shared" si="17"/>
        <v>159586.17522604784</v>
      </c>
      <c r="Q297" s="46">
        <f>P297*'Tier 1 Coefficients'!D$4</f>
        <v>505728.58929134562</v>
      </c>
      <c r="R297" s="46">
        <f>$I297*'T2 Bus'!C11</f>
        <v>16965.97211705492</v>
      </c>
      <c r="S297" s="46">
        <f>$I297*'T2 Bus'!D11</f>
        <v>140499.45659436108</v>
      </c>
      <c r="T297" s="46">
        <f>44.011*(P297/(12.011+1.008*'Tier 3 CO2 Tables'!B$4+16*'Tier 3 CO2 Tables'!C$4))</f>
        <v>505804.97295623989</v>
      </c>
      <c r="U297" s="46">
        <f>I297*'Tier 3 CO2 Tables'!H$11/10000</f>
        <v>450.65863435927133</v>
      </c>
      <c r="V297" s="46">
        <f>44.011*(U297/(12.011+1.008*'Tier 3 CO2 Tables'!B$6+16*'Tier 3 CO2 Tables'!C$6))</f>
        <v>1405.9004310278608</v>
      </c>
      <c r="W297" s="46">
        <f>I297*'T3 Methane'!D$30</f>
        <v>92782660.015144095</v>
      </c>
      <c r="X297" s="46" cm="1">
        <f t="array" ref="X297">_xlfn.IFS(E297='Euro Age Table'!C$5,'Euro Age Table'!G$5,E297='Euro Age Table'!C$6,'Euro Age Table'!G$6,E297='Euro Age Table'!C$7,'Euro Age Table'!G$7,E297='Euro Age Table'!C$8,'Euro Age Table'!G$8,E297='Euro Age Table'!C$9,'Euro Age Table'!G$9,E297='Euro Age Table'!C$10,'Euro Age Table'!G$10,E297='Euro Age Table'!C$11,'Euro Age Table'!G$11)</f>
        <v>9</v>
      </c>
      <c r="Y297" s="46">
        <f>X297*'Eilat Car Data'!F$8</f>
        <v>507600</v>
      </c>
      <c r="Z297" s="46">
        <f>'T3 N2O HDV'!C36</f>
        <v>33.200000000000003</v>
      </c>
      <c r="AA297" s="124">
        <f t="shared" si="18"/>
        <v>17602196.071444482</v>
      </c>
    </row>
    <row r="298" spans="1:27" ht="12.5">
      <c r="A298" s="49" t="s">
        <v>8</v>
      </c>
      <c r="B298" s="49" t="s">
        <v>22</v>
      </c>
      <c r="C298" s="49" t="s">
        <v>67</v>
      </c>
      <c r="D298" s="51" t="s">
        <v>92</v>
      </c>
      <c r="E298" s="50" t="s">
        <v>60</v>
      </c>
      <c r="F298" s="97">
        <v>0.24965480379493118</v>
      </c>
      <c r="G298" s="99">
        <f t="shared" si="19"/>
        <v>12.48274018974656</v>
      </c>
      <c r="H298" s="46"/>
      <c r="I298" s="46">
        <f>G298*'Eilat Car Data'!F$8</f>
        <v>704026.54670170601</v>
      </c>
      <c r="J298" s="46">
        <f>I298*'Tier 1 Coefficients'!I$10</f>
        <v>168966371.20840943</v>
      </c>
      <c r="K298" s="46">
        <f t="shared" si="16"/>
        <v>168966.37120840943</v>
      </c>
      <c r="L298" s="46">
        <f>K298*'Tier 1 Coefficients'!D$4</f>
        <v>535454.43035944947</v>
      </c>
      <c r="M298" s="46">
        <f>K298*'Tier 1 Coefficients'!C$21</f>
        <v>429174.58286935993</v>
      </c>
      <c r="N298" s="46">
        <f>K298*'Tier 1 Coefficients'!C$45</f>
        <v>8617.2849316288812</v>
      </c>
      <c r="O298" s="46">
        <f>I298*'Tier 2 FC'!D$44</f>
        <v>211911990.55721352</v>
      </c>
      <c r="P298" s="46">
        <f t="shared" si="17"/>
        <v>211911.99055721352</v>
      </c>
      <c r="Q298" s="46">
        <f>P298*'Tier 1 Coefficients'!D$4</f>
        <v>671549.09807580966</v>
      </c>
      <c r="R298" s="46">
        <f>$I298*'T2 Bus'!C12</f>
        <v>28161.061868068242</v>
      </c>
      <c r="S298" s="46">
        <f>$I298*'T2 Bus'!D12</f>
        <v>186567.03487595211</v>
      </c>
      <c r="T298" s="46">
        <f>44.011*(P298/(12.011+1.008*'Tier 3 CO2 Tables'!B$4+16*'Tier 3 CO2 Tables'!C$4))</f>
        <v>671650.52675188927</v>
      </c>
      <c r="U298" s="46">
        <f>I298*'Tier 3 CO2 Tables'!H$12/10000</f>
        <v>59.842256469645015</v>
      </c>
      <c r="V298" s="46">
        <f>44.011*(U298/(12.011+1.008*'Tier 3 CO2 Tables'!B$6+16*'Tier 3 CO2 Tables'!C$6))</f>
        <v>186.68732328621562</v>
      </c>
      <c r="W298" s="46">
        <f>I298*'T3 Methane'!D$30</f>
        <v>123204645.67279856</v>
      </c>
      <c r="X298" s="46" cm="1">
        <f t="array" ref="X298">_xlfn.IFS(E298='Euro Age Table'!C$5,'Euro Age Table'!G$5,E298='Euro Age Table'!C$6,'Euro Age Table'!G$6,E298='Euro Age Table'!C$7,'Euro Age Table'!G$7,E298='Euro Age Table'!C$8,'Euro Age Table'!G$8,E298='Euro Age Table'!C$9,'Euro Age Table'!G$9,E298='Euro Age Table'!C$10,'Euro Age Table'!G$10,E298='Euro Age Table'!C$11,'Euro Age Table'!G$11)</f>
        <v>3</v>
      </c>
      <c r="Y298" s="46">
        <f>X298*'Eilat Car Data'!F$8</f>
        <v>169200</v>
      </c>
      <c r="Z298" s="46">
        <f>'T3 N2O HDV'!C37</f>
        <v>41.5</v>
      </c>
      <c r="AA298" s="124">
        <f t="shared" si="18"/>
        <v>29217101.688120801</v>
      </c>
    </row>
    <row r="299" spans="1:27" ht="12.5">
      <c r="A299" s="52" t="s">
        <v>93</v>
      </c>
      <c r="B299" s="49" t="s">
        <v>22</v>
      </c>
      <c r="C299" s="49" t="s">
        <v>67</v>
      </c>
      <c r="D299" s="49" t="s">
        <v>90</v>
      </c>
      <c r="E299" s="50" t="s">
        <v>56</v>
      </c>
      <c r="F299" s="97">
        <v>0</v>
      </c>
      <c r="G299" s="99">
        <f t="shared" si="19"/>
        <v>0</v>
      </c>
      <c r="H299" s="46"/>
      <c r="I299" s="46">
        <f>G299*'Eilat Car Data'!F$8</f>
        <v>0</v>
      </c>
      <c r="J299" s="46">
        <f>I299*'Tier 1 Coefficients'!I$10</f>
        <v>0</v>
      </c>
      <c r="K299" s="46">
        <f t="shared" si="16"/>
        <v>0</v>
      </c>
      <c r="L299" s="46">
        <f>K299*'Tier 1 Coefficients'!D$4</f>
        <v>0</v>
      </c>
      <c r="M299" s="46">
        <f>K299*'Tier 1 Coefficients'!C$21</f>
        <v>0</v>
      </c>
      <c r="N299" s="46">
        <f>K299*'Tier 1 Coefficients'!C$45</f>
        <v>0</v>
      </c>
      <c r="O299" s="46">
        <f>I299*'Tier 2 FC'!D$44</f>
        <v>0</v>
      </c>
      <c r="P299" s="46">
        <f t="shared" si="17"/>
        <v>0</v>
      </c>
      <c r="Q299" s="46">
        <f>P299*'Tier 1 Coefficients'!D$4</f>
        <v>0</v>
      </c>
      <c r="R299" s="46">
        <f>$I299*'T2 Bus'!C8</f>
        <v>0</v>
      </c>
      <c r="S299" s="46">
        <f>$I299*'T2 Bus'!D8</f>
        <v>0</v>
      </c>
      <c r="T299" s="46">
        <f>44.011*(P299/(12.011+1.008*'Tier 3 CO2 Tables'!B$4+16*'Tier 3 CO2 Tables'!C$4))</f>
        <v>0</v>
      </c>
      <c r="U299" s="46">
        <f>I299*'Tier 3 CO2 Tables'!H$11/10000</f>
        <v>0</v>
      </c>
      <c r="V299" s="46">
        <f>44.011*(U299/(12.011+1.008*'Tier 3 CO2 Tables'!B$6+16*'Tier 3 CO2 Tables'!C$6))</f>
        <v>0</v>
      </c>
      <c r="W299" s="46">
        <f>I299*'T3 Methane'!D$29</f>
        <v>0</v>
      </c>
      <c r="X299" s="46" cm="1">
        <f t="array" ref="X299">_xlfn.IFS(E299='Euro Age Table'!C$5,'Euro Age Table'!G$5,E299='Euro Age Table'!C$6,'Euro Age Table'!G$6,E299='Euro Age Table'!C$7,'Euro Age Table'!G$7,E299='Euro Age Table'!C$8,'Euro Age Table'!G$8,E299='Euro Age Table'!C$9,'Euro Age Table'!G$9,E299='Euro Age Table'!C$10,'Euro Age Table'!G$10,E299='Euro Age Table'!C$11,'Euro Age Table'!G$11)</f>
        <v>18</v>
      </c>
      <c r="Y299" s="46">
        <f>X299*'Eilat Car Data'!F$8</f>
        <v>1015200</v>
      </c>
      <c r="Z299" s="46">
        <f>'T3 N2O HDV'!C26</f>
        <v>18</v>
      </c>
      <c r="AA299" s="124">
        <f t="shared" si="18"/>
        <v>0</v>
      </c>
    </row>
    <row r="300" spans="1:27" ht="12.5">
      <c r="A300" s="49" t="s">
        <v>93</v>
      </c>
      <c r="B300" s="49" t="s">
        <v>22</v>
      </c>
      <c r="C300" s="49" t="s">
        <v>67</v>
      </c>
      <c r="D300" s="49" t="s">
        <v>90</v>
      </c>
      <c r="E300" s="50" t="s">
        <v>57</v>
      </c>
      <c r="F300" s="97">
        <v>4.4541445815331164E-5</v>
      </c>
      <c r="G300" s="99">
        <f t="shared" si="19"/>
        <v>2.227072290766558E-3</v>
      </c>
      <c r="H300" s="46"/>
      <c r="I300" s="46">
        <f>G300*'Eilat Car Data'!F$8</f>
        <v>125.60687719923388</v>
      </c>
      <c r="J300" s="46">
        <f>I300*'Tier 1 Coefficients'!I$10</f>
        <v>30145.650527816131</v>
      </c>
      <c r="K300" s="46">
        <f t="shared" si="16"/>
        <v>30.14565052781613</v>
      </c>
      <c r="L300" s="46">
        <f>K300*'Tier 1 Coefficients'!D$4</f>
        <v>95.531566522649314</v>
      </c>
      <c r="M300" s="46">
        <f>K300*'Tier 1 Coefficients'!C$21</f>
        <v>76.569952340652975</v>
      </c>
      <c r="N300" s="46">
        <f>K300*'Tier 1 Coefficients'!C$45</f>
        <v>1.5374281769186224</v>
      </c>
      <c r="O300" s="46">
        <f>I300*'Tier 2 FC'!D$44</f>
        <v>37807.670036969401</v>
      </c>
      <c r="P300" s="46">
        <f t="shared" si="17"/>
        <v>37.807670036969398</v>
      </c>
      <c r="Q300" s="46">
        <f>P300*'Tier 1 Coefficients'!D$4</f>
        <v>119.81250634715603</v>
      </c>
      <c r="R300" s="46">
        <f>$I300*'T2 Bus'!C9</f>
        <v>0.12560687719923389</v>
      </c>
      <c r="S300" s="46">
        <f>$I300*'T2 Bus'!D9</f>
        <v>108.14752126854037</v>
      </c>
      <c r="T300" s="46">
        <f>44.011*(P300/(12.011+1.008*'Tier 3 CO2 Tables'!B$4+16*'Tier 3 CO2 Tables'!C$4))</f>
        <v>119.83060245350387</v>
      </c>
      <c r="U300" s="46">
        <f>I300*'Tier 3 CO2 Tables'!H$11/10000</f>
        <v>0.10676584561934881</v>
      </c>
      <c r="V300" s="46">
        <f>44.011*(U300/(12.011+1.008*'Tier 3 CO2 Tables'!B$6+16*'Tier 3 CO2 Tables'!C$6))</f>
        <v>0.33307283369529989</v>
      </c>
      <c r="W300" s="46">
        <f>I300*'T3 Methane'!D$29</f>
        <v>10676.58456193488</v>
      </c>
      <c r="X300" s="46" cm="1">
        <f t="array" ref="X300">_xlfn.IFS(E300='Euro Age Table'!C$5,'Euro Age Table'!G$5,E300='Euro Age Table'!C$6,'Euro Age Table'!G$6,E300='Euro Age Table'!C$7,'Euro Age Table'!G$7,E300='Euro Age Table'!C$8,'Euro Age Table'!G$8,E300='Euro Age Table'!C$9,'Euro Age Table'!G$9,E300='Euro Age Table'!C$10,'Euro Age Table'!G$10,E300='Euro Age Table'!C$11,'Euro Age Table'!G$11)</f>
        <v>16</v>
      </c>
      <c r="Y300" s="46">
        <f>X300*'Eilat Car Data'!F$8</f>
        <v>902400</v>
      </c>
      <c r="Z300" s="46">
        <f>'T3 N2O HDV'!C27</f>
        <v>9</v>
      </c>
      <c r="AA300" s="124">
        <f t="shared" si="18"/>
        <v>1130.4618947931049</v>
      </c>
    </row>
    <row r="301" spans="1:27" ht="12.5">
      <c r="A301" s="49" t="s">
        <v>93</v>
      </c>
      <c r="B301" s="49" t="s">
        <v>22</v>
      </c>
      <c r="C301" s="49" t="s">
        <v>67</v>
      </c>
      <c r="D301" s="49" t="s">
        <v>90</v>
      </c>
      <c r="E301" s="50" t="s">
        <v>58</v>
      </c>
      <c r="F301" s="97">
        <v>2.7170281947352013E-3</v>
      </c>
      <c r="G301" s="99">
        <f t="shared" si="19"/>
        <v>0.13585140973676008</v>
      </c>
      <c r="H301" s="46"/>
      <c r="I301" s="46">
        <f>G301*'Eilat Car Data'!F$8</f>
        <v>7662.0195091532687</v>
      </c>
      <c r="J301" s="46">
        <f>I301*'Tier 1 Coefficients'!I$10</f>
        <v>1838884.6821967845</v>
      </c>
      <c r="K301" s="46">
        <f t="shared" si="16"/>
        <v>1838.8846821967845</v>
      </c>
      <c r="L301" s="46">
        <f>K301*'Tier 1 Coefficients'!D$4</f>
        <v>5827.4255578816101</v>
      </c>
      <c r="M301" s="46">
        <f>K301*'Tier 1 Coefficients'!C$21</f>
        <v>4670.7670927798326</v>
      </c>
      <c r="N301" s="46">
        <f>K301*'Tier 1 Coefficients'!C$45</f>
        <v>93.783118792036007</v>
      </c>
      <c r="O301" s="46">
        <f>I301*'Tier 2 FC'!D$44</f>
        <v>2306267.8722551339</v>
      </c>
      <c r="P301" s="46">
        <f t="shared" si="17"/>
        <v>2306.2678722551341</v>
      </c>
      <c r="Q301" s="46">
        <f>P301*'Tier 1 Coefficients'!D$4</f>
        <v>7308.5628871765202</v>
      </c>
      <c r="R301" s="46">
        <f>$I301*'T2 Bus'!C10</f>
        <v>91.944234109839229</v>
      </c>
      <c r="S301" s="46">
        <f>$I301*'T2 Bus'!D10</f>
        <v>2030.4351699256163</v>
      </c>
      <c r="T301" s="46">
        <f>44.011*(P301/(12.011+1.008*'Tier 3 CO2 Tables'!B$4+16*'Tier 3 CO2 Tables'!C$4))</f>
        <v>7309.6667496637383</v>
      </c>
      <c r="U301" s="46">
        <f>I301*'Tier 3 CO2 Tables'!H$11/10000</f>
        <v>6.5127165827802784</v>
      </c>
      <c r="V301" s="46">
        <f>44.011*(U301/(12.011+1.008*'Tier 3 CO2 Tables'!B$6+16*'Tier 3 CO2 Tables'!C$6))</f>
        <v>20.317442855413297</v>
      </c>
      <c r="W301" s="46">
        <f>I301*'T3 Methane'!D$29</f>
        <v>651271.65827802778</v>
      </c>
      <c r="X301" s="46" cm="1">
        <f t="array" ref="X301">_xlfn.IFS(E301='Euro Age Table'!C$5,'Euro Age Table'!G$5,E301='Euro Age Table'!C$6,'Euro Age Table'!G$6,E301='Euro Age Table'!C$7,'Euro Age Table'!G$7,E301='Euro Age Table'!C$8,'Euro Age Table'!G$8,E301='Euro Age Table'!C$9,'Euro Age Table'!G$9,E301='Euro Age Table'!C$10,'Euro Age Table'!G$10,E301='Euro Age Table'!C$11,'Euro Age Table'!G$11)</f>
        <v>13</v>
      </c>
      <c r="Y301" s="46">
        <f>X301*'Eilat Car Data'!F$8</f>
        <v>733200</v>
      </c>
      <c r="Z301" s="46">
        <f>'T3 N2O HDV'!C28</f>
        <v>19</v>
      </c>
      <c r="AA301" s="124">
        <f t="shared" si="18"/>
        <v>145578.37067391211</v>
      </c>
    </row>
    <row r="302" spans="1:27" ht="12.5">
      <c r="A302" s="49" t="s">
        <v>93</v>
      </c>
      <c r="B302" s="49" t="s">
        <v>22</v>
      </c>
      <c r="C302" s="49" t="s">
        <v>67</v>
      </c>
      <c r="D302" s="49" t="s">
        <v>90</v>
      </c>
      <c r="E302" s="50" t="s">
        <v>59</v>
      </c>
      <c r="F302" s="97">
        <v>1.8261992784285779E-3</v>
      </c>
      <c r="G302" s="99">
        <f t="shared" si="19"/>
        <v>9.1309963921428899E-2</v>
      </c>
      <c r="H302" s="46"/>
      <c r="I302" s="46">
        <f>G302*'Eilat Car Data'!F$8</f>
        <v>5149.8819651685899</v>
      </c>
      <c r="J302" s="46">
        <f>I302*'Tier 1 Coefficients'!I$10</f>
        <v>1235971.6716404615</v>
      </c>
      <c r="K302" s="46">
        <f t="shared" si="16"/>
        <v>1235.9716716404616</v>
      </c>
      <c r="L302" s="46">
        <f>K302*'Tier 1 Coefficients'!D$4</f>
        <v>3916.7942274286229</v>
      </c>
      <c r="M302" s="46">
        <f>K302*'Tier 1 Coefficients'!C$21</f>
        <v>3139.3680459667726</v>
      </c>
      <c r="N302" s="46">
        <f>K302*'Tier 1 Coefficients'!C$45</f>
        <v>63.034555253663541</v>
      </c>
      <c r="O302" s="46">
        <f>I302*'Tier 2 FC'!D$44</f>
        <v>1550114.4715157456</v>
      </c>
      <c r="P302" s="46">
        <f t="shared" si="17"/>
        <v>1550.1144715157457</v>
      </c>
      <c r="Q302" s="46">
        <f>P302*'Tier 1 Coefficients'!D$4</f>
        <v>4912.312760233398</v>
      </c>
      <c r="R302" s="46">
        <f>$I302*'T2 Bus'!C11</f>
        <v>164.79622288539488</v>
      </c>
      <c r="S302" s="46">
        <f>$I302*'T2 Bus'!D11</f>
        <v>1364.7187207696763</v>
      </c>
      <c r="T302" s="46">
        <f>44.011*(P302/(12.011+1.008*'Tier 3 CO2 Tables'!B$4+16*'Tier 3 CO2 Tables'!C$4))</f>
        <v>4913.0547005936596</v>
      </c>
      <c r="U302" s="46">
        <f>I302*'Tier 3 CO2 Tables'!H$11/10000</f>
        <v>4.3773996703933014</v>
      </c>
      <c r="V302" s="46">
        <f>44.011*(U302/(12.011+1.008*'Tier 3 CO2 Tables'!B$6+16*'Tier 3 CO2 Tables'!C$6))</f>
        <v>13.655986181507297</v>
      </c>
      <c r="W302" s="46">
        <f>I302*'T3 Methane'!D$29</f>
        <v>437739.96703933016</v>
      </c>
      <c r="X302" s="46" cm="1">
        <f t="array" ref="X302">_xlfn.IFS(E302='Euro Age Table'!C$5,'Euro Age Table'!G$5,E302='Euro Age Table'!C$6,'Euro Age Table'!G$6,E302='Euro Age Table'!C$7,'Euro Age Table'!G$7,E302='Euro Age Table'!C$8,'Euro Age Table'!G$8,E302='Euro Age Table'!C$9,'Euro Age Table'!G$9,E302='Euro Age Table'!C$10,'Euro Age Table'!G$10,E302='Euro Age Table'!C$11,'Euro Age Table'!G$11)</f>
        <v>9</v>
      </c>
      <c r="Y302" s="46">
        <f>X302*'Eilat Car Data'!F$8</f>
        <v>507600</v>
      </c>
      <c r="Z302" s="46">
        <f>'T3 N2O HDV'!C29</f>
        <v>49</v>
      </c>
      <c r="AA302" s="124">
        <f t="shared" si="18"/>
        <v>252344.21629326089</v>
      </c>
    </row>
    <row r="303" spans="1:27" ht="12.5">
      <c r="A303" s="49" t="s">
        <v>93</v>
      </c>
      <c r="B303" s="49" t="s">
        <v>22</v>
      </c>
      <c r="C303" s="49" t="s">
        <v>67</v>
      </c>
      <c r="D303" s="51" t="s">
        <v>90</v>
      </c>
      <c r="E303" s="51" t="s">
        <v>60</v>
      </c>
      <c r="F303" s="97">
        <v>9.9327424168188499E-3</v>
      </c>
      <c r="G303" s="99">
        <f t="shared" si="19"/>
        <v>0.49663712084094247</v>
      </c>
      <c r="H303" s="46"/>
      <c r="I303" s="46">
        <f>G303*'Eilat Car Data'!F$8</f>
        <v>28010.333615429154</v>
      </c>
      <c r="J303" s="46">
        <f>I303*'Tier 1 Coefficients'!I$10</f>
        <v>6722480.0677029965</v>
      </c>
      <c r="K303" s="46">
        <f t="shared" si="16"/>
        <v>6722.4800677029962</v>
      </c>
      <c r="L303" s="46">
        <f>K303*'Tier 1 Coefficients'!D$4</f>
        <v>21303.539334550795</v>
      </c>
      <c r="M303" s="46">
        <f>K303*'Tier 1 Coefficients'!C$21</f>
        <v>17075.099371965611</v>
      </c>
      <c r="N303" s="46">
        <f>K303*'Tier 1 Coefficients'!C$45</f>
        <v>342.84648345285279</v>
      </c>
      <c r="O303" s="46">
        <f>I303*'Tier 2 FC'!D$44</f>
        <v>8431110.4182441756</v>
      </c>
      <c r="P303" s="46">
        <f t="shared" si="17"/>
        <v>8431.1104182441759</v>
      </c>
      <c r="Q303" s="46">
        <f>P303*'Tier 1 Coefficients'!D$4</f>
        <v>26718.188915415794</v>
      </c>
      <c r="R303" s="46">
        <f>$I303*'T2 Bus'!C12</f>
        <v>1120.4133446171661</v>
      </c>
      <c r="S303" s="46">
        <f>$I303*'T2 Bus'!D12</f>
        <v>7422.7384080887259</v>
      </c>
      <c r="T303" s="46">
        <f>44.011*(P303/(12.011+1.008*'Tier 3 CO2 Tables'!B$4+16*'Tier 3 CO2 Tables'!C$4))</f>
        <v>26722.224347131363</v>
      </c>
      <c r="U303" s="46">
        <f>I303*'Tier 3 CO2 Tables'!H$12/10000</f>
        <v>2.3808783573114778</v>
      </c>
      <c r="V303" s="46">
        <f>44.011*(U303/(12.011+1.008*'Tier 3 CO2 Tables'!B$6+16*'Tier 3 CO2 Tables'!C$6))</f>
        <v>7.4275241914051868</v>
      </c>
      <c r="W303" s="46">
        <f>I303*'T3 Methane'!D$29</f>
        <v>2380878.3573114779</v>
      </c>
      <c r="X303" s="46" cm="1">
        <f t="array" ref="X303">_xlfn.IFS(E303='Euro Age Table'!C$5,'Euro Age Table'!G$5,E303='Euro Age Table'!C$6,'Euro Age Table'!G$6,E303='Euro Age Table'!C$7,'Euro Age Table'!G$7,E303='Euro Age Table'!C$8,'Euro Age Table'!G$8,E303='Euro Age Table'!C$9,'Euro Age Table'!G$9,E303='Euro Age Table'!C$10,'Euro Age Table'!G$10,E303='Euro Age Table'!C$11,'Euro Age Table'!G$11)</f>
        <v>3</v>
      </c>
      <c r="Y303" s="46">
        <f>X303*'Eilat Car Data'!F$8</f>
        <v>169200</v>
      </c>
      <c r="Z303" s="46">
        <f>'T3 N2O HDV'!C30</f>
        <v>61</v>
      </c>
      <c r="AA303" s="124">
        <f t="shared" si="18"/>
        <v>1708630.3505411784</v>
      </c>
    </row>
    <row r="304" spans="1:27" ht="12.5">
      <c r="A304" s="49" t="s">
        <v>93</v>
      </c>
      <c r="B304" s="49" t="s">
        <v>22</v>
      </c>
      <c r="C304" s="49" t="s">
        <v>67</v>
      </c>
      <c r="D304" s="49" t="s">
        <v>91</v>
      </c>
      <c r="E304" s="50" t="s">
        <v>55</v>
      </c>
      <c r="F304" s="97">
        <v>0</v>
      </c>
      <c r="G304" s="99">
        <f t="shared" si="19"/>
        <v>0</v>
      </c>
      <c r="H304" s="46"/>
      <c r="I304" s="46">
        <f>G304*'Eilat Car Data'!F$8</f>
        <v>0</v>
      </c>
      <c r="J304" s="46">
        <f>I304*'Tier 1 Coefficients'!I$10</f>
        <v>0</v>
      </c>
      <c r="K304" s="46">
        <f t="shared" si="16"/>
        <v>0</v>
      </c>
      <c r="L304" s="46">
        <f>K304*'Tier 1 Coefficients'!D$4</f>
        <v>0</v>
      </c>
      <c r="M304" s="46">
        <f>K304*'Tier 1 Coefficients'!C$21</f>
        <v>0</v>
      </c>
      <c r="N304" s="46">
        <f>K304*'Tier 1 Coefficients'!C$45</f>
        <v>0</v>
      </c>
      <c r="O304" s="46">
        <f>I304*'Tier 2 FC'!D$44</f>
        <v>0</v>
      </c>
      <c r="P304" s="46">
        <f t="shared" si="17"/>
        <v>0</v>
      </c>
      <c r="Q304" s="46">
        <f>P304*'Tier 1 Coefficients'!D$4</f>
        <v>0</v>
      </c>
      <c r="R304" s="46">
        <f>$I304*'T2 Bus'!C7</f>
        <v>0</v>
      </c>
      <c r="S304" s="46">
        <f>$I304*'T2 Bus'!D7</f>
        <v>0</v>
      </c>
      <c r="T304" s="46">
        <f>44.011*(P304/(12.011+1.008*'Tier 3 CO2 Tables'!B$4+16*'Tier 3 CO2 Tables'!C$4))</f>
        <v>0</v>
      </c>
      <c r="U304" s="46">
        <f>I304*'Tier 3 CO2 Tables'!H$11/10000</f>
        <v>0</v>
      </c>
      <c r="V304" s="46">
        <f>44.011*(U304/(12.011+1.008*'Tier 3 CO2 Tables'!B$6+16*'Tier 3 CO2 Tables'!C$6))</f>
        <v>0</v>
      </c>
      <c r="W304" s="46">
        <f>I304*'T3 Methane'!D$30</f>
        <v>0</v>
      </c>
      <c r="X304" s="46" cm="1">
        <f t="array" ref="X304">_xlfn.IFS(E304='Euro Age Table'!C$5,'Euro Age Table'!G$5,E304='Euro Age Table'!C$6,'Euro Age Table'!G$6,E304='Euro Age Table'!C$7,'Euro Age Table'!G$7,E304='Euro Age Table'!C$8,'Euro Age Table'!G$8,E304='Euro Age Table'!C$9,'Euro Age Table'!G$9,E304='Euro Age Table'!C$10,'Euro Age Table'!G$10,E304='Euro Age Table'!C$11,'Euro Age Table'!G$11)</f>
        <v>23</v>
      </c>
      <c r="Y304" s="46">
        <f>X304*'Eilat Car Data'!F$8</f>
        <v>1297200</v>
      </c>
      <c r="Z304" s="46">
        <f>'T3 N2O HDV'!C32</f>
        <v>12</v>
      </c>
      <c r="AA304" s="124">
        <f t="shared" si="18"/>
        <v>0</v>
      </c>
    </row>
    <row r="305" spans="1:27" ht="12.5">
      <c r="A305" s="49" t="s">
        <v>93</v>
      </c>
      <c r="B305" s="49" t="s">
        <v>22</v>
      </c>
      <c r="C305" s="49" t="s">
        <v>67</v>
      </c>
      <c r="D305" s="49" t="s">
        <v>91</v>
      </c>
      <c r="E305" s="50" t="s">
        <v>56</v>
      </c>
      <c r="F305" s="97">
        <v>0</v>
      </c>
      <c r="G305" s="99">
        <f t="shared" si="19"/>
        <v>0</v>
      </c>
      <c r="H305" s="46"/>
      <c r="I305" s="46">
        <f>G305*'Eilat Car Data'!F$8</f>
        <v>0</v>
      </c>
      <c r="J305" s="46">
        <f>I305*'Tier 1 Coefficients'!I$10</f>
        <v>0</v>
      </c>
      <c r="K305" s="46">
        <f t="shared" si="16"/>
        <v>0</v>
      </c>
      <c r="L305" s="46">
        <f>K305*'Tier 1 Coefficients'!D$4</f>
        <v>0</v>
      </c>
      <c r="M305" s="46">
        <f>K305*'Tier 1 Coefficients'!C$21</f>
        <v>0</v>
      </c>
      <c r="N305" s="46">
        <f>K305*'Tier 1 Coefficients'!C$45</f>
        <v>0</v>
      </c>
      <c r="O305" s="46">
        <f>I305*'Tier 2 FC'!D$44</f>
        <v>0</v>
      </c>
      <c r="P305" s="46">
        <f t="shared" si="17"/>
        <v>0</v>
      </c>
      <c r="Q305" s="46">
        <f>P305*'Tier 1 Coefficients'!D$4</f>
        <v>0</v>
      </c>
      <c r="R305" s="46">
        <f>$I305*'T2 Bus'!C8</f>
        <v>0</v>
      </c>
      <c r="S305" s="46">
        <f>$I305*'T2 Bus'!D8</f>
        <v>0</v>
      </c>
      <c r="T305" s="46">
        <f>44.011*(P305/(12.011+1.008*'Tier 3 CO2 Tables'!B$4+16*'Tier 3 CO2 Tables'!C$4))</f>
        <v>0</v>
      </c>
      <c r="U305" s="46">
        <f>I305*'Tier 3 CO2 Tables'!H$11/10000</f>
        <v>0</v>
      </c>
      <c r="V305" s="46">
        <f>44.011*(U305/(12.011+1.008*'Tier 3 CO2 Tables'!B$6+16*'Tier 3 CO2 Tables'!C$6))</f>
        <v>0</v>
      </c>
      <c r="W305" s="46">
        <f>I305*'T3 Methane'!D$30</f>
        <v>0</v>
      </c>
      <c r="X305" s="46" cm="1">
        <f t="array" ref="X305">_xlfn.IFS(E305='Euro Age Table'!C$5,'Euro Age Table'!G$5,E305='Euro Age Table'!C$6,'Euro Age Table'!G$6,E305='Euro Age Table'!C$7,'Euro Age Table'!G$7,E305='Euro Age Table'!C$8,'Euro Age Table'!G$8,E305='Euro Age Table'!C$9,'Euro Age Table'!G$9,E305='Euro Age Table'!C$10,'Euro Age Table'!G$10,E305='Euro Age Table'!C$11,'Euro Age Table'!G$11)</f>
        <v>18</v>
      </c>
      <c r="Y305" s="46">
        <f>X305*'Eilat Car Data'!F$8</f>
        <v>1015200</v>
      </c>
      <c r="Z305" s="46">
        <f>'T3 N2O HDV'!C33</f>
        <v>12</v>
      </c>
      <c r="AA305" s="124">
        <f t="shared" si="18"/>
        <v>0</v>
      </c>
    </row>
    <row r="306" spans="1:27" ht="12.5">
      <c r="A306" s="49" t="s">
        <v>93</v>
      </c>
      <c r="B306" s="49" t="s">
        <v>22</v>
      </c>
      <c r="C306" s="49" t="s">
        <v>67</v>
      </c>
      <c r="D306" s="49" t="s">
        <v>91</v>
      </c>
      <c r="E306" s="50" t="s">
        <v>57</v>
      </c>
      <c r="F306" s="97">
        <v>4.2759787982717921E-3</v>
      </c>
      <c r="G306" s="99">
        <f t="shared" si="19"/>
        <v>0.21379893991358961</v>
      </c>
      <c r="H306" s="46"/>
      <c r="I306" s="46">
        <f>G306*'Eilat Car Data'!F$8</f>
        <v>12058.260211126455</v>
      </c>
      <c r="J306" s="46">
        <f>I306*'Tier 1 Coefficients'!I$10</f>
        <v>2893982.4506703494</v>
      </c>
      <c r="K306" s="46">
        <f t="shared" si="16"/>
        <v>2893.9824506703494</v>
      </c>
      <c r="L306" s="46">
        <f>K306*'Tier 1 Coefficients'!D$4</f>
        <v>9171.0303861743378</v>
      </c>
      <c r="M306" s="46">
        <f>K306*'Tier 1 Coefficients'!C$21</f>
        <v>7350.7154247026874</v>
      </c>
      <c r="N306" s="46">
        <f>K306*'Tier 1 Coefficients'!C$45</f>
        <v>147.59310498418782</v>
      </c>
      <c r="O306" s="46">
        <f>I306*'Tier 2 FC'!D$44</f>
        <v>3629536.3235490629</v>
      </c>
      <c r="P306" s="46">
        <f t="shared" si="17"/>
        <v>3629.5363235490631</v>
      </c>
      <c r="Q306" s="46">
        <f>P306*'Tier 1 Coefficients'!D$4</f>
        <v>11502.00060932698</v>
      </c>
      <c r="R306" s="46">
        <f>$I306*'T2 Bus'!C9</f>
        <v>12.058260211126456</v>
      </c>
      <c r="S306" s="46">
        <f>$I306*'T2 Bus'!D9</f>
        <v>10382.162041779877</v>
      </c>
      <c r="T306" s="46">
        <f>44.011*(P306/(12.011+1.008*'Tier 3 CO2 Tables'!B$4+16*'Tier 3 CO2 Tables'!C$4))</f>
        <v>11503.737835536374</v>
      </c>
      <c r="U306" s="46">
        <f>I306*'Tier 3 CO2 Tables'!H$11/10000</f>
        <v>10.249521179457487</v>
      </c>
      <c r="V306" s="46">
        <f>44.011*(U306/(12.011+1.008*'Tier 3 CO2 Tables'!B$6+16*'Tier 3 CO2 Tables'!C$6))</f>
        <v>31.974992034748794</v>
      </c>
      <c r="W306" s="46">
        <f>I306*'T3 Methane'!D$30</f>
        <v>2110195.5369471298</v>
      </c>
      <c r="X306" s="46" cm="1">
        <f t="array" ref="X306">_xlfn.IFS(E306='Euro Age Table'!C$5,'Euro Age Table'!G$5,E306='Euro Age Table'!C$6,'Euro Age Table'!G$6,E306='Euro Age Table'!C$7,'Euro Age Table'!G$7,E306='Euro Age Table'!C$8,'Euro Age Table'!G$8,E306='Euro Age Table'!C$9,'Euro Age Table'!G$9,E306='Euro Age Table'!C$10,'Euro Age Table'!G$10,E306='Euro Age Table'!C$11,'Euro Age Table'!G$11)</f>
        <v>16</v>
      </c>
      <c r="Y306" s="46">
        <f>X306*'Eilat Car Data'!F$8</f>
        <v>902400</v>
      </c>
      <c r="Z306" s="46">
        <f>'T3 N2O HDV'!C34</f>
        <v>6</v>
      </c>
      <c r="AA306" s="124">
        <f t="shared" si="18"/>
        <v>72349.561266758727</v>
      </c>
    </row>
    <row r="307" spans="1:27" ht="12.5">
      <c r="A307" s="49" t="s">
        <v>93</v>
      </c>
      <c r="B307" s="49" t="s">
        <v>22</v>
      </c>
      <c r="C307" s="49" t="s">
        <v>67</v>
      </c>
      <c r="D307" s="49" t="s">
        <v>91</v>
      </c>
      <c r="E307" s="50" t="s">
        <v>58</v>
      </c>
      <c r="F307" s="97">
        <v>1.2560687719923389E-2</v>
      </c>
      <c r="G307" s="99">
        <f t="shared" si="19"/>
        <v>0.62803438599616945</v>
      </c>
      <c r="H307" s="46"/>
      <c r="I307" s="46">
        <f>G307*'Eilat Car Data'!F$8</f>
        <v>35421.139370183955</v>
      </c>
      <c r="J307" s="46">
        <f>I307*'Tier 1 Coefficients'!I$10</f>
        <v>8501073.4488441497</v>
      </c>
      <c r="K307" s="46">
        <f t="shared" si="16"/>
        <v>8501.0734488441503</v>
      </c>
      <c r="L307" s="46">
        <f>K307*'Tier 1 Coefficients'!D$4</f>
        <v>26939.901759387114</v>
      </c>
      <c r="M307" s="46">
        <f>K307*'Tier 1 Coefficients'!C$21</f>
        <v>21592.72656006414</v>
      </c>
      <c r="N307" s="46">
        <f>K307*'Tier 1 Coefficients'!C$45</f>
        <v>433.55474589105165</v>
      </c>
      <c r="O307" s="46">
        <f>I307*'Tier 2 FC'!D$44</f>
        <v>10661762.95042537</v>
      </c>
      <c r="P307" s="46">
        <f t="shared" si="17"/>
        <v>10661.762950425369</v>
      </c>
      <c r="Q307" s="46">
        <f>P307*'Tier 1 Coefficients'!D$4</f>
        <v>33787.126789897993</v>
      </c>
      <c r="R307" s="46">
        <f>$I307*'T2 Bus'!C10</f>
        <v>425.05367244220747</v>
      </c>
      <c r="S307" s="46">
        <f>$I307*'T2 Bus'!D10</f>
        <v>9386.6019330987492</v>
      </c>
      <c r="T307" s="46">
        <f>44.011*(P307/(12.011+1.008*'Tier 3 CO2 Tables'!B$4+16*'Tier 3 CO2 Tables'!C$4))</f>
        <v>33792.229891888084</v>
      </c>
      <c r="U307" s="46">
        <f>I307*'Tier 3 CO2 Tables'!H$11/10000</f>
        <v>30.107968464656359</v>
      </c>
      <c r="V307" s="46">
        <f>44.011*(U307/(12.011+1.008*'Tier 3 CO2 Tables'!B$6+16*'Tier 3 CO2 Tables'!C$6))</f>
        <v>93.926539102074557</v>
      </c>
      <c r="W307" s="46">
        <f>I307*'T3 Methane'!D$30</f>
        <v>6198699.3897821922</v>
      </c>
      <c r="X307" s="46" cm="1">
        <f t="array" ref="X307">_xlfn.IFS(E307='Euro Age Table'!C$5,'Euro Age Table'!G$5,E307='Euro Age Table'!C$6,'Euro Age Table'!G$6,E307='Euro Age Table'!C$7,'Euro Age Table'!G$7,E307='Euro Age Table'!C$8,'Euro Age Table'!G$8,E307='Euro Age Table'!C$9,'Euro Age Table'!G$9,E307='Euro Age Table'!C$10,'Euro Age Table'!G$10,E307='Euro Age Table'!C$11,'Euro Age Table'!G$11)</f>
        <v>13</v>
      </c>
      <c r="Y307" s="46">
        <f>X307*'Eilat Car Data'!F$8</f>
        <v>733200</v>
      </c>
      <c r="Z307" s="46">
        <f>'T3 N2O HDV'!C35</f>
        <v>12.8</v>
      </c>
      <c r="AA307" s="124">
        <f t="shared" si="18"/>
        <v>453390.58393835463</v>
      </c>
    </row>
    <row r="308" spans="1:27" ht="12.5">
      <c r="A308" s="49" t="s">
        <v>93</v>
      </c>
      <c r="B308" s="49" t="s">
        <v>22</v>
      </c>
      <c r="C308" s="49" t="s">
        <v>67</v>
      </c>
      <c r="D308" s="49" t="s">
        <v>91</v>
      </c>
      <c r="E308" s="50" t="s">
        <v>59</v>
      </c>
      <c r="F308" s="97">
        <v>3.0332724600240522E-2</v>
      </c>
      <c r="G308" s="99">
        <f t="shared" si="19"/>
        <v>1.5166362300120262</v>
      </c>
      <c r="H308" s="46"/>
      <c r="I308" s="46">
        <f>G308*'Eilat Car Data'!F$8</f>
        <v>85538.28337267827</v>
      </c>
      <c r="J308" s="46">
        <f>I308*'Tier 1 Coefficients'!I$10</f>
        <v>20529188.009442784</v>
      </c>
      <c r="K308" s="46">
        <f t="shared" si="16"/>
        <v>20529.188009442783</v>
      </c>
      <c r="L308" s="46">
        <f>K308*'Tier 1 Coefficients'!D$4</f>
        <v>65056.996801924179</v>
      </c>
      <c r="M308" s="46">
        <f>K308*'Tier 1 Coefficients'!C$21</f>
        <v>52144.137543984667</v>
      </c>
      <c r="N308" s="46">
        <f>K308*'Tier 1 Coefficients'!C$45</f>
        <v>1046.9885884815819</v>
      </c>
      <c r="O308" s="46">
        <f>I308*'Tier 2 FC'!D$44</f>
        <v>25747023.29517616</v>
      </c>
      <c r="P308" s="46">
        <f t="shared" si="17"/>
        <v>25747.023295176161</v>
      </c>
      <c r="Q308" s="46">
        <f>P308*'Tier 1 Coefficients'!D$4</f>
        <v>81592.316822413253</v>
      </c>
      <c r="R308" s="46">
        <f>$I308*'T2 Bus'!C11</f>
        <v>2737.2250679257045</v>
      </c>
      <c r="S308" s="46">
        <f>$I308*'T2 Bus'!D11</f>
        <v>22667.645093759744</v>
      </c>
      <c r="T308" s="46">
        <f>44.011*(P308/(12.011+1.008*'Tier 3 CO2 Tables'!B$4+16*'Tier 3 CO2 Tables'!C$4))</f>
        <v>81604.640270836127</v>
      </c>
      <c r="U308" s="46">
        <f>I308*'Tier 3 CO2 Tables'!H$11/10000</f>
        <v>72.707540866776526</v>
      </c>
      <c r="V308" s="46">
        <f>44.011*(U308/(12.011+1.008*'Tier 3 CO2 Tables'!B$6+16*'Tier 3 CO2 Tables'!C$6))</f>
        <v>226.82259974649921</v>
      </c>
      <c r="W308" s="46">
        <f>I308*'T3 Methane'!D$30</f>
        <v>14969199.590218697</v>
      </c>
      <c r="X308" s="46" cm="1">
        <f t="array" ref="X308">_xlfn.IFS(E308='Euro Age Table'!C$5,'Euro Age Table'!G$5,E308='Euro Age Table'!C$6,'Euro Age Table'!G$6,E308='Euro Age Table'!C$7,'Euro Age Table'!G$7,E308='Euro Age Table'!C$8,'Euro Age Table'!G$8,E308='Euro Age Table'!C$9,'Euro Age Table'!G$9,E308='Euro Age Table'!C$10,'Euro Age Table'!G$10,E308='Euro Age Table'!C$11,'Euro Age Table'!G$11)</f>
        <v>9</v>
      </c>
      <c r="Y308" s="46">
        <f>X308*'Eilat Car Data'!F$8</f>
        <v>507600</v>
      </c>
      <c r="Z308" s="46">
        <f>'T3 N2O HDV'!C36</f>
        <v>33.200000000000003</v>
      </c>
      <c r="AA308" s="124">
        <f t="shared" si="18"/>
        <v>2839871.0079729189</v>
      </c>
    </row>
    <row r="309" spans="1:27" ht="12.5">
      <c r="A309" s="49" t="s">
        <v>93</v>
      </c>
      <c r="B309" s="49" t="s">
        <v>22</v>
      </c>
      <c r="C309" s="49" t="s">
        <v>67</v>
      </c>
      <c r="D309" s="51" t="s">
        <v>91</v>
      </c>
      <c r="E309" s="50" t="s">
        <v>60</v>
      </c>
      <c r="F309" s="97">
        <v>1.1313527237094115E-2</v>
      </c>
      <c r="G309" s="99">
        <f t="shared" si="19"/>
        <v>0.56567636185470582</v>
      </c>
      <c r="H309" s="46"/>
      <c r="I309" s="46">
        <f>G309*'Eilat Car Data'!F$8</f>
        <v>31904.146808605408</v>
      </c>
      <c r="J309" s="46">
        <f>I309*'Tier 1 Coefficients'!I$10</f>
        <v>7656995.234065298</v>
      </c>
      <c r="K309" s="46">
        <f t="shared" si="16"/>
        <v>7656.9952340652981</v>
      </c>
      <c r="L309" s="46">
        <f>K309*'Tier 1 Coefficients'!D$4</f>
        <v>24265.017896752928</v>
      </c>
      <c r="M309" s="46">
        <f>K309*'Tier 1 Coefficients'!C$21</f>
        <v>19448.767894525856</v>
      </c>
      <c r="N309" s="46">
        <f>K309*'Tier 1 Coefficients'!C$45</f>
        <v>390.50675693733018</v>
      </c>
      <c r="O309" s="46">
        <f>I309*'Tier 2 FC'!D$44</f>
        <v>9603148.1893902272</v>
      </c>
      <c r="P309" s="46">
        <f t="shared" si="17"/>
        <v>9603.1481893902273</v>
      </c>
      <c r="Q309" s="46">
        <f>P309*'Tier 1 Coefficients'!D$4</f>
        <v>30432.376612177632</v>
      </c>
      <c r="R309" s="46">
        <f>$I309*'T2 Bus'!C12</f>
        <v>1276.1658723442163</v>
      </c>
      <c r="S309" s="46">
        <f>$I309*'T2 Bus'!D12</f>
        <v>8454.598904280434</v>
      </c>
      <c r="T309" s="46">
        <f>44.011*(P309/(12.011+1.008*'Tier 3 CO2 Tables'!B$4+16*'Tier 3 CO2 Tables'!C$4))</f>
        <v>30436.973023189985</v>
      </c>
      <c r="U309" s="46">
        <f>I309*'Tier 3 CO2 Tables'!H$12/10000</f>
        <v>2.7118524787314597</v>
      </c>
      <c r="V309" s="46">
        <f>44.011*(U309/(12.011+1.008*'Tier 3 CO2 Tables'!B$6+16*'Tier 3 CO2 Tables'!C$6))</f>
        <v>8.4600499758606169</v>
      </c>
      <c r="W309" s="46">
        <f>I309*'T3 Methane'!D$30</f>
        <v>5583225.6915059462</v>
      </c>
      <c r="X309" s="46" cm="1">
        <f t="array" ref="X309">_xlfn.IFS(E309='Euro Age Table'!C$5,'Euro Age Table'!G$5,E309='Euro Age Table'!C$6,'Euro Age Table'!G$6,E309='Euro Age Table'!C$7,'Euro Age Table'!G$7,E309='Euro Age Table'!C$8,'Euro Age Table'!G$8,E309='Euro Age Table'!C$9,'Euro Age Table'!G$9,E309='Euro Age Table'!C$10,'Euro Age Table'!G$10,E309='Euro Age Table'!C$11,'Euro Age Table'!G$11)</f>
        <v>3</v>
      </c>
      <c r="Y309" s="46">
        <f>X309*'Eilat Car Data'!F$8</f>
        <v>169200</v>
      </c>
      <c r="Z309" s="46">
        <f>'T3 N2O HDV'!C37</f>
        <v>41.5</v>
      </c>
      <c r="AA309" s="124">
        <f t="shared" si="18"/>
        <v>1324022.0925571243</v>
      </c>
    </row>
    <row r="310" spans="1:27" ht="12.5">
      <c r="A310" s="49" t="s">
        <v>93</v>
      </c>
      <c r="B310" s="49" t="s">
        <v>22</v>
      </c>
      <c r="C310" s="49" t="s">
        <v>67</v>
      </c>
      <c r="D310" s="49" t="s">
        <v>92</v>
      </c>
      <c r="E310" s="50" t="s">
        <v>55</v>
      </c>
      <c r="F310" s="97">
        <v>0</v>
      </c>
      <c r="G310" s="99">
        <f t="shared" si="19"/>
        <v>0</v>
      </c>
      <c r="H310" s="46"/>
      <c r="I310" s="46">
        <f>G310*'Eilat Car Data'!F$8</f>
        <v>0</v>
      </c>
      <c r="J310" s="46">
        <f>I310*'Tier 1 Coefficients'!I$10</f>
        <v>0</v>
      </c>
      <c r="K310" s="46">
        <f t="shared" si="16"/>
        <v>0</v>
      </c>
      <c r="L310" s="46">
        <f>K310*'Tier 1 Coefficients'!D$4</f>
        <v>0</v>
      </c>
      <c r="M310" s="46">
        <f>K310*'Tier 1 Coefficients'!C$21</f>
        <v>0</v>
      </c>
      <c r="N310" s="46">
        <f>K310*'Tier 1 Coefficients'!C$45</f>
        <v>0</v>
      </c>
      <c r="O310" s="46">
        <f>I310*'Tier 2 FC'!D$43</f>
        <v>0</v>
      </c>
      <c r="P310" s="46">
        <f t="shared" si="17"/>
        <v>0</v>
      </c>
      <c r="Q310" s="46">
        <f>P310*'Tier 1 Coefficients'!D$4</f>
        <v>0</v>
      </c>
      <c r="R310" s="46">
        <f>$I310*'T2 Bus'!C7</f>
        <v>0</v>
      </c>
      <c r="S310" s="46">
        <f>$I310*'T2 Bus'!D7</f>
        <v>0</v>
      </c>
      <c r="T310" s="46">
        <f>44.011*(P310/(12.011+1.008*'Tier 3 CO2 Tables'!B$4+16*'Tier 3 CO2 Tables'!C$4))</f>
        <v>0</v>
      </c>
      <c r="U310" s="46">
        <f>I310*'Tier 3 CO2 Tables'!H$11/10000</f>
        <v>0</v>
      </c>
      <c r="V310" s="46">
        <f>44.011*(U310/(12.011+1.008*'Tier 3 CO2 Tables'!B$6+16*'Tier 3 CO2 Tables'!C$6))</f>
        <v>0</v>
      </c>
      <c r="W310" s="46">
        <f>I310*'T3 Methane'!D$30</f>
        <v>0</v>
      </c>
      <c r="X310" s="46" cm="1">
        <f t="array" ref="X310">_xlfn.IFS(E310='Euro Age Table'!C$5,'Euro Age Table'!G$5,E310='Euro Age Table'!C$6,'Euro Age Table'!G$6,E310='Euro Age Table'!C$7,'Euro Age Table'!G$7,E310='Euro Age Table'!C$8,'Euro Age Table'!G$8,E310='Euro Age Table'!C$9,'Euro Age Table'!G$9,E310='Euro Age Table'!C$10,'Euro Age Table'!G$10,E310='Euro Age Table'!C$11,'Euro Age Table'!G$11)</f>
        <v>23</v>
      </c>
      <c r="Y310" s="46">
        <f>X310*'Eilat Car Data'!F$8</f>
        <v>1297200</v>
      </c>
      <c r="Z310" s="46">
        <f>'T3 N2O HDV'!C32</f>
        <v>12</v>
      </c>
      <c r="AA310" s="124">
        <f t="shared" si="18"/>
        <v>0</v>
      </c>
    </row>
    <row r="311" spans="1:27" ht="12.5">
      <c r="A311" s="49" t="s">
        <v>93</v>
      </c>
      <c r="B311" s="49" t="s">
        <v>22</v>
      </c>
      <c r="C311" s="49" t="s">
        <v>67</v>
      </c>
      <c r="D311" s="49" t="s">
        <v>92</v>
      </c>
      <c r="E311" s="50" t="s">
        <v>56</v>
      </c>
      <c r="F311" s="97">
        <v>0</v>
      </c>
      <c r="G311" s="99">
        <f t="shared" si="19"/>
        <v>0</v>
      </c>
      <c r="H311" s="46"/>
      <c r="I311" s="46">
        <f>G311*'Eilat Car Data'!F$8</f>
        <v>0</v>
      </c>
      <c r="J311" s="46">
        <f>I311*'Tier 1 Coefficients'!I$10</f>
        <v>0</v>
      </c>
      <c r="K311" s="46">
        <f t="shared" si="16"/>
        <v>0</v>
      </c>
      <c r="L311" s="46">
        <f>K311*'Tier 1 Coefficients'!D$4</f>
        <v>0</v>
      </c>
      <c r="M311" s="46">
        <f>K311*'Tier 1 Coefficients'!C$21</f>
        <v>0</v>
      </c>
      <c r="N311" s="46">
        <f>K311*'Tier 1 Coefficients'!C$45</f>
        <v>0</v>
      </c>
      <c r="O311" s="46">
        <f>I311*'Tier 2 FC'!D$44</f>
        <v>0</v>
      </c>
      <c r="P311" s="46">
        <f t="shared" si="17"/>
        <v>0</v>
      </c>
      <c r="Q311" s="46">
        <f>P311*'Tier 1 Coefficients'!D$4</f>
        <v>0</v>
      </c>
      <c r="R311" s="46">
        <f>$I311*'T2 Bus'!C8</f>
        <v>0</v>
      </c>
      <c r="S311" s="46">
        <f>$I311*'T2 Bus'!D8</f>
        <v>0</v>
      </c>
      <c r="T311" s="46">
        <f>44.011*(P311/(12.011+1.008*'Tier 3 CO2 Tables'!B$4+16*'Tier 3 CO2 Tables'!C$4))</f>
        <v>0</v>
      </c>
      <c r="U311" s="46">
        <f>I311*'Tier 3 CO2 Tables'!H$11/10000</f>
        <v>0</v>
      </c>
      <c r="V311" s="46">
        <f>44.011*(U311/(12.011+1.008*'Tier 3 CO2 Tables'!B$6+16*'Tier 3 CO2 Tables'!C$6))</f>
        <v>0</v>
      </c>
      <c r="W311" s="46">
        <f>I311*'T3 Methane'!D$30</f>
        <v>0</v>
      </c>
      <c r="X311" s="46" cm="1">
        <f t="array" ref="X311">_xlfn.IFS(E311='Euro Age Table'!C$5,'Euro Age Table'!G$5,E311='Euro Age Table'!C$6,'Euro Age Table'!G$6,E311='Euro Age Table'!C$7,'Euro Age Table'!G$7,E311='Euro Age Table'!C$8,'Euro Age Table'!G$8,E311='Euro Age Table'!C$9,'Euro Age Table'!G$9,E311='Euro Age Table'!C$10,'Euro Age Table'!G$10,E311='Euro Age Table'!C$11,'Euro Age Table'!G$11)</f>
        <v>18</v>
      </c>
      <c r="Y311" s="46">
        <f>X311*'Eilat Car Data'!F$8</f>
        <v>1015200</v>
      </c>
      <c r="Z311" s="46">
        <f>'T3 N2O HDV'!C33</f>
        <v>12</v>
      </c>
      <c r="AA311" s="124">
        <f t="shared" si="18"/>
        <v>0</v>
      </c>
    </row>
    <row r="312" spans="1:27" ht="12.5">
      <c r="A312" s="49" t="s">
        <v>93</v>
      </c>
      <c r="B312" s="49" t="s">
        <v>22</v>
      </c>
      <c r="C312" s="49" t="s">
        <v>67</v>
      </c>
      <c r="D312" s="49" t="s">
        <v>92</v>
      </c>
      <c r="E312" s="50" t="s">
        <v>57</v>
      </c>
      <c r="F312" s="97">
        <v>6.6812168722996752E-4</v>
      </c>
      <c r="G312" s="99">
        <f t="shared" si="19"/>
        <v>3.3406084361498375E-2</v>
      </c>
      <c r="H312" s="46"/>
      <c r="I312" s="46">
        <f>G312*'Eilat Car Data'!F$8</f>
        <v>1884.1031579885084</v>
      </c>
      <c r="J312" s="46">
        <f>I312*'Tier 1 Coefficients'!I$10</f>
        <v>452184.75791724201</v>
      </c>
      <c r="K312" s="46">
        <f t="shared" si="16"/>
        <v>452.184757917242</v>
      </c>
      <c r="L312" s="46">
        <f>K312*'Tier 1 Coefficients'!D$4</f>
        <v>1432.9734978397398</v>
      </c>
      <c r="M312" s="46">
        <f>K312*'Tier 1 Coefficients'!C$21</f>
        <v>1148.5492851097947</v>
      </c>
      <c r="N312" s="46">
        <f>K312*'Tier 1 Coefficients'!C$45</f>
        <v>23.061422653779339</v>
      </c>
      <c r="O312" s="46">
        <f>I312*'Tier 2 FC'!D$44</f>
        <v>567115.05055454106</v>
      </c>
      <c r="P312" s="46">
        <f t="shared" si="17"/>
        <v>567.11505055454109</v>
      </c>
      <c r="Q312" s="46">
        <f>P312*'Tier 1 Coefficients'!D$4</f>
        <v>1797.1875952073408</v>
      </c>
      <c r="R312" s="46">
        <f>$I312*'T2 Bus'!C9</f>
        <v>1.8841031579885084</v>
      </c>
      <c r="S312" s="46">
        <f>$I312*'T2 Bus'!D9</f>
        <v>1622.2128190281057</v>
      </c>
      <c r="T312" s="46">
        <f>44.011*(P312/(12.011+1.008*'Tier 3 CO2 Tables'!B$4+16*'Tier 3 CO2 Tables'!C$4))</f>
        <v>1797.4590368025583</v>
      </c>
      <c r="U312" s="46">
        <f>I312*'Tier 3 CO2 Tables'!H$11/10000</f>
        <v>1.6014876842902321</v>
      </c>
      <c r="V312" s="46">
        <f>44.011*(U312/(12.011+1.008*'Tier 3 CO2 Tables'!B$6+16*'Tier 3 CO2 Tables'!C$6))</f>
        <v>4.9960925054294982</v>
      </c>
      <c r="W312" s="46">
        <f>I312*'T3 Methane'!D$30</f>
        <v>329718.05264798895</v>
      </c>
      <c r="X312" s="46" cm="1">
        <f t="array" ref="X312">_xlfn.IFS(E312='Euro Age Table'!C$5,'Euro Age Table'!G$5,E312='Euro Age Table'!C$6,'Euro Age Table'!G$6,E312='Euro Age Table'!C$7,'Euro Age Table'!G$7,E312='Euro Age Table'!C$8,'Euro Age Table'!G$8,E312='Euro Age Table'!C$9,'Euro Age Table'!G$9,E312='Euro Age Table'!C$10,'Euro Age Table'!G$10,E312='Euro Age Table'!C$11,'Euro Age Table'!G$11)</f>
        <v>16</v>
      </c>
      <c r="Y312" s="46">
        <f>X312*'Eilat Car Data'!F$8</f>
        <v>902400</v>
      </c>
      <c r="Z312" s="46">
        <f>'T3 N2O HDV'!C34</f>
        <v>6</v>
      </c>
      <c r="AA312" s="124">
        <f t="shared" si="18"/>
        <v>11304.618947931051</v>
      </c>
    </row>
    <row r="313" spans="1:27" ht="12.5">
      <c r="A313" s="49" t="s">
        <v>93</v>
      </c>
      <c r="B313" s="49" t="s">
        <v>22</v>
      </c>
      <c r="C313" s="49" t="s">
        <v>67</v>
      </c>
      <c r="D313" s="49" t="s">
        <v>92</v>
      </c>
      <c r="E313" s="50" t="s">
        <v>58</v>
      </c>
      <c r="F313" s="97">
        <v>4.9441004855017593E-3</v>
      </c>
      <c r="G313" s="99">
        <f t="shared" si="19"/>
        <v>0.24720502427508798</v>
      </c>
      <c r="H313" s="46"/>
      <c r="I313" s="46">
        <f>G313*'Eilat Car Data'!F$8</f>
        <v>13942.363369114963</v>
      </c>
      <c r="J313" s="46">
        <f>I313*'Tier 1 Coefficients'!I$10</f>
        <v>3346167.2085875911</v>
      </c>
      <c r="K313" s="46">
        <f t="shared" si="16"/>
        <v>3346.1672085875912</v>
      </c>
      <c r="L313" s="46">
        <f>K313*'Tier 1 Coefficients'!D$4</f>
        <v>10604.003884014077</v>
      </c>
      <c r="M313" s="46">
        <f>K313*'Tier 1 Coefficients'!C$21</f>
        <v>8499.2647098124817</v>
      </c>
      <c r="N313" s="46">
        <f>K313*'Tier 1 Coefficients'!C$45</f>
        <v>170.65452763796713</v>
      </c>
      <c r="O313" s="46">
        <f>I313*'Tier 2 FC'!D$44</f>
        <v>4196651.3741036039</v>
      </c>
      <c r="P313" s="46">
        <f t="shared" si="17"/>
        <v>4196.6513741036042</v>
      </c>
      <c r="Q313" s="46">
        <f>P313*'Tier 1 Coefficients'!D$4</f>
        <v>13299.188204534323</v>
      </c>
      <c r="R313" s="46">
        <f>$I313*'T2 Bus'!C10</f>
        <v>167.30836042937955</v>
      </c>
      <c r="S313" s="46">
        <f>$I313*'T2 Bus'!D10</f>
        <v>3694.7262928154651</v>
      </c>
      <c r="T313" s="46">
        <f>44.011*(P313/(12.011+1.008*'Tier 3 CO2 Tables'!B$4+16*'Tier 3 CO2 Tables'!C$4))</f>
        <v>13301.196872338933</v>
      </c>
      <c r="U313" s="46">
        <f>I313*'Tier 3 CO2 Tables'!H$11/10000</f>
        <v>11.851008863747717</v>
      </c>
      <c r="V313" s="46">
        <f>44.011*(U313/(12.011+1.008*'Tier 3 CO2 Tables'!B$6+16*'Tier 3 CO2 Tables'!C$6))</f>
        <v>36.971084540178289</v>
      </c>
      <c r="W313" s="46">
        <f>I313*'T3 Methane'!D$30</f>
        <v>2439913.5895951185</v>
      </c>
      <c r="X313" s="46" cm="1">
        <f t="array" ref="X313">_xlfn.IFS(E313='Euro Age Table'!C$5,'Euro Age Table'!G$5,E313='Euro Age Table'!C$6,'Euro Age Table'!G$6,E313='Euro Age Table'!C$7,'Euro Age Table'!G$7,E313='Euro Age Table'!C$8,'Euro Age Table'!G$8,E313='Euro Age Table'!C$9,'Euro Age Table'!G$9,E313='Euro Age Table'!C$10,'Euro Age Table'!G$10,E313='Euro Age Table'!C$11,'Euro Age Table'!G$11)</f>
        <v>13</v>
      </c>
      <c r="Y313" s="46">
        <f>X313*'Eilat Car Data'!F$8</f>
        <v>733200</v>
      </c>
      <c r="Z313" s="46">
        <f>'T3 N2O HDV'!C35</f>
        <v>12.8</v>
      </c>
      <c r="AA313" s="124">
        <f t="shared" si="18"/>
        <v>178462.25112467154</v>
      </c>
    </row>
    <row r="314" spans="1:27" ht="12.5">
      <c r="A314" s="49" t="s">
        <v>93</v>
      </c>
      <c r="B314" s="49" t="s">
        <v>22</v>
      </c>
      <c r="C314" s="49" t="s">
        <v>67</v>
      </c>
      <c r="D314" s="49" t="s">
        <v>92</v>
      </c>
      <c r="E314" s="50" t="s">
        <v>59</v>
      </c>
      <c r="F314" s="97">
        <v>7.1132688967083871E-2</v>
      </c>
      <c r="G314" s="99">
        <f t="shared" si="19"/>
        <v>3.5566344483541936</v>
      </c>
      <c r="H314" s="46"/>
      <c r="I314" s="46">
        <f>G314*'Eilat Car Data'!F$8</f>
        <v>200594.18288717652</v>
      </c>
      <c r="J314" s="46">
        <f>I314*'Tier 1 Coefficients'!I$10</f>
        <v>48142603.892922364</v>
      </c>
      <c r="K314" s="46">
        <f t="shared" si="16"/>
        <v>48142.603892922365</v>
      </c>
      <c r="L314" s="46">
        <f>K314*'Tier 1 Coefficients'!D$4</f>
        <v>152563.91173667097</v>
      </c>
      <c r="M314" s="46">
        <f>K314*'Tier 1 Coefficients'!C$21</f>
        <v>122282.21388802282</v>
      </c>
      <c r="N314" s="46">
        <f>K314*'Tier 1 Coefficients'!C$45</f>
        <v>2455.2727985390407</v>
      </c>
      <c r="O314" s="46">
        <f>I314*'Tier 2 FC'!D$44</f>
        <v>60378849.049040131</v>
      </c>
      <c r="P314" s="46">
        <f t="shared" si="17"/>
        <v>60378.849049040131</v>
      </c>
      <c r="Q314" s="46">
        <f>P314*'Tier 1 Coefficients'!D$4</f>
        <v>191340.57263640818</v>
      </c>
      <c r="R314" s="46">
        <f>$I314*'T2 Bus'!C11</f>
        <v>6419.0138523896485</v>
      </c>
      <c r="S314" s="46">
        <f>$I314*'T2 Bus'!D11</f>
        <v>53157.458465101779</v>
      </c>
      <c r="T314" s="46">
        <f>44.011*(P314/(12.011+1.008*'Tier 3 CO2 Tables'!B$4+16*'Tier 3 CO2 Tables'!C$4))</f>
        <v>191369.4721182457</v>
      </c>
      <c r="U314" s="46">
        <f>I314*'Tier 3 CO2 Tables'!H$11/10000</f>
        <v>170.50505545410005</v>
      </c>
      <c r="V314" s="46">
        <f>44.011*(U314/(12.011+1.008*'Tier 3 CO2 Tables'!B$6+16*'Tier 3 CO2 Tables'!C$6))</f>
        <v>531.91731541139393</v>
      </c>
      <c r="W314" s="46">
        <f>I314*'T3 Methane'!D$30</f>
        <v>35103982.005255893</v>
      </c>
      <c r="X314" s="46" cm="1">
        <f t="array" ref="X314">_xlfn.IFS(E314='Euro Age Table'!C$5,'Euro Age Table'!G$5,E314='Euro Age Table'!C$6,'Euro Age Table'!G$6,E314='Euro Age Table'!C$7,'Euro Age Table'!G$7,E314='Euro Age Table'!C$8,'Euro Age Table'!G$8,E314='Euro Age Table'!C$9,'Euro Age Table'!G$9,E314='Euro Age Table'!C$10,'Euro Age Table'!G$10,E314='Euro Age Table'!C$11,'Euro Age Table'!G$11)</f>
        <v>9</v>
      </c>
      <c r="Y314" s="46">
        <f>X314*'Eilat Car Data'!F$8</f>
        <v>507600</v>
      </c>
      <c r="Z314" s="46">
        <f>'T3 N2O HDV'!C36</f>
        <v>33.200000000000003</v>
      </c>
      <c r="AA314" s="124">
        <f t="shared" si="18"/>
        <v>6659726.8718542606</v>
      </c>
    </row>
    <row r="315" spans="1:27" ht="12.5">
      <c r="A315" s="49" t="s">
        <v>93</v>
      </c>
      <c r="B315" s="51" t="s">
        <v>22</v>
      </c>
      <c r="C315" s="49" t="s">
        <v>67</v>
      </c>
      <c r="D315" s="51" t="s">
        <v>92</v>
      </c>
      <c r="E315" s="50" t="s">
        <v>60</v>
      </c>
      <c r="F315" s="97">
        <v>0.13571778539931406</v>
      </c>
      <c r="G315" s="99">
        <f t="shared" si="19"/>
        <v>6.7858892699657032</v>
      </c>
      <c r="H315" s="46"/>
      <c r="I315" s="46">
        <f>G315*'Eilat Car Data'!F$8</f>
        <v>382724.15482606564</v>
      </c>
      <c r="J315" s="46">
        <f>I315*'Tier 1 Coefficients'!I$10</f>
        <v>91853797.158255756</v>
      </c>
      <c r="K315" s="46">
        <f t="shared" si="16"/>
        <v>91853.797158255751</v>
      </c>
      <c r="L315" s="46">
        <f>K315*'Tier 1 Coefficients'!D$4</f>
        <v>291084.6831945125</v>
      </c>
      <c r="M315" s="46">
        <f>K315*'Tier 1 Coefficients'!C$21</f>
        <v>233308.6447819696</v>
      </c>
      <c r="N315" s="46">
        <f>K315*'Tier 1 Coefficients'!C$45</f>
        <v>4684.5436550710428</v>
      </c>
      <c r="O315" s="46">
        <f>I315*'Tier 2 FC'!D$44</f>
        <v>115199970.60264575</v>
      </c>
      <c r="P315" s="46">
        <f t="shared" si="17"/>
        <v>115199.97060264576</v>
      </c>
      <c r="Q315" s="46">
        <f>P315*'Tier 1 Coefficients'!D$4</f>
        <v>365068.7068397844</v>
      </c>
      <c r="R315" s="46">
        <f>$I315*'T2 Bus'!C12</f>
        <v>15308.966193042626</v>
      </c>
      <c r="S315" s="46">
        <f>$I315*'T2 Bus'!D12</f>
        <v>101421.90102890741</v>
      </c>
      <c r="T315" s="46">
        <f>44.011*(P315/(12.011+1.008*'Tier 3 CO2 Tables'!B$4+16*'Tier 3 CO2 Tables'!C$4))</f>
        <v>365123.84567582625</v>
      </c>
      <c r="U315" s="46">
        <f>I315*'Tier 3 CO2 Tables'!H$12/10000</f>
        <v>32.53155316021558</v>
      </c>
      <c r="V315" s="46">
        <f>44.011*(U315/(12.011+1.008*'Tier 3 CO2 Tables'!B$6+16*'Tier 3 CO2 Tables'!C$6))</f>
        <v>101.48729242695786</v>
      </c>
      <c r="W315" s="46">
        <f>I315*'T3 Methane'!D$30</f>
        <v>66976727.094561487</v>
      </c>
      <c r="X315" s="46" cm="1">
        <f t="array" ref="X315">_xlfn.IFS(E315='Euro Age Table'!C$5,'Euro Age Table'!G$5,E315='Euro Age Table'!C$6,'Euro Age Table'!G$6,E315='Euro Age Table'!C$7,'Euro Age Table'!G$7,E315='Euro Age Table'!C$8,'Euro Age Table'!G$8,E315='Euro Age Table'!C$9,'Euro Age Table'!G$9,E315='Euro Age Table'!C$10,'Euro Age Table'!G$10,E315='Euro Age Table'!C$11,'Euro Age Table'!G$11)</f>
        <v>3</v>
      </c>
      <c r="Y315" s="46">
        <f>X315*'Eilat Car Data'!F$8</f>
        <v>169200</v>
      </c>
      <c r="Z315" s="46">
        <f>'T3 N2O HDV'!C37</f>
        <v>41.5</v>
      </c>
      <c r="AA315" s="124">
        <f t="shared" si="18"/>
        <v>15883052.425281724</v>
      </c>
    </row>
    <row r="316" spans="1:27" ht="12.5">
      <c r="A316" s="49" t="s">
        <v>93</v>
      </c>
      <c r="B316" s="49" t="s">
        <v>64</v>
      </c>
      <c r="C316" s="49" t="s">
        <v>67</v>
      </c>
      <c r="D316" s="49" t="s">
        <v>91</v>
      </c>
      <c r="E316" s="50" t="s">
        <v>59</v>
      </c>
      <c r="F316" s="97">
        <v>4.4541445815331164E-5</v>
      </c>
      <c r="G316" s="99">
        <f t="shared" si="19"/>
        <v>2.227072290766558E-3</v>
      </c>
      <c r="H316" s="46"/>
      <c r="I316" s="46">
        <f>G316*'Eilat Car Data'!F$8</f>
        <v>125.60687719923388</v>
      </c>
      <c r="J316" s="46">
        <f>I316*0</f>
        <v>0</v>
      </c>
      <c r="K316" s="46">
        <f t="shared" si="16"/>
        <v>0</v>
      </c>
      <c r="L316" s="46">
        <f>K316*0</f>
        <v>0</v>
      </c>
      <c r="M316" s="46">
        <f>K316*0</f>
        <v>0</v>
      </c>
      <c r="N316" s="46">
        <f>K316*0</f>
        <v>0</v>
      </c>
      <c r="O316" s="46">
        <f>I316*0</f>
        <v>0</v>
      </c>
      <c r="P316" s="46">
        <f t="shared" si="17"/>
        <v>0</v>
      </c>
      <c r="Q316" s="46">
        <f>P316*0</f>
        <v>0</v>
      </c>
      <c r="R316" s="46">
        <f>$I316*'T2 Bus'!C11</f>
        <v>4.0194200703754843</v>
      </c>
      <c r="S316" s="46">
        <f>$I316*'T2 Bus'!D11</f>
        <v>33.285822457796982</v>
      </c>
      <c r="T316" s="46">
        <f>P316*0</f>
        <v>0</v>
      </c>
      <c r="U316" s="46">
        <f>I316*0/10000</f>
        <v>0</v>
      </c>
      <c r="V316" s="46">
        <f>44.011*(U316/(12.011+1.008*'Tier 3 CO2 Tables'!B$6+16*'Tier 3 CO2 Tables'!C$6))</f>
        <v>0</v>
      </c>
      <c r="W316" s="46">
        <f>I316*0</f>
        <v>0</v>
      </c>
      <c r="X316" s="46" cm="1">
        <f t="array" ref="X316">_xlfn.IFS(E316='Euro Age Table'!C$5,'Euro Age Table'!G$5,E316='Euro Age Table'!C$6,'Euro Age Table'!G$6,E316='Euro Age Table'!C$7,'Euro Age Table'!G$7,E316='Euro Age Table'!C$8,'Euro Age Table'!G$8,E316='Euro Age Table'!C$9,'Euro Age Table'!G$9,E316='Euro Age Table'!C$10,'Euro Age Table'!G$10,E316='Euro Age Table'!C$11,'Euro Age Table'!G$11)</f>
        <v>9</v>
      </c>
      <c r="Y316" s="46">
        <f>X316*'Eilat Car Data'!F$8</f>
        <v>507600</v>
      </c>
      <c r="Z316" s="46">
        <v>0</v>
      </c>
      <c r="AA316" s="124">
        <f t="shared" si="18"/>
        <v>0</v>
      </c>
    </row>
    <row r="317" spans="1:27" ht="12.5">
      <c r="A317" s="81" t="s">
        <v>93</v>
      </c>
      <c r="B317" s="82" t="s">
        <v>64</v>
      </c>
      <c r="C317" s="82" t="s">
        <v>67</v>
      </c>
      <c r="D317" s="82" t="s">
        <v>91</v>
      </c>
      <c r="E317" s="83" t="s">
        <v>60</v>
      </c>
      <c r="F317" s="98">
        <v>5.1668077145784154E-3</v>
      </c>
      <c r="G317" s="99">
        <f t="shared" si="19"/>
        <v>0.25834038572892076</v>
      </c>
      <c r="H317" s="46"/>
      <c r="I317" s="46">
        <f>G317*'Eilat Car Data'!F$8</f>
        <v>14570.397755111131</v>
      </c>
      <c r="J317" s="46">
        <f>I317*0</f>
        <v>0</v>
      </c>
      <c r="K317" s="46">
        <f t="shared" si="16"/>
        <v>0</v>
      </c>
      <c r="L317" s="46">
        <f>K317*0</f>
        <v>0</v>
      </c>
      <c r="M317" s="46">
        <f>K317*0</f>
        <v>0</v>
      </c>
      <c r="N317" s="46">
        <f>K317*0</f>
        <v>0</v>
      </c>
      <c r="O317" s="46">
        <f>I317*0</f>
        <v>0</v>
      </c>
      <c r="P317" s="46">
        <f t="shared" si="17"/>
        <v>0</v>
      </c>
      <c r="Q317" s="46">
        <f>P317*0</f>
        <v>0</v>
      </c>
      <c r="R317" s="46">
        <f>$I317*'T2 Bus'!C12</f>
        <v>582.81591020444523</v>
      </c>
      <c r="S317" s="46">
        <f>$I317*'T2 Bus'!D12</f>
        <v>3861.15540510445</v>
      </c>
      <c r="T317" s="46">
        <f>P317*0</f>
        <v>0</v>
      </c>
      <c r="U317" s="46">
        <f>I317*0/10000</f>
        <v>0</v>
      </c>
      <c r="V317" s="46">
        <f>44.011*(U317/(12.011+1.008*'Tier 3 CO2 Tables'!B$6+16*'Tier 3 CO2 Tables'!C$6))</f>
        <v>0</v>
      </c>
      <c r="W317" s="46">
        <f>I317*0</f>
        <v>0</v>
      </c>
      <c r="X317" s="46" cm="1">
        <f t="array" ref="X317">_xlfn.IFS(E317='Euro Age Table'!C$5,'Euro Age Table'!G$5,E317='Euro Age Table'!C$6,'Euro Age Table'!G$6,E317='Euro Age Table'!C$7,'Euro Age Table'!G$7,E317='Euro Age Table'!C$8,'Euro Age Table'!G$8,E317='Euro Age Table'!C$9,'Euro Age Table'!G$9,E317='Euro Age Table'!C$10,'Euro Age Table'!G$10,E317='Euro Age Table'!C$11,'Euro Age Table'!G$11)</f>
        <v>3</v>
      </c>
      <c r="Y317" s="46">
        <f>X317*'Eilat Car Data'!F$8</f>
        <v>169200</v>
      </c>
      <c r="Z317" s="46">
        <v>0</v>
      </c>
      <c r="AA317" s="124">
        <f t="shared" si="18"/>
        <v>0</v>
      </c>
    </row>
    <row r="318" spans="1:27" ht="12.5">
      <c r="A318" s="54" t="s">
        <v>10</v>
      </c>
      <c r="B318" s="53"/>
      <c r="C318" s="53"/>
      <c r="D318" s="53"/>
      <c r="E318" s="53"/>
      <c r="F318" s="88"/>
      <c r="G318" s="100">
        <f>'Eilat Car Data'!B10</f>
        <v>1691</v>
      </c>
      <c r="H318" s="46">
        <f>SUM(G326:G348)</f>
        <v>1682.0922149868791</v>
      </c>
      <c r="I318" s="46"/>
      <c r="J318" s="46"/>
      <c r="K318" s="46">
        <f t="shared" si="16"/>
        <v>0</v>
      </c>
      <c r="L318" s="46"/>
      <c r="M318" s="46"/>
      <c r="N318" s="46"/>
      <c r="O318" s="46"/>
      <c r="P318" s="46">
        <f t="shared" si="17"/>
        <v>0</v>
      </c>
      <c r="Q318" s="46"/>
      <c r="R318" s="46"/>
      <c r="S318" s="46"/>
      <c r="T318" s="46"/>
      <c r="U318" s="46"/>
      <c r="V318" s="46">
        <f>44.011*(U318/(12.011+1.008*'Tier 3 CO2 Tables'!B$6+16*'Tier 3 CO2 Tables'!C$6))</f>
        <v>0</v>
      </c>
      <c r="W318" s="46"/>
      <c r="X318" s="46" t="e" cm="1">
        <f t="array" ref="X318">_xlfn.IFS(E318='Euro Age Table'!C$5,'Euro Age Table'!G$5,E318='Euro Age Table'!C$6,'Euro Age Table'!G$6,E318='Euro Age Table'!C$7,'Euro Age Table'!G$7,E318='Euro Age Table'!C$8,'Euro Age Table'!G$8,E318='Euro Age Table'!C$9,'Euro Age Table'!G$9,E318='Euro Age Table'!C$10,'Euro Age Table'!G$10,E318='Euro Age Table'!C$11,'Euro Age Table'!G$11)</f>
        <v>#N/A</v>
      </c>
      <c r="Y318" s="46"/>
      <c r="Z318" s="46"/>
      <c r="AA318" s="124">
        <f t="shared" si="18"/>
        <v>0</v>
      </c>
    </row>
    <row r="319" spans="1:27" ht="12.5">
      <c r="A319" s="56" t="s">
        <v>94</v>
      </c>
      <c r="B319" s="49" t="s">
        <v>20</v>
      </c>
      <c r="C319" s="49" t="s">
        <v>95</v>
      </c>
      <c r="D319" s="49" t="s">
        <v>96</v>
      </c>
      <c r="E319" s="50" t="s">
        <v>54</v>
      </c>
      <c r="F319" s="90">
        <v>4.2764117018174747E-4</v>
      </c>
      <c r="G319" s="99">
        <f t="shared" ref="G319:G325" si="20">F319*$G$166</f>
        <v>0.27069686072504617</v>
      </c>
      <c r="H319" s="46"/>
      <c r="I319" s="46">
        <f>G319*'Eilat Car Data'!F$10</f>
        <v>2030.2264554378462</v>
      </c>
      <c r="J319" s="46">
        <f>I319*'Tier 1 Coefficients'!I$12</f>
        <v>71057.925940324611</v>
      </c>
      <c r="K319" s="46">
        <f t="shared" si="16"/>
        <v>71.057925940324608</v>
      </c>
      <c r="L319" s="46">
        <f>K319*'Tier 1 Coefficients'!D$3</f>
        <v>225.18256730488869</v>
      </c>
      <c r="M319" s="46">
        <f>K319*'Tier 1 Coefficients'!C$23</f>
        <v>3822.9164155894637</v>
      </c>
      <c r="N319" s="46">
        <f>K319*'Tier 1 Coefficients'!C$47</f>
        <v>4.1924176304791514</v>
      </c>
      <c r="O319" s="46">
        <f>I319*'Tier 2 FC'!D48</f>
        <v>50755.661385946158</v>
      </c>
      <c r="P319" s="46">
        <f t="shared" si="17"/>
        <v>50.755661385946155</v>
      </c>
      <c r="Q319" s="46">
        <f>P319*'Tier 1 Coefficients'!D$3</f>
        <v>160.84469093206337</v>
      </c>
      <c r="R319" s="46">
        <f>$I319*'T2 L-Cat'!C2</f>
        <v>2.0302264554378464</v>
      </c>
      <c r="S319" s="46">
        <f>$I319*'T2 L-Cat'!D2</f>
        <v>8608.1601710564682</v>
      </c>
      <c r="T319" s="46">
        <f>44.011*(P319/(12.011+1.008*'Tier 3 CO2 Tables'!B$3+16*'Tier 3 CO2 Tables'!C$3))</f>
        <v>160.86898441127798</v>
      </c>
      <c r="U319" s="46">
        <f>I319*'Tier 3 CO2 Tables'!H$16/10000</f>
        <v>2.0708309845466029</v>
      </c>
      <c r="V319" s="46">
        <f>44.011*(U319/(12.011+1.008*'Tier 3 CO2 Tables'!B$6+16*'Tier 3 CO2 Tables'!C$6))</f>
        <v>6.4602826880243995</v>
      </c>
      <c r="W319" s="46">
        <f>I319*'T3 Methane'!D$36</f>
        <v>444619.59374088829</v>
      </c>
      <c r="X319" s="46" cm="1">
        <f t="array" ref="X319">_xlfn.IFS(E319='Euro Age Table'!C$5,'Euro Age Table'!G$5,E319='Euro Age Table'!C$6,'Euro Age Table'!G$6,E319='Euro Age Table'!C$7,'Euro Age Table'!G$7,E319='Euro Age Table'!C$8,'Euro Age Table'!G$8,E319='Euro Age Table'!C$9,'Euro Age Table'!G$9,E319='Euro Age Table'!C$10,'Euro Age Table'!G$10,E319='Euro Age Table'!C$11,'Euro Age Table'!G$11)</f>
        <v>27</v>
      </c>
      <c r="Y319" s="46">
        <f>X319*'Eilat Car Data'!F$10</f>
        <v>202500</v>
      </c>
      <c r="Z319" s="46">
        <f>'T3 N2O PC-Diesel LPG'!B$17</f>
        <v>1</v>
      </c>
      <c r="AA319" s="124">
        <f t="shared" si="18"/>
        <v>2030.2264554378462</v>
      </c>
    </row>
    <row r="320" spans="1:27" ht="12.5">
      <c r="A320" s="56" t="s">
        <v>94</v>
      </c>
      <c r="B320" s="49" t="s">
        <v>20</v>
      </c>
      <c r="C320" s="49" t="s">
        <v>95</v>
      </c>
      <c r="D320" s="49" t="s">
        <v>96</v>
      </c>
      <c r="E320" s="50" t="s">
        <v>55</v>
      </c>
      <c r="F320" s="97">
        <v>1.4125117439336508E-3</v>
      </c>
      <c r="G320" s="99">
        <f t="shared" si="20"/>
        <v>0.89411993391000089</v>
      </c>
      <c r="H320" s="46"/>
      <c r="I320" s="46">
        <f>G320*'Eilat Car Data'!F$10</f>
        <v>6705.899504325007</v>
      </c>
      <c r="J320" s="46">
        <f>I320*'Tier 1 Coefficients'!I$12</f>
        <v>234706.48265137523</v>
      </c>
      <c r="K320" s="46">
        <f t="shared" si="16"/>
        <v>234.70648265137524</v>
      </c>
      <c r="L320" s="46">
        <f>K320*'Tier 1 Coefficients'!D$3</f>
        <v>743.78484352220812</v>
      </c>
      <c r="M320" s="46">
        <f>K320*'Tier 1 Coefficients'!C$23</f>
        <v>12627.208766643987</v>
      </c>
      <c r="N320" s="46">
        <f>K320*'Tier 1 Coefficients'!C$47</f>
        <v>13.847682476431139</v>
      </c>
      <c r="O320" s="46">
        <f>I320*'Tier 2 FC'!D49</f>
        <v>134117.99008650013</v>
      </c>
      <c r="P320" s="46">
        <f t="shared" si="17"/>
        <v>134.11799008650013</v>
      </c>
      <c r="Q320" s="46">
        <f>P320*'Tier 1 Coefficients'!D$3</f>
        <v>425.01991058411892</v>
      </c>
      <c r="R320" s="46">
        <f>$I320*'T2 L-Cat'!C3</f>
        <v>6.7058995043250071</v>
      </c>
      <c r="S320" s="46">
        <f>$I320*'T2 L-Cat'!D3</f>
        <v>23671.825250267273</v>
      </c>
      <c r="T320" s="46">
        <f>44.011*(P320/(12.011+1.008*'Tier 3 CO2 Tables'!B$3+16*'Tier 3 CO2 Tables'!C$3))</f>
        <v>425.08410426252834</v>
      </c>
      <c r="U320" s="46">
        <f>I320*'Tier 3 CO2 Tables'!H$16/10000</f>
        <v>6.840017494411506</v>
      </c>
      <c r="V320" s="46">
        <f>44.011*(U320/(12.011+1.008*'Tier 3 CO2 Tables'!B$6+16*'Tier 3 CO2 Tables'!C$6))</f>
        <v>21.338509484686654</v>
      </c>
      <c r="W320" s="46">
        <f>I320*'T3 Methane'!D$36</f>
        <v>1468591.9914471766</v>
      </c>
      <c r="X320" s="46" cm="1">
        <f t="array" ref="X320">_xlfn.IFS(E320='Euro Age Table'!C$5,'Euro Age Table'!G$5,E320='Euro Age Table'!C$6,'Euro Age Table'!G$6,E320='Euro Age Table'!C$7,'Euro Age Table'!G$7,E320='Euro Age Table'!C$8,'Euro Age Table'!G$8,E320='Euro Age Table'!C$9,'Euro Age Table'!G$9,E320='Euro Age Table'!C$10,'Euro Age Table'!G$10,E320='Euro Age Table'!C$11,'Euro Age Table'!G$11)</f>
        <v>23</v>
      </c>
      <c r="Y320" s="46">
        <f>X320*'Eilat Car Data'!F$10</f>
        <v>172500</v>
      </c>
      <c r="Z320" s="46">
        <f>'T3 N2O PC-Diesel LPG'!B$17</f>
        <v>1</v>
      </c>
      <c r="AA320" s="124">
        <f t="shared" si="18"/>
        <v>6705.899504325007</v>
      </c>
    </row>
    <row r="321" spans="1:27" ht="12.5">
      <c r="A321" s="56" t="s">
        <v>94</v>
      </c>
      <c r="B321" s="49" t="s">
        <v>20</v>
      </c>
      <c r="C321" s="49" t="s">
        <v>95</v>
      </c>
      <c r="D321" s="49" t="s">
        <v>96</v>
      </c>
      <c r="E321" s="50" t="s">
        <v>56</v>
      </c>
      <c r="F321" s="97">
        <v>1.6263323290245245E-3</v>
      </c>
      <c r="G321" s="99">
        <f t="shared" si="20"/>
        <v>1.029468364272524</v>
      </c>
      <c r="H321" s="46"/>
      <c r="I321" s="46">
        <f>G321*'Eilat Car Data'!F$10</f>
        <v>7721.0127320439296</v>
      </c>
      <c r="J321" s="46">
        <f>I321*'Tier 1 Coefficients'!I$12</f>
        <v>270235.44562153751</v>
      </c>
      <c r="K321" s="46">
        <f t="shared" si="16"/>
        <v>270.23544562153751</v>
      </c>
      <c r="L321" s="46">
        <f>K321*'Tier 1 Coefficients'!D$3</f>
        <v>856.37612717465242</v>
      </c>
      <c r="M321" s="46">
        <f>K321*'Tier 1 Coefficients'!C$23</f>
        <v>14538.666974438716</v>
      </c>
      <c r="N321" s="46">
        <f>K321*'Tier 1 Coefficients'!C$47</f>
        <v>15.943891291670711</v>
      </c>
      <c r="O321" s="46">
        <f>I321*'Tier 2 FC'!D50</f>
        <v>154420.25464087859</v>
      </c>
      <c r="P321" s="46">
        <f t="shared" si="17"/>
        <v>154.4202546408786</v>
      </c>
      <c r="Q321" s="46">
        <f>P321*'Tier 1 Coefficients'!D$3</f>
        <v>489.35778695694427</v>
      </c>
      <c r="R321" s="46">
        <f>$I321*'T2 L-Cat'!C4</f>
        <v>7.7210127320439295</v>
      </c>
      <c r="S321" s="46">
        <f>$I321*'T2 L-Cat'!D4</f>
        <v>21850.466031684322</v>
      </c>
      <c r="T321" s="46">
        <f>44.011*(P321/(12.011+1.008*'Tier 3 CO2 Tables'!B$3+16*'Tier 3 CO2 Tables'!C$3))</f>
        <v>489.43169802703954</v>
      </c>
      <c r="U321" s="46">
        <f>I321*'Tier 3 CO2 Tables'!H$16/10000</f>
        <v>7.8754329866848067</v>
      </c>
      <c r="V321" s="46">
        <f>44.011*(U321/(12.011+1.008*'Tier 3 CO2 Tables'!B$6+16*'Tier 3 CO2 Tables'!C$6))</f>
        <v>24.568650828698853</v>
      </c>
      <c r="W321" s="46">
        <f>I321*'T3 Methane'!D$36</f>
        <v>1690901.7883176205</v>
      </c>
      <c r="X321" s="46" cm="1">
        <f t="array" ref="X321">_xlfn.IFS(E321='Euro Age Table'!C$5,'Euro Age Table'!G$5,E321='Euro Age Table'!C$6,'Euro Age Table'!G$6,E321='Euro Age Table'!C$7,'Euro Age Table'!G$7,E321='Euro Age Table'!C$8,'Euro Age Table'!G$8,E321='Euro Age Table'!C$9,'Euro Age Table'!G$9,E321='Euro Age Table'!C$10,'Euro Age Table'!G$10,E321='Euro Age Table'!C$11,'Euro Age Table'!G$11)</f>
        <v>18</v>
      </c>
      <c r="Y321" s="46">
        <f>X321*'Eilat Car Data'!F$10</f>
        <v>135000</v>
      </c>
      <c r="Z321" s="46">
        <f>'T3 N2O PC-Diesel LPG'!B$17</f>
        <v>1</v>
      </c>
      <c r="AA321" s="124">
        <f t="shared" si="18"/>
        <v>7721.0127320439296</v>
      </c>
    </row>
    <row r="322" spans="1:27" ht="12.5">
      <c r="A322" s="57" t="s">
        <v>94</v>
      </c>
      <c r="B322" s="49" t="s">
        <v>20</v>
      </c>
      <c r="C322" s="49" t="s">
        <v>95</v>
      </c>
      <c r="D322" s="51" t="s">
        <v>96</v>
      </c>
      <c r="E322" s="51" t="s">
        <v>57</v>
      </c>
      <c r="F322" s="97">
        <v>0</v>
      </c>
      <c r="G322" s="99">
        <f t="shared" si="20"/>
        <v>0</v>
      </c>
      <c r="H322" s="46"/>
      <c r="I322" s="46">
        <f>G322*'Eilat Car Data'!F$10</f>
        <v>0</v>
      </c>
      <c r="J322" s="46">
        <f>I322*'Tier 1 Coefficients'!I$12</f>
        <v>0</v>
      </c>
      <c r="K322" s="46">
        <f t="shared" si="16"/>
        <v>0</v>
      </c>
      <c r="L322" s="46">
        <f>K322*'Tier 1 Coefficients'!D$3</f>
        <v>0</v>
      </c>
      <c r="M322" s="46">
        <f>K322*'Tier 1 Coefficients'!C$23</f>
        <v>0</v>
      </c>
      <c r="N322" s="46">
        <f>K322*'Tier 1 Coefficients'!C$47</f>
        <v>0</v>
      </c>
      <c r="O322" s="46">
        <f>I322*'Tier 2 FC'!D51</f>
        <v>0</v>
      </c>
      <c r="P322" s="46">
        <f t="shared" si="17"/>
        <v>0</v>
      </c>
      <c r="Q322" s="46">
        <f>P322*'Tier 1 Coefficients'!D$3</f>
        <v>0</v>
      </c>
      <c r="R322" s="46">
        <f>$I322*'T2 L-Cat'!C5</f>
        <v>0</v>
      </c>
      <c r="S322" s="46">
        <f>$I322*'T2 L-Cat'!D5</f>
        <v>0</v>
      </c>
      <c r="T322" s="46">
        <f>44.011*(P322/(12.011+1.008*'Tier 3 CO2 Tables'!B$3+16*'Tier 3 CO2 Tables'!C$3))</f>
        <v>0</v>
      </c>
      <c r="U322" s="46">
        <f>I322*'Tier 3 CO2 Tables'!H$17/10000</f>
        <v>0</v>
      </c>
      <c r="V322" s="46">
        <f>44.011*(U322/(12.011+1.008*'Tier 3 CO2 Tables'!B$6+16*'Tier 3 CO2 Tables'!C$6))</f>
        <v>0</v>
      </c>
      <c r="W322" s="46">
        <f>I322*'T3 Methane'!D$36</f>
        <v>0</v>
      </c>
      <c r="X322" s="46" cm="1">
        <f t="array" ref="X322">_xlfn.IFS(E322='Euro Age Table'!C$5,'Euro Age Table'!G$5,E322='Euro Age Table'!C$6,'Euro Age Table'!G$6,E322='Euro Age Table'!C$7,'Euro Age Table'!G$7,E322='Euro Age Table'!C$8,'Euro Age Table'!G$8,E322='Euro Age Table'!C$9,'Euro Age Table'!G$9,E322='Euro Age Table'!C$10,'Euro Age Table'!G$10,E322='Euro Age Table'!C$11,'Euro Age Table'!G$11)</f>
        <v>16</v>
      </c>
      <c r="Y322" s="46">
        <f>X322*'Eilat Car Data'!F$10</f>
        <v>120000</v>
      </c>
      <c r="Z322" s="46">
        <f>'T3 N2O PC-Diesel LPG'!B$17</f>
        <v>1</v>
      </c>
      <c r="AA322" s="124">
        <f t="shared" si="18"/>
        <v>0</v>
      </c>
    </row>
    <row r="323" spans="1:27" ht="12.5">
      <c r="A323" s="56" t="s">
        <v>10</v>
      </c>
      <c r="B323" s="56" t="s">
        <v>20</v>
      </c>
      <c r="C323" s="49" t="s">
        <v>95</v>
      </c>
      <c r="D323" s="56" t="s">
        <v>97</v>
      </c>
      <c r="E323" s="50" t="s">
        <v>54</v>
      </c>
      <c r="F323" s="97">
        <v>1.3606764505782874E-4</v>
      </c>
      <c r="G323" s="99">
        <f t="shared" si="20"/>
        <v>8.6130819321605587E-2</v>
      </c>
      <c r="H323" s="46"/>
      <c r="I323" s="46">
        <f>G323*'Eilat Car Data'!F$10</f>
        <v>645.98114491204194</v>
      </c>
      <c r="J323" s="46">
        <f>I323*'Tier 1 Coefficients'!I$12</f>
        <v>22609.34007192147</v>
      </c>
      <c r="K323" s="46">
        <f t="shared" si="16"/>
        <v>22.609340071921469</v>
      </c>
      <c r="L323" s="46">
        <f>K323*'Tier 1 Coefficients'!D$3</f>
        <v>71.648998687919132</v>
      </c>
      <c r="M323" s="46">
        <f>K323*'Tier 1 Coefficients'!C$23</f>
        <v>1216.3824958693749</v>
      </c>
      <c r="N323" s="46">
        <f>K323*'Tier 1 Coefficients'!C$47</f>
        <v>1.3339510642433665</v>
      </c>
      <c r="O323" s="46">
        <f>I323*'Tier 2 FC'!D52</f>
        <v>16149.528622801048</v>
      </c>
      <c r="P323" s="46">
        <f t="shared" si="17"/>
        <v>16.14952862280105</v>
      </c>
      <c r="Q323" s="46">
        <f>P323*'Tier 1 Coefficients'!D$3</f>
        <v>51.177856205656525</v>
      </c>
      <c r="R323" s="46">
        <f>I323*'T2 L-Cat'!C6</f>
        <v>0.64598114491204195</v>
      </c>
      <c r="S323" s="46">
        <f>I323*'T2 L-Cat'!D6</f>
        <v>2738.9600544270579</v>
      </c>
      <c r="T323" s="46">
        <f>44.011*(P323/(12.011+1.008*'Tier 3 CO2 Tables'!B$3+16*'Tier 3 CO2 Tables'!C$3))</f>
        <v>51.185585949042988</v>
      </c>
      <c r="U323" s="46">
        <f>I323*'Tier 3 CO2 Tables'!H$16/10000</f>
        <v>0.65890076781028273</v>
      </c>
      <c r="V323" s="46">
        <f>44.011*(U323/(12.011+1.008*'Tier 3 CO2 Tables'!B$6+16*'Tier 3 CO2 Tables'!C$6))</f>
        <v>2.055544491644127</v>
      </c>
      <c r="W323" s="46">
        <f>I323*'T3 Methane'!D$38</f>
        <v>96897.171736806296</v>
      </c>
      <c r="X323" s="46" cm="1">
        <f t="array" ref="X323">_xlfn.IFS(E323='Euro Age Table'!C$5,'Euro Age Table'!G$5,E323='Euro Age Table'!C$6,'Euro Age Table'!G$6,E323='Euro Age Table'!C$7,'Euro Age Table'!G$7,E323='Euro Age Table'!C$8,'Euro Age Table'!G$8,E323='Euro Age Table'!C$9,'Euro Age Table'!G$9,E323='Euro Age Table'!C$10,'Euro Age Table'!G$10,E323='Euro Age Table'!C$11,'Euro Age Table'!G$11)</f>
        <v>27</v>
      </c>
      <c r="Y323" s="46">
        <f>X323*'Eilat Car Data'!F$10</f>
        <v>202500</v>
      </c>
      <c r="Z323" s="46">
        <f>'T3 N2O PC-Diesel LPG'!B$18</f>
        <v>2</v>
      </c>
      <c r="AA323" s="124">
        <f t="shared" si="18"/>
        <v>1291.9622898240839</v>
      </c>
    </row>
    <row r="324" spans="1:27" ht="12.5">
      <c r="A324" s="56" t="s">
        <v>10</v>
      </c>
      <c r="B324" s="56" t="s">
        <v>20</v>
      </c>
      <c r="C324" s="49" t="s">
        <v>95</v>
      </c>
      <c r="D324" s="56" t="s">
        <v>97</v>
      </c>
      <c r="E324" s="50" t="s">
        <v>55</v>
      </c>
      <c r="F324" s="97">
        <v>1.4902646839666959E-4</v>
      </c>
      <c r="G324" s="99">
        <f t="shared" si="20"/>
        <v>9.4333754495091848E-2</v>
      </c>
      <c r="H324" s="46"/>
      <c r="I324" s="46">
        <f>G324*'Eilat Car Data'!F$10</f>
        <v>707.5031587131889</v>
      </c>
      <c r="J324" s="46">
        <f>I324*'Tier 1 Coefficients'!I$12</f>
        <v>24762.610554961611</v>
      </c>
      <c r="K324" s="46">
        <f t="shared" ref="K324:K348" si="21">J324/1000</f>
        <v>24.762610554961611</v>
      </c>
      <c r="L324" s="46">
        <f>K324*'Tier 1 Coefficients'!D$3</f>
        <v>78.472712848673353</v>
      </c>
      <c r="M324" s="46">
        <f>K324*'Tier 1 Coefficients'!C$23</f>
        <v>1332.2284478569345</v>
      </c>
      <c r="N324" s="46">
        <f>K324*'Tier 1 Coefficients'!C$47</f>
        <v>1.4609940227427349</v>
      </c>
      <c r="O324" s="46">
        <f>I324*'Tier 2 FC'!D53</f>
        <v>14150.063174263778</v>
      </c>
      <c r="P324" s="46">
        <f t="shared" ref="P324:P348" si="22">O324/1000</f>
        <v>14.150063174263778</v>
      </c>
      <c r="Q324" s="46">
        <f>P324*'Tier 1 Coefficients'!D$3</f>
        <v>44.841550199241915</v>
      </c>
      <c r="R324" s="46">
        <f>I324*'T2 L-Cat'!C7</f>
        <v>0.70750315871318892</v>
      </c>
      <c r="S324" s="46">
        <f>I324*'T2 L-Cat'!D7</f>
        <v>2497.4861502575568</v>
      </c>
      <c r="T324" s="46">
        <f>44.011*(P324/(12.011+1.008*'Tier 3 CO2 Tables'!B$3+16*'Tier 3 CO2 Tables'!C$3))</f>
        <v>44.848322926780526</v>
      </c>
      <c r="U324" s="46">
        <f>I324*'Tier 3 CO2 Tables'!H$16/10000</f>
        <v>0.72165322188745262</v>
      </c>
      <c r="V324" s="46">
        <f>44.011*(U324/(12.011+1.008*'Tier 3 CO2 Tables'!B$6+16*'Tier 3 CO2 Tables'!C$6))</f>
        <v>2.2513106337054731</v>
      </c>
      <c r="W324" s="46">
        <f>I324*'T3 Methane'!D$38</f>
        <v>106125.47380697833</v>
      </c>
      <c r="X324" s="46" cm="1">
        <f t="array" ref="X324">_xlfn.IFS(E324='Euro Age Table'!C$5,'Euro Age Table'!G$5,E324='Euro Age Table'!C$6,'Euro Age Table'!G$6,E324='Euro Age Table'!C$7,'Euro Age Table'!G$7,E324='Euro Age Table'!C$8,'Euro Age Table'!G$8,E324='Euro Age Table'!C$9,'Euro Age Table'!G$9,E324='Euro Age Table'!C$10,'Euro Age Table'!G$10,E324='Euro Age Table'!C$11,'Euro Age Table'!G$11)</f>
        <v>23</v>
      </c>
      <c r="Y324" s="46">
        <f>X324*'Eilat Car Data'!F$10</f>
        <v>172500</v>
      </c>
      <c r="Z324" s="46">
        <f>'T3 N2O PC-Diesel LPG'!B$18</f>
        <v>2</v>
      </c>
      <c r="AA324" s="124">
        <f t="shared" ref="AA324:AA348" si="23">Z324*I324</f>
        <v>1415.0063174263778</v>
      </c>
    </row>
    <row r="325" spans="1:27" ht="12.5">
      <c r="A325" s="56" t="s">
        <v>10</v>
      </c>
      <c r="B325" s="56" t="s">
        <v>20</v>
      </c>
      <c r="C325" s="49" t="s">
        <v>95</v>
      </c>
      <c r="D325" s="56" t="s">
        <v>97</v>
      </c>
      <c r="E325" s="50" t="s">
        <v>56</v>
      </c>
      <c r="F325" s="97">
        <v>1.5161823306443776E-3</v>
      </c>
      <c r="G325" s="99">
        <f t="shared" si="20"/>
        <v>0.95974341529789098</v>
      </c>
      <c r="H325" s="46"/>
      <c r="I325" s="46">
        <f>G325*'Eilat Car Data'!F$10</f>
        <v>7198.0756147341826</v>
      </c>
      <c r="J325" s="46">
        <f>I325*'Tier 1 Coefficients'!I$12</f>
        <v>251932.6465156964</v>
      </c>
      <c r="K325" s="46">
        <f t="shared" si="21"/>
        <v>251.9326465156964</v>
      </c>
      <c r="L325" s="46">
        <f>K325*'Tier 1 Coefficients'!D$3</f>
        <v>798.37455680824189</v>
      </c>
      <c r="M325" s="46">
        <f>K325*'Tier 1 Coefficients'!C$23</f>
        <v>13553.976382544466</v>
      </c>
      <c r="N325" s="46">
        <f>K325*'Tier 1 Coefficients'!C$47</f>
        <v>14.864026144426088</v>
      </c>
      <c r="O325" s="46">
        <f>I325*'Tier 2 FC'!D54</f>
        <v>143961.51229468366</v>
      </c>
      <c r="P325" s="46">
        <f t="shared" si="22"/>
        <v>143.96151229468367</v>
      </c>
      <c r="Q325" s="46">
        <f>P325*'Tier 1 Coefficients'!D$3</f>
        <v>456.21403246185258</v>
      </c>
      <c r="R325" s="46">
        <f>I325*'T2 L-Cat'!C8</f>
        <v>7.1980756147341829</v>
      </c>
      <c r="S325" s="46">
        <f>I325*'T2 L-Cat'!D8</f>
        <v>20370.553989697739</v>
      </c>
      <c r="T325" s="46">
        <f>44.011*(P325/(12.011+1.008*'Tier 3 CO2 Tables'!B$3+16*'Tier 3 CO2 Tables'!C$3))</f>
        <v>456.28293760289762</v>
      </c>
      <c r="U325" s="46">
        <f>I325*'Tier 3 CO2 Tables'!H$16/10000</f>
        <v>7.3420371270288651</v>
      </c>
      <c r="V325" s="46">
        <f>44.011*(U325/(12.011+1.008*'Tier 3 CO2 Tables'!B$6+16*'Tier 3 CO2 Tables'!C$6))</f>
        <v>22.904638621177419</v>
      </c>
      <c r="W325" s="46">
        <f>I325*'T3 Methane'!D$38</f>
        <v>1079711.3422101275</v>
      </c>
      <c r="X325" s="46" cm="1">
        <f t="array" ref="X325">_xlfn.IFS(E325='Euro Age Table'!C$5,'Euro Age Table'!G$5,E325='Euro Age Table'!C$6,'Euro Age Table'!G$6,E325='Euro Age Table'!C$7,'Euro Age Table'!G$7,E325='Euro Age Table'!C$8,'Euro Age Table'!G$8,E325='Euro Age Table'!C$9,'Euro Age Table'!G$9,E325='Euro Age Table'!C$10,'Euro Age Table'!G$10,E325='Euro Age Table'!C$11,'Euro Age Table'!G$11)</f>
        <v>18</v>
      </c>
      <c r="Y325" s="46">
        <f>X325*'Eilat Car Data'!F$10</f>
        <v>135000</v>
      </c>
      <c r="Z325" s="46">
        <f>'T3 N2O PC-Diesel LPG'!B$18</f>
        <v>2</v>
      </c>
      <c r="AA325" s="124">
        <f t="shared" si="23"/>
        <v>14396.151229468365</v>
      </c>
    </row>
    <row r="326" spans="1:27" ht="12.5">
      <c r="A326" s="56" t="s">
        <v>10</v>
      </c>
      <c r="B326" s="56" t="s">
        <v>20</v>
      </c>
      <c r="C326" s="49" t="s">
        <v>95</v>
      </c>
      <c r="D326" s="57" t="s">
        <v>97</v>
      </c>
      <c r="E326" s="50" t="s">
        <v>57</v>
      </c>
      <c r="F326" s="97">
        <v>0.32481938639971492</v>
      </c>
      <c r="G326" s="99">
        <f t="shared" ref="G326:G348" si="24">F326*$G$318</f>
        <v>549.26958240191789</v>
      </c>
      <c r="H326" s="46"/>
      <c r="I326" s="46">
        <f>G326*'Eilat Car Data'!F$10</f>
        <v>4119521.8680143841</v>
      </c>
      <c r="J326" s="46">
        <f>I326*'Tier 1 Coefficients'!I$12</f>
        <v>144183265.38050345</v>
      </c>
      <c r="K326" s="46">
        <f t="shared" si="21"/>
        <v>144183.26538050344</v>
      </c>
      <c r="L326" s="46">
        <f>K326*'Tier 1 Coefficients'!D$3</f>
        <v>456916.7679908154</v>
      </c>
      <c r="M326" s="46">
        <f>K326*'Tier 1 Coefficients'!C$23</f>
        <v>7757059.6774710845</v>
      </c>
      <c r="N326" s="46">
        <f>K326*'Tier 1 Coefficients'!C$47</f>
        <v>8506.8126574497019</v>
      </c>
      <c r="O326" s="46">
        <f>I326*'Tier 2 FC'!D55</f>
        <v>82390437.360287681</v>
      </c>
      <c r="P326" s="46">
        <f t="shared" si="22"/>
        <v>82390.437360287688</v>
      </c>
      <c r="Q326" s="46">
        <f>P326*'Tier 1 Coefficients'!D$3</f>
        <v>261095.29599475168</v>
      </c>
      <c r="R326" s="46">
        <f>I326*'T2 L-Cat'!C9</f>
        <v>4119.5218680143844</v>
      </c>
      <c r="S326" s="46">
        <f>I326*'T2 L-Cat'!D9</f>
        <v>8733386.360190494</v>
      </c>
      <c r="T326" s="46">
        <f>44.011*(P326/(12.011+1.008*'Tier 3 CO2 Tables'!B$3+16*'Tier 3 CO2 Tables'!C$3))</f>
        <v>261134.73101190716</v>
      </c>
      <c r="U326" s="46">
        <f>I326*'Tier 3 CO2 Tables'!H$17/10000</f>
        <v>2801.2748702497811</v>
      </c>
      <c r="V326" s="46">
        <f>44.011*(U326/(12.011+1.008*'Tier 3 CO2 Tables'!B$6+16*'Tier 3 CO2 Tables'!C$6))</f>
        <v>8739.0171789585729</v>
      </c>
      <c r="W326" s="46">
        <f>I326*'T3 Methane'!D$38</f>
        <v>617928280.20215762</v>
      </c>
      <c r="X326" s="46" cm="1">
        <f t="array" ref="X326">_xlfn.IFS(E326='Euro Age Table'!C$5,'Euro Age Table'!G$5,E326='Euro Age Table'!C$6,'Euro Age Table'!G$6,E326='Euro Age Table'!C$7,'Euro Age Table'!G$7,E326='Euro Age Table'!C$8,'Euro Age Table'!G$8,E326='Euro Age Table'!C$9,'Euro Age Table'!G$9,E326='Euro Age Table'!C$10,'Euro Age Table'!G$10,E326='Euro Age Table'!C$11,'Euro Age Table'!G$11)</f>
        <v>16</v>
      </c>
      <c r="Y326" s="46">
        <f>X326*'Eilat Car Data'!F$10</f>
        <v>120000</v>
      </c>
      <c r="Z326" s="46">
        <f>'T3 N2O PC-Diesel LPG'!B$18</f>
        <v>2</v>
      </c>
      <c r="AA326" s="124">
        <f t="shared" si="23"/>
        <v>8239043.7360287681</v>
      </c>
    </row>
    <row r="327" spans="1:27" ht="12.5">
      <c r="A327" s="56" t="s">
        <v>10</v>
      </c>
      <c r="B327" s="56" t="s">
        <v>20</v>
      </c>
      <c r="C327" s="49" t="s">
        <v>95</v>
      </c>
      <c r="D327" s="49" t="s">
        <v>96</v>
      </c>
      <c r="E327" s="50" t="s">
        <v>54</v>
      </c>
      <c r="F327" s="97">
        <v>1.8336735024459779E-3</v>
      </c>
      <c r="G327" s="99">
        <f t="shared" si="24"/>
        <v>3.1007418926361487</v>
      </c>
      <c r="H327" s="46"/>
      <c r="I327" s="46">
        <f>G327*'Eilat Car Data'!F$10</f>
        <v>23255.564194771116</v>
      </c>
      <c r="J327" s="46">
        <f>I327*'Tier 1 Coefficients'!I$12</f>
        <v>813944.74681698903</v>
      </c>
      <c r="K327" s="46">
        <f t="shared" si="21"/>
        <v>813.94474681698898</v>
      </c>
      <c r="L327" s="46">
        <f>K327*'Tier 1 Coefficients'!D$3</f>
        <v>2579.3909026630381</v>
      </c>
      <c r="M327" s="46">
        <f>K327*'Tier 1 Coefficients'!C$23</f>
        <v>43790.227378754003</v>
      </c>
      <c r="N327" s="46">
        <f>K327*'Tier 1 Coefficients'!C$47</f>
        <v>48.022740062202345</v>
      </c>
      <c r="O327" s="46">
        <f>I327*'Tier 2 FC'!D52</f>
        <v>581389.10486927791</v>
      </c>
      <c r="P327" s="46">
        <f t="shared" si="22"/>
        <v>581.38910486927796</v>
      </c>
      <c r="Q327" s="46">
        <f>P327*'Tier 1 Coefficients'!D$3</f>
        <v>1842.4220733307418</v>
      </c>
      <c r="R327" s="46">
        <f>$I327*'T2 L-Cat'!C10</f>
        <v>46.511128389542229</v>
      </c>
      <c r="S327" s="46">
        <f>$I327*'T2 L-Cat'!D10</f>
        <v>98603.592185829533</v>
      </c>
      <c r="T327" s="46">
        <f>44.011*(P327/(12.011+1.008*'Tier 3 CO2 Tables'!B$3+16*'Tier 3 CO2 Tables'!C$3))</f>
        <v>1842.7003470001032</v>
      </c>
      <c r="U327" s="46">
        <f>I327*'Tier 3 CO2 Tables'!H$16/10000</f>
        <v>23.720675478666539</v>
      </c>
      <c r="V327" s="46">
        <f>44.011*(U327/(12.011+1.008*'Tier 3 CO2 Tables'!B$6+16*'Tier 3 CO2 Tables'!C$6))</f>
        <v>74.000374867206219</v>
      </c>
      <c r="W327" s="46">
        <f>I327*'T3 Methane'!D$36</f>
        <v>5092968.5586548746</v>
      </c>
      <c r="X327" s="46" cm="1">
        <f t="array" ref="X327">_xlfn.IFS(E327='Euro Age Table'!C$5,'Euro Age Table'!G$5,E327='Euro Age Table'!C$6,'Euro Age Table'!G$6,E327='Euro Age Table'!C$7,'Euro Age Table'!G$7,E327='Euro Age Table'!C$8,'Euro Age Table'!G$8,E327='Euro Age Table'!C$9,'Euro Age Table'!G$9,E327='Euro Age Table'!C$10,'Euro Age Table'!G$10,E327='Euro Age Table'!C$11,'Euro Age Table'!G$11)</f>
        <v>27</v>
      </c>
      <c r="Y327" s="46">
        <f>X327*'Eilat Car Data'!F$10</f>
        <v>202500</v>
      </c>
      <c r="Z327" s="46">
        <f>'T3 N2O PC-Diesel LPG'!B$17</f>
        <v>1</v>
      </c>
      <c r="AA327" s="124">
        <f t="shared" si="23"/>
        <v>23255.564194771116</v>
      </c>
    </row>
    <row r="328" spans="1:27" ht="12.5">
      <c r="A328" s="56" t="s">
        <v>10</v>
      </c>
      <c r="B328" s="56" t="s">
        <v>20</v>
      </c>
      <c r="C328" s="49" t="s">
        <v>95</v>
      </c>
      <c r="D328" s="49" t="s">
        <v>96</v>
      </c>
      <c r="E328" s="50" t="s">
        <v>55</v>
      </c>
      <c r="F328" s="97">
        <v>1.4837852722972755E-3</v>
      </c>
      <c r="G328" s="99">
        <f t="shared" si="24"/>
        <v>2.509080895454693</v>
      </c>
      <c r="H328" s="46"/>
      <c r="I328" s="46">
        <f>G328*'Eilat Car Data'!F$10</f>
        <v>18818.106715910199</v>
      </c>
      <c r="J328" s="46">
        <f>I328*'Tier 1 Coefficients'!I$12</f>
        <v>658633.735056857</v>
      </c>
      <c r="K328" s="46">
        <f t="shared" si="21"/>
        <v>658.63373505685695</v>
      </c>
      <c r="L328" s="46">
        <f>K328*'Tier 1 Coefficients'!D$3</f>
        <v>2087.2103063951795</v>
      </c>
      <c r="M328" s="46">
        <f>K328*'Tier 1 Coefficients'!C$23</f>
        <v>35434.494946058905</v>
      </c>
      <c r="N328" s="46">
        <f>K328*'Tier 1 Coefficients'!C$47</f>
        <v>38.859390368354561</v>
      </c>
      <c r="O328" s="46">
        <f>I328*'Tier 2 FC'!D53</f>
        <v>376362.13431820396</v>
      </c>
      <c r="P328" s="46">
        <f t="shared" si="22"/>
        <v>376.36213431820397</v>
      </c>
      <c r="Q328" s="46">
        <f>P328*'Tier 1 Coefficients'!D$3</f>
        <v>1192.6916036543885</v>
      </c>
      <c r="R328" s="46">
        <f>$I328*'T2 L-Cat'!C11</f>
        <v>37.636213431820401</v>
      </c>
      <c r="S328" s="46">
        <f>$I328*'T2 L-Cat'!D11</f>
        <v>66427.916707162993</v>
      </c>
      <c r="T328" s="46">
        <f>44.011*(P328/(12.011+1.008*'Tier 3 CO2 Tables'!B$3+16*'Tier 3 CO2 Tables'!C$3))</f>
        <v>1192.8717440650846</v>
      </c>
      <c r="U328" s="46">
        <f>I328*'Tier 3 CO2 Tables'!H$16/10000</f>
        <v>19.1944688502284</v>
      </c>
      <c r="V328" s="46">
        <f>44.011*(U328/(12.011+1.008*'Tier 3 CO2 Tables'!B$6+16*'Tier 3 CO2 Tables'!C$6))</f>
        <v>59.880161995018454</v>
      </c>
      <c r="W328" s="46">
        <f>I328*'T3 Methane'!D$36</f>
        <v>4121165.3707843334</v>
      </c>
      <c r="X328" s="46" cm="1">
        <f t="array" ref="X328">_xlfn.IFS(E328='Euro Age Table'!C$5,'Euro Age Table'!G$5,E328='Euro Age Table'!C$6,'Euro Age Table'!G$6,E328='Euro Age Table'!C$7,'Euro Age Table'!G$7,E328='Euro Age Table'!C$8,'Euro Age Table'!G$8,E328='Euro Age Table'!C$9,'Euro Age Table'!G$9,E328='Euro Age Table'!C$10,'Euro Age Table'!G$10,E328='Euro Age Table'!C$11,'Euro Age Table'!G$11)</f>
        <v>23</v>
      </c>
      <c r="Y328" s="46">
        <f>X328*'Eilat Car Data'!F$10</f>
        <v>172500</v>
      </c>
      <c r="Z328" s="46">
        <f>'T3 N2O PC-Diesel LPG'!B$17</f>
        <v>1</v>
      </c>
      <c r="AA328" s="124">
        <f t="shared" si="23"/>
        <v>18818.106715910199</v>
      </c>
    </row>
    <row r="329" spans="1:27" ht="12.5">
      <c r="A329" s="56" t="s">
        <v>10</v>
      </c>
      <c r="B329" s="56" t="s">
        <v>20</v>
      </c>
      <c r="C329" s="49" t="s">
        <v>95</v>
      </c>
      <c r="D329" s="49" t="s">
        <v>96</v>
      </c>
      <c r="E329" s="50" t="s">
        <v>56</v>
      </c>
      <c r="F329" s="97">
        <v>7.6457057699160912E-4</v>
      </c>
      <c r="G329" s="99">
        <f t="shared" si="24"/>
        <v>1.2928888456928109</v>
      </c>
      <c r="H329" s="46"/>
      <c r="I329" s="46">
        <f>G329*'Eilat Car Data'!F$10</f>
        <v>9696.6663426960822</v>
      </c>
      <c r="J329" s="46">
        <f>I329*'Tier 1 Coefficients'!I$12</f>
        <v>339383.32199436286</v>
      </c>
      <c r="K329" s="46">
        <f t="shared" si="21"/>
        <v>339.38332199436286</v>
      </c>
      <c r="L329" s="46">
        <f>K329*'Tier 1 Coefficients'!D$3</f>
        <v>1075.505747400136</v>
      </c>
      <c r="M329" s="46">
        <f>K329*'Tier 1 Coefficients'!C$23</f>
        <v>18258.822723296722</v>
      </c>
      <c r="N329" s="46">
        <f>K329*'Tier 1 Coefficients'!C$47</f>
        <v>20.023615997667406</v>
      </c>
      <c r="O329" s="46">
        <f>I329*'Tier 2 FC'!D54</f>
        <v>193933.32685392164</v>
      </c>
      <c r="P329" s="46">
        <f t="shared" si="22"/>
        <v>193.93332685392164</v>
      </c>
      <c r="Q329" s="46">
        <f>P329*'Tier 1 Coefficients'!D$3</f>
        <v>614.57471280007769</v>
      </c>
      <c r="R329" s="46">
        <f>$I329*'T2 L-Cat'!C12</f>
        <v>19.393332685392163</v>
      </c>
      <c r="S329" s="46">
        <f>$I329*'T2 L-Cat'!D12</f>
        <v>27441.565749829915</v>
      </c>
      <c r="T329" s="46">
        <f>44.011*(P329/(12.011+1.008*'Tier 3 CO2 Tables'!B$3+16*'Tier 3 CO2 Tables'!C$3))</f>
        <v>614.66753624314379</v>
      </c>
      <c r="U329" s="46">
        <f>I329*'Tier 3 CO2 Tables'!H$16/10000</f>
        <v>9.8905996695500029</v>
      </c>
      <c r="V329" s="46">
        <f>44.011*(U329/(12.011+1.008*'Tier 3 CO2 Tables'!B$6+16*'Tier 3 CO2 Tables'!C$6))</f>
        <v>30.855279979965836</v>
      </c>
      <c r="W329" s="46">
        <f>I329*'T3 Methane'!D$36</f>
        <v>2123569.9290504418</v>
      </c>
      <c r="X329" s="46" cm="1">
        <f t="array" ref="X329">_xlfn.IFS(E329='Euro Age Table'!C$5,'Euro Age Table'!G$5,E329='Euro Age Table'!C$6,'Euro Age Table'!G$6,E329='Euro Age Table'!C$7,'Euro Age Table'!G$7,E329='Euro Age Table'!C$8,'Euro Age Table'!G$8,E329='Euro Age Table'!C$9,'Euro Age Table'!G$9,E329='Euro Age Table'!C$10,'Euro Age Table'!G$10,E329='Euro Age Table'!C$11,'Euro Age Table'!G$11)</f>
        <v>18</v>
      </c>
      <c r="Y329" s="46">
        <f>X329*'Eilat Car Data'!F$10</f>
        <v>135000</v>
      </c>
      <c r="Z329" s="46">
        <f>'T3 N2O PC-Diesel LPG'!B$17</f>
        <v>1</v>
      </c>
      <c r="AA329" s="124">
        <f t="shared" si="23"/>
        <v>9696.6663426960822</v>
      </c>
    </row>
    <row r="330" spans="1:27" ht="12.5">
      <c r="A330" s="56" t="s">
        <v>10</v>
      </c>
      <c r="B330" s="56" t="s">
        <v>20</v>
      </c>
      <c r="C330" s="51" t="s">
        <v>95</v>
      </c>
      <c r="D330" s="51" t="s">
        <v>96</v>
      </c>
      <c r="E330" s="50" t="s">
        <v>57</v>
      </c>
      <c r="F330" s="97">
        <v>9.2007645705769912E-4</v>
      </c>
      <c r="G330" s="99">
        <f t="shared" si="24"/>
        <v>1.5558492888845692</v>
      </c>
      <c r="H330" s="46"/>
      <c r="I330" s="46">
        <f>G330*'Eilat Car Data'!F$10</f>
        <v>11668.869666634269</v>
      </c>
      <c r="J330" s="46">
        <f>I330*'Tier 1 Coefficients'!I$12</f>
        <v>408410.43833219941</v>
      </c>
      <c r="K330" s="46">
        <f t="shared" si="21"/>
        <v>408.41043833219942</v>
      </c>
      <c r="L330" s="46">
        <f>K330*'Tier 1 Coefficients'!D$3</f>
        <v>1294.2526790747399</v>
      </c>
      <c r="M330" s="46">
        <f>K330*'Tier 1 Coefficients'!C$23</f>
        <v>21972.481582272329</v>
      </c>
      <c r="N330" s="46">
        <f>K330*'Tier 1 Coefficients'!C$47</f>
        <v>24.096215861599763</v>
      </c>
      <c r="O330" s="46">
        <f>I330*'Tier 2 FC'!D55</f>
        <v>233377.3933326854</v>
      </c>
      <c r="P330" s="46">
        <f t="shared" si="22"/>
        <v>233.37739333268541</v>
      </c>
      <c r="Q330" s="46">
        <f>P330*'Tier 1 Coefficients'!D$3</f>
        <v>739.57295947128011</v>
      </c>
      <c r="R330" s="46">
        <f>$I330*'T2 L-Cat'!C13</f>
        <v>23.337739333268541</v>
      </c>
      <c r="S330" s="46">
        <f>$I330*'T2 L-Cat'!D13</f>
        <v>24738.003693264651</v>
      </c>
      <c r="T330" s="46">
        <f>44.011*(P330/(12.011+1.008*'Tier 3 CO2 Tables'!B$3+16*'Tier 3 CO2 Tables'!C$3))</f>
        <v>739.68466225869872</v>
      </c>
      <c r="U330" s="46">
        <f>I330*'Tier 3 CO2 Tables'!H$17/10000</f>
        <v>7.9348313733113027</v>
      </c>
      <c r="V330" s="46">
        <f>44.011*(U330/(12.011+1.008*'Tier 3 CO2 Tables'!B$6+16*'Tier 3 CO2 Tables'!C$6))</f>
        <v>24.753953430255077</v>
      </c>
      <c r="W330" s="46">
        <f>I330*'T3 Methane'!D$36</f>
        <v>2555482.4569929051</v>
      </c>
      <c r="X330" s="46" cm="1">
        <f t="array" ref="X330">_xlfn.IFS(E330='Euro Age Table'!C$5,'Euro Age Table'!G$5,E330='Euro Age Table'!C$6,'Euro Age Table'!G$6,E330='Euro Age Table'!C$7,'Euro Age Table'!G$7,E330='Euro Age Table'!C$8,'Euro Age Table'!G$8,E330='Euro Age Table'!C$9,'Euro Age Table'!G$9,E330='Euro Age Table'!C$10,'Euro Age Table'!G$10,E330='Euro Age Table'!C$11,'Euro Age Table'!G$11)</f>
        <v>16</v>
      </c>
      <c r="Y330" s="46">
        <f>X330*'Eilat Car Data'!F$10</f>
        <v>120000</v>
      </c>
      <c r="Z330" s="46">
        <f>'T3 N2O PC-Diesel LPG'!B$17</f>
        <v>1</v>
      </c>
      <c r="AA330" s="124">
        <f t="shared" si="23"/>
        <v>11668.869666634269</v>
      </c>
    </row>
    <row r="331" spans="1:27" ht="12.5">
      <c r="A331" s="56" t="s">
        <v>10</v>
      </c>
      <c r="B331" s="56" t="s">
        <v>20</v>
      </c>
      <c r="C331" s="56" t="s">
        <v>98</v>
      </c>
      <c r="D331" s="51" t="s">
        <v>96</v>
      </c>
      <c r="E331" s="50" t="s">
        <v>57</v>
      </c>
      <c r="F331" s="97">
        <v>1.943823500826125E-5</v>
      </c>
      <c r="G331" s="99">
        <f t="shared" si="24"/>
        <v>3.2870055398969776E-2</v>
      </c>
      <c r="H331" s="46"/>
      <c r="I331" s="46">
        <f>G331*'Eilat Car Data'!F$10</f>
        <v>246.52541549227331</v>
      </c>
      <c r="J331" s="46">
        <f>I331*'Tier 1 Coefficients'!I$12</f>
        <v>8628.3895422295664</v>
      </c>
      <c r="K331" s="46">
        <f t="shared" si="21"/>
        <v>8.6283895422295664</v>
      </c>
      <c r="L331" s="46">
        <f>K331*'Tier 1 Coefficients'!D$3</f>
        <v>27.343366459325498</v>
      </c>
      <c r="M331" s="46">
        <f>K331*'Tier 1 Coefficients'!C$23</f>
        <v>464.20735737195065</v>
      </c>
      <c r="N331" s="46">
        <f>K331*'Tier 1 Coefficients'!C$47</f>
        <v>0.50907498299154441</v>
      </c>
      <c r="O331" s="46">
        <f>I331*'Tier 2 FC'!D55</f>
        <v>4930.5083098454661</v>
      </c>
      <c r="P331" s="46">
        <f t="shared" si="22"/>
        <v>4.9305083098454663</v>
      </c>
      <c r="Q331" s="46">
        <f>P331*'Tier 1 Coefficients'!D$3</f>
        <v>15.624780833900283</v>
      </c>
      <c r="R331" s="46">
        <f>$I331*'T2 L-Cat'!C13</f>
        <v>0.49305083098454661</v>
      </c>
      <c r="S331" s="46">
        <f>$I331*'T2 L-Cat'!D13</f>
        <v>522.63388084361941</v>
      </c>
      <c r="T331" s="46">
        <f>44.011*(P331/(12.011+1.008*'Tier 3 CO2 Tables'!B$3+16*'Tier 3 CO2 Tables'!C$3))</f>
        <v>15.627140751944337</v>
      </c>
      <c r="U331" s="46">
        <f>I331*'Tier 3 CO2 Tables'!H$16/10000</f>
        <v>0.25145592380211873</v>
      </c>
      <c r="V331" s="46">
        <f>44.011*(U331/(12.011+1.008*'Tier 3 CO2 Tables'!B$6+16*'Tier 3 CO2 Tables'!C$6))</f>
        <v>0.78445627067709756</v>
      </c>
      <c r="W331" s="46">
        <f>I331*'T3 Methane'!D$36</f>
        <v>53989.065992807853</v>
      </c>
      <c r="X331" s="46" cm="1">
        <f t="array" ref="X331">_xlfn.IFS(E331='Euro Age Table'!C$5,'Euro Age Table'!G$5,E331='Euro Age Table'!C$6,'Euro Age Table'!G$6,E331='Euro Age Table'!C$7,'Euro Age Table'!G$7,E331='Euro Age Table'!C$8,'Euro Age Table'!G$8,E331='Euro Age Table'!C$9,'Euro Age Table'!G$9,E331='Euro Age Table'!C$10,'Euro Age Table'!G$10,E331='Euro Age Table'!C$11,'Euro Age Table'!G$11)</f>
        <v>16</v>
      </c>
      <c r="Y331" s="46">
        <f>X331*'Eilat Car Data'!F$10</f>
        <v>120000</v>
      </c>
      <c r="Z331" s="46">
        <f>'T3 N2O PC-Diesel LPG'!B$17</f>
        <v>1</v>
      </c>
      <c r="AA331" s="124">
        <f t="shared" si="23"/>
        <v>246.52541549227331</v>
      </c>
    </row>
    <row r="332" spans="1:27" ht="12.5">
      <c r="A332" s="56" t="s">
        <v>10</v>
      </c>
      <c r="B332" s="56" t="s">
        <v>20</v>
      </c>
      <c r="C332" s="56" t="s">
        <v>98</v>
      </c>
      <c r="D332" s="56" t="s">
        <v>97</v>
      </c>
      <c r="E332" s="50" t="s">
        <v>54</v>
      </c>
      <c r="F332" s="97">
        <v>2.33258820099135E-4</v>
      </c>
      <c r="G332" s="99">
        <f t="shared" si="24"/>
        <v>0.39444066478763729</v>
      </c>
      <c r="H332" s="46"/>
      <c r="I332" s="46">
        <f>G332*'Eilat Car Data'!F$10</f>
        <v>2958.3049859072798</v>
      </c>
      <c r="J332" s="46">
        <f>I332*'Tier 1 Coefficients'!I$12</f>
        <v>103540.67450675479</v>
      </c>
      <c r="K332" s="46">
        <f t="shared" si="21"/>
        <v>103.54067450675478</v>
      </c>
      <c r="L332" s="46">
        <f>K332*'Tier 1 Coefficients'!D$3</f>
        <v>328.12039751190594</v>
      </c>
      <c r="M332" s="46">
        <f>K332*'Tier 1 Coefficients'!C$23</f>
        <v>5570.4882884634071</v>
      </c>
      <c r="N332" s="46">
        <f>K332*'Tier 1 Coefficients'!C$47</f>
        <v>6.108899795898532</v>
      </c>
      <c r="O332" s="46">
        <f>I332*'Tier 2 FC'!D56</f>
        <v>97624.064534940233</v>
      </c>
      <c r="P332" s="46">
        <f t="shared" si="22"/>
        <v>97.624064534940231</v>
      </c>
      <c r="Q332" s="46">
        <f>P332*'Tier 1 Coefficients'!D$3</f>
        <v>309.37066051122559</v>
      </c>
      <c r="R332" s="46">
        <f>$I332*'T2 L-Cat'!C10</f>
        <v>5.9166099718145597</v>
      </c>
      <c r="S332" s="46">
        <f>$I332*'T2 L-Cat'!D10</f>
        <v>12543.213140246868</v>
      </c>
      <c r="T332" s="46">
        <f>44.011*(P332/(12.011+1.008*'Tier 3 CO2 Tables'!B$3+16*'Tier 3 CO2 Tables'!C$3))</f>
        <v>309.41738688849784</v>
      </c>
      <c r="U332" s="46">
        <f>I332*'Tier 3 CO2 Tables'!H$16/10000</f>
        <v>3.0174710856254254</v>
      </c>
      <c r="V332" s="46">
        <f>44.011*(U332/(12.011+1.008*'Tier 3 CO2 Tables'!B$6+16*'Tier 3 CO2 Tables'!C$6))</f>
        <v>9.413475248125172</v>
      </c>
      <c r="W332" s="46">
        <f>I332*'T3 Methane'!D$38</f>
        <v>443745.74788609199</v>
      </c>
      <c r="X332" s="46" cm="1">
        <f t="array" ref="X332">_xlfn.IFS(E332='Euro Age Table'!C$5,'Euro Age Table'!G$5,E332='Euro Age Table'!C$6,'Euro Age Table'!G$6,E332='Euro Age Table'!C$7,'Euro Age Table'!G$7,E332='Euro Age Table'!C$8,'Euro Age Table'!G$8,E332='Euro Age Table'!C$9,'Euro Age Table'!G$9,E332='Euro Age Table'!C$10,'Euro Age Table'!G$10,E332='Euro Age Table'!C$11,'Euro Age Table'!G$11)</f>
        <v>27</v>
      </c>
      <c r="Y332" s="46">
        <f>X332*'Eilat Car Data'!F$10</f>
        <v>202500</v>
      </c>
      <c r="Z332" s="46">
        <f>'T3 N2O PC-Diesel LPG'!B$18</f>
        <v>2</v>
      </c>
      <c r="AA332" s="124">
        <f t="shared" si="23"/>
        <v>5916.6099718145597</v>
      </c>
    </row>
    <row r="333" spans="1:27" ht="12.5">
      <c r="A333" s="56" t="s">
        <v>10</v>
      </c>
      <c r="B333" s="56" t="s">
        <v>20</v>
      </c>
      <c r="C333" s="56" t="s">
        <v>98</v>
      </c>
      <c r="D333" s="56" t="s">
        <v>97</v>
      </c>
      <c r="E333" s="50" t="s">
        <v>55</v>
      </c>
      <c r="F333" s="97">
        <v>0</v>
      </c>
      <c r="G333" s="99">
        <f t="shared" si="24"/>
        <v>0</v>
      </c>
      <c r="H333" s="46"/>
      <c r="I333" s="46">
        <f>G333*'Eilat Car Data'!F$10</f>
        <v>0</v>
      </c>
      <c r="J333" s="46">
        <f>I333*'Tier 1 Coefficients'!I$12</f>
        <v>0</v>
      </c>
      <c r="K333" s="46">
        <f t="shared" si="21"/>
        <v>0</v>
      </c>
      <c r="L333" s="46">
        <f>K333*'Tier 1 Coefficients'!D$3</f>
        <v>0</v>
      </c>
      <c r="M333" s="46">
        <f>K333*'Tier 1 Coefficients'!C$23</f>
        <v>0</v>
      </c>
      <c r="N333" s="46">
        <f>K333*'Tier 1 Coefficients'!C$47</f>
        <v>0</v>
      </c>
      <c r="O333" s="46">
        <f>I333*'Tier 2 FC'!D57</f>
        <v>0</v>
      </c>
      <c r="P333" s="46">
        <f t="shared" si="22"/>
        <v>0</v>
      </c>
      <c r="Q333" s="46">
        <f>P333*'Tier 1 Coefficients'!D$3</f>
        <v>0</v>
      </c>
      <c r="R333" s="46">
        <f>$I333*'T2 L-Cat'!C11</f>
        <v>0</v>
      </c>
      <c r="S333" s="46">
        <f>$I333*'T2 L-Cat'!D11</f>
        <v>0</v>
      </c>
      <c r="T333" s="46">
        <f>44.011*(P333/(12.011+1.008*'Tier 3 CO2 Tables'!B$3+16*'Tier 3 CO2 Tables'!C$3))</f>
        <v>0</v>
      </c>
      <c r="U333" s="46">
        <f>I333*'Tier 3 CO2 Tables'!H$16/10000</f>
        <v>0</v>
      </c>
      <c r="V333" s="46">
        <f>44.011*(U333/(12.011+1.008*'Tier 3 CO2 Tables'!B$6+16*'Tier 3 CO2 Tables'!C$6))</f>
        <v>0</v>
      </c>
      <c r="W333" s="46">
        <f>I333*'T3 Methane'!D$38</f>
        <v>0</v>
      </c>
      <c r="X333" s="46" cm="1">
        <f t="array" ref="X333">_xlfn.IFS(E333='Euro Age Table'!C$5,'Euro Age Table'!G$5,E333='Euro Age Table'!C$6,'Euro Age Table'!G$6,E333='Euro Age Table'!C$7,'Euro Age Table'!G$7,E333='Euro Age Table'!C$8,'Euro Age Table'!G$8,E333='Euro Age Table'!C$9,'Euro Age Table'!G$9,E333='Euro Age Table'!C$10,'Euro Age Table'!G$10,E333='Euro Age Table'!C$11,'Euro Age Table'!G$11)</f>
        <v>23</v>
      </c>
      <c r="Y333" s="46">
        <f>X333*'Eilat Car Data'!F$10</f>
        <v>172500</v>
      </c>
      <c r="Z333" s="46">
        <f>'T3 N2O PC-Diesel LPG'!B$18</f>
        <v>2</v>
      </c>
      <c r="AA333" s="124">
        <f t="shared" si="23"/>
        <v>0</v>
      </c>
    </row>
    <row r="334" spans="1:27" ht="12.5">
      <c r="A334" s="56" t="s">
        <v>10</v>
      </c>
      <c r="B334" s="56" t="s">
        <v>20</v>
      </c>
      <c r="C334" s="56" t="s">
        <v>98</v>
      </c>
      <c r="D334" s="56" t="s">
        <v>97</v>
      </c>
      <c r="E334" s="50" t="s">
        <v>56</v>
      </c>
      <c r="F334" s="97">
        <v>5.1835293355363331E-5</v>
      </c>
      <c r="G334" s="99">
        <f t="shared" si="24"/>
        <v>8.7653481063919389E-2</v>
      </c>
      <c r="H334" s="46"/>
      <c r="I334" s="46">
        <f>G334*'Eilat Car Data'!F$10</f>
        <v>657.40110797939542</v>
      </c>
      <c r="J334" s="46">
        <f>I334*'Tier 1 Coefficients'!I$12</f>
        <v>23009.038779278839</v>
      </c>
      <c r="K334" s="46">
        <f t="shared" si="21"/>
        <v>23.009038779278839</v>
      </c>
      <c r="L334" s="46">
        <f>K334*'Tier 1 Coefficients'!D$3</f>
        <v>72.915643891534643</v>
      </c>
      <c r="M334" s="46">
        <f>K334*'Tier 1 Coefficients'!C$23</f>
        <v>1237.8862863252016</v>
      </c>
      <c r="N334" s="46">
        <f>K334*'Tier 1 Coefficients'!C$47</f>
        <v>1.3575332879774515</v>
      </c>
      <c r="O334" s="46">
        <f>I334*'Tier 2 FC'!D58</f>
        <v>15120.225483526094</v>
      </c>
      <c r="P334" s="46">
        <f t="shared" si="22"/>
        <v>15.120225483526093</v>
      </c>
      <c r="Q334" s="46">
        <f>P334*'Tier 1 Coefficients'!D$3</f>
        <v>47.915994557294191</v>
      </c>
      <c r="R334" s="46">
        <f>$I334*'T2 L-Cat'!C12</f>
        <v>1.3148022159587909</v>
      </c>
      <c r="S334" s="46">
        <f>$I334*'T2 L-Cat'!D12</f>
        <v>1860.4451355816891</v>
      </c>
      <c r="T334" s="46">
        <f>44.011*(P334/(12.011+1.008*'Tier 3 CO2 Tables'!B$3+16*'Tier 3 CO2 Tables'!C$3))</f>
        <v>47.923231639295956</v>
      </c>
      <c r="U334" s="46">
        <f>I334*'Tier 3 CO2 Tables'!H$16/10000</f>
        <v>0.67054913013898332</v>
      </c>
      <c r="V334" s="46">
        <f>44.011*(U334/(12.011+1.008*'Tier 3 CO2 Tables'!B$6+16*'Tier 3 CO2 Tables'!C$6))</f>
        <v>2.0918833884722603</v>
      </c>
      <c r="W334" s="46">
        <f>I334*'T3 Methane'!D$38</f>
        <v>98610.166196909311</v>
      </c>
      <c r="X334" s="46" cm="1">
        <f t="array" ref="X334">_xlfn.IFS(E334='Euro Age Table'!C$5,'Euro Age Table'!G$5,E334='Euro Age Table'!C$6,'Euro Age Table'!G$6,E334='Euro Age Table'!C$7,'Euro Age Table'!G$7,E334='Euro Age Table'!C$8,'Euro Age Table'!G$8,E334='Euro Age Table'!C$9,'Euro Age Table'!G$9,E334='Euro Age Table'!C$10,'Euro Age Table'!G$10,E334='Euro Age Table'!C$11,'Euro Age Table'!G$11)</f>
        <v>18</v>
      </c>
      <c r="Y334" s="46">
        <f>X334*'Eilat Car Data'!F$10</f>
        <v>135000</v>
      </c>
      <c r="Z334" s="46">
        <f>'T3 N2O PC-Diesel LPG'!B$18</f>
        <v>2</v>
      </c>
      <c r="AA334" s="124">
        <f t="shared" si="23"/>
        <v>1314.8022159587908</v>
      </c>
    </row>
    <row r="335" spans="1:27" ht="12.5">
      <c r="A335" s="56" t="s">
        <v>10</v>
      </c>
      <c r="B335" s="56" t="s">
        <v>20</v>
      </c>
      <c r="C335" s="56" t="s">
        <v>98</v>
      </c>
      <c r="D335" s="57" t="s">
        <v>97</v>
      </c>
      <c r="E335" s="50" t="s">
        <v>57</v>
      </c>
      <c r="F335" s="97">
        <v>1.7753587974211941E-3</v>
      </c>
      <c r="G335" s="99">
        <f t="shared" si="24"/>
        <v>3.0021317264392393</v>
      </c>
      <c r="H335" s="46"/>
      <c r="I335" s="46">
        <f>G335*'Eilat Car Data'!F$10</f>
        <v>22515.987948294296</v>
      </c>
      <c r="J335" s="46">
        <f>I335*'Tier 1 Coefficients'!I$12</f>
        <v>788059.57819030038</v>
      </c>
      <c r="K335" s="46">
        <f t="shared" si="21"/>
        <v>788.05957819030039</v>
      </c>
      <c r="L335" s="46">
        <f>K335*'Tier 1 Coefficients'!D$3</f>
        <v>2497.360803285062</v>
      </c>
      <c r="M335" s="46">
        <f>K335*'Tier 1 Coefficients'!C$23</f>
        <v>42397.605306638157</v>
      </c>
      <c r="N335" s="46">
        <f>K335*'Tier 1 Coefficients'!C$47</f>
        <v>46.495515113227718</v>
      </c>
      <c r="O335" s="46">
        <f>I335*'Tier 2 FC'!D59</f>
        <v>382771.79512100306</v>
      </c>
      <c r="P335" s="46">
        <f t="shared" si="22"/>
        <v>382.77179512100304</v>
      </c>
      <c r="Q335" s="46">
        <f>P335*'Tier 1 Coefficients'!D$3</f>
        <v>1213.0038187384587</v>
      </c>
      <c r="R335" s="46">
        <f>$I335*'T2 L-Cat'!C13</f>
        <v>45.031975896588591</v>
      </c>
      <c r="S335" s="46">
        <f>$I335*'T2 L-Cat'!D13</f>
        <v>47733.894450383908</v>
      </c>
      <c r="T335" s="46">
        <f>44.011*(P335/(12.011+1.008*'Tier 3 CO2 Tables'!B$3+16*'Tier 3 CO2 Tables'!C$3))</f>
        <v>1213.187027042612</v>
      </c>
      <c r="U335" s="46">
        <f>I335*'Tier 3 CO2 Tables'!H$17/10000</f>
        <v>15.31087180484012</v>
      </c>
      <c r="V335" s="46">
        <f>44.011*(U335/(12.011+1.008*'Tier 3 CO2 Tables'!B$6+16*'Tier 3 CO2 Tables'!C$6))</f>
        <v>47.764670703449951</v>
      </c>
      <c r="W335" s="46">
        <f>I335*'T3 Methane'!D$38</f>
        <v>3377398.1922441446</v>
      </c>
      <c r="X335" s="46" cm="1">
        <f t="array" ref="X335">_xlfn.IFS(E335='Euro Age Table'!C$5,'Euro Age Table'!G$5,E335='Euro Age Table'!C$6,'Euro Age Table'!G$6,E335='Euro Age Table'!C$7,'Euro Age Table'!G$7,E335='Euro Age Table'!C$8,'Euro Age Table'!G$8,E335='Euro Age Table'!C$9,'Euro Age Table'!G$9,E335='Euro Age Table'!C$10,'Euro Age Table'!G$10,E335='Euro Age Table'!C$11,'Euro Age Table'!G$11)</f>
        <v>16</v>
      </c>
      <c r="Y335" s="46">
        <f>X335*'Eilat Car Data'!F$10</f>
        <v>120000</v>
      </c>
      <c r="Z335" s="46">
        <f>'T3 N2O PC-Diesel LPG'!B$18</f>
        <v>2</v>
      </c>
      <c r="AA335" s="124">
        <f t="shared" si="23"/>
        <v>45031.975896588592</v>
      </c>
    </row>
    <row r="336" spans="1:27" ht="12.5">
      <c r="A336" s="56" t="s">
        <v>10</v>
      </c>
      <c r="B336" s="56" t="s">
        <v>20</v>
      </c>
      <c r="C336" s="56" t="s">
        <v>98</v>
      </c>
      <c r="D336" s="56" t="s">
        <v>99</v>
      </c>
      <c r="E336" s="50" t="s">
        <v>54</v>
      </c>
      <c r="F336" s="97">
        <v>3.6673470048919558E-3</v>
      </c>
      <c r="G336" s="99">
        <f t="shared" si="24"/>
        <v>6.2014837852722975</v>
      </c>
      <c r="H336" s="46"/>
      <c r="I336" s="46">
        <f>G336*'Eilat Car Data'!F$10</f>
        <v>46511.128389542231</v>
      </c>
      <c r="J336" s="46">
        <f>I336*'Tier 1 Coefficients'!I$12</f>
        <v>1627889.4936339781</v>
      </c>
      <c r="K336" s="46">
        <f t="shared" si="21"/>
        <v>1627.889493633978</v>
      </c>
      <c r="L336" s="46">
        <f>K336*'Tier 1 Coefficients'!D$3</f>
        <v>5158.7818053260762</v>
      </c>
      <c r="M336" s="46">
        <f>K336*'Tier 1 Coefficients'!C$23</f>
        <v>87580.454757508007</v>
      </c>
      <c r="N336" s="46">
        <f>K336*'Tier 1 Coefficients'!C$47</f>
        <v>96.045480124404691</v>
      </c>
      <c r="O336" s="46">
        <f>I336*'Tier 2 FC'!D60</f>
        <v>1488356.1084653514</v>
      </c>
      <c r="P336" s="46">
        <f t="shared" si="22"/>
        <v>1488.3561084653513</v>
      </c>
      <c r="Q336" s="46">
        <f>P336*'Tier 1 Coefficients'!D$3</f>
        <v>4716.6005077266982</v>
      </c>
      <c r="R336" s="46">
        <f>$I336*'T2 L-Cat'!C14</f>
        <v>93.022256779084458</v>
      </c>
      <c r="S336" s="46">
        <f>$I336*'T2 L-Cat'!D14</f>
        <v>18511.42909903781</v>
      </c>
      <c r="T336" s="46">
        <f>44.011*(P336/(12.011+1.008*'Tier 3 CO2 Tables'!B$3+16*'Tier 3 CO2 Tables'!C$3))</f>
        <v>4717.3128883202635</v>
      </c>
      <c r="U336" s="46">
        <f>I336*'Tier 3 CO2 Tables'!H$18/10000</f>
        <v>1.9999785207503158</v>
      </c>
      <c r="V336" s="46">
        <f>44.011*(U336/(12.011+1.008*'Tier 3 CO2 Tables'!B$6+16*'Tier 3 CO2 Tables'!C$6))</f>
        <v>6.2392472927252296</v>
      </c>
      <c r="W336" s="46">
        <f>I336*'T3 Methane'!D$39</f>
        <v>9302225.6779084466</v>
      </c>
      <c r="X336" s="46" cm="1">
        <f t="array" ref="X336">_xlfn.IFS(E336='Euro Age Table'!C$5,'Euro Age Table'!G$5,E336='Euro Age Table'!C$6,'Euro Age Table'!G$6,E336='Euro Age Table'!C$7,'Euro Age Table'!G$7,E336='Euro Age Table'!C$8,'Euro Age Table'!G$8,E336='Euro Age Table'!C$9,'Euro Age Table'!G$9,E336='Euro Age Table'!C$10,'Euro Age Table'!G$10,E336='Euro Age Table'!C$11,'Euro Age Table'!G$11)</f>
        <v>27</v>
      </c>
      <c r="Y336" s="46">
        <f>X336*'Eilat Car Data'!F$10</f>
        <v>202500</v>
      </c>
      <c r="Z336" s="46">
        <f>'T3 N2O PC-Diesel LPG'!B$19</f>
        <v>2</v>
      </c>
      <c r="AA336" s="124">
        <f t="shared" si="23"/>
        <v>93022.256779084462</v>
      </c>
    </row>
    <row r="337" spans="1:27" ht="12.5">
      <c r="A337" s="56" t="s">
        <v>10</v>
      </c>
      <c r="B337" s="56" t="s">
        <v>20</v>
      </c>
      <c r="C337" s="56" t="s">
        <v>98</v>
      </c>
      <c r="D337" s="56" t="s">
        <v>99</v>
      </c>
      <c r="E337" s="50" t="s">
        <v>55</v>
      </c>
      <c r="F337" s="97">
        <v>1.6522499757022063E-3</v>
      </c>
      <c r="G337" s="99">
        <f t="shared" si="24"/>
        <v>2.7939547089124308</v>
      </c>
      <c r="H337" s="46"/>
      <c r="I337" s="46">
        <f>G337*'Eilat Car Data'!F$10</f>
        <v>20954.66031684323</v>
      </c>
      <c r="J337" s="46">
        <f>I337*'Tier 1 Coefficients'!I$12</f>
        <v>733413.11108951306</v>
      </c>
      <c r="K337" s="46">
        <f t="shared" si="21"/>
        <v>733.41311108951311</v>
      </c>
      <c r="L337" s="46">
        <f>K337*'Tier 1 Coefficients'!D$3</f>
        <v>2324.1861490426672</v>
      </c>
      <c r="M337" s="46">
        <f>K337*'Tier 1 Coefficients'!C$23</f>
        <v>39457.625376615804</v>
      </c>
      <c r="N337" s="46">
        <f>K337*'Tier 1 Coefficients'!C$47</f>
        <v>43.271373554281269</v>
      </c>
      <c r="O337" s="46">
        <f>I337*'Tier 2 FC'!D$61</f>
        <v>754367.77140635625</v>
      </c>
      <c r="P337" s="46">
        <f t="shared" si="22"/>
        <v>754.36777140635627</v>
      </c>
      <c r="Q337" s="46">
        <f>P337*'Tier 1 Coefficients'!D$3</f>
        <v>2390.591467586743</v>
      </c>
      <c r="R337" s="46">
        <f>$I337*'T2 L-Cat'!C15</f>
        <v>41.909320633686463</v>
      </c>
      <c r="S337" s="46">
        <f>$I337*'T2 L-Cat'!D15</f>
        <v>6474.9900379045584</v>
      </c>
      <c r="T337" s="46">
        <f>44.011*(P337/(12.011+1.008*'Tier 3 CO2 Tables'!B$3+16*'Tier 3 CO2 Tables'!C$3))</f>
        <v>2390.9525350474833</v>
      </c>
      <c r="U337" s="46">
        <f>I337*'Tier 3 CO2 Tables'!H$18/10000</f>
        <v>0.90105039362425887</v>
      </c>
      <c r="V337" s="46">
        <f>44.011*(U337/(12.011+1.008*'Tier 3 CO2 Tables'!B$6+16*'Tier 3 CO2 Tables'!C$6))</f>
        <v>2.8109683032595996</v>
      </c>
      <c r="W337" s="46">
        <f>I337*'T3 Methane'!D$39</f>
        <v>4190932.063368646</v>
      </c>
      <c r="X337" s="46" cm="1">
        <f t="array" ref="X337">_xlfn.IFS(E337='Euro Age Table'!C$5,'Euro Age Table'!G$5,E337='Euro Age Table'!C$6,'Euro Age Table'!G$6,E337='Euro Age Table'!C$7,'Euro Age Table'!G$7,E337='Euro Age Table'!C$8,'Euro Age Table'!G$8,E337='Euro Age Table'!C$9,'Euro Age Table'!G$9,E337='Euro Age Table'!C$10,'Euro Age Table'!G$10,E337='Euro Age Table'!C$11,'Euro Age Table'!G$11)</f>
        <v>23</v>
      </c>
      <c r="Y337" s="46">
        <f>X337*'Eilat Car Data'!F$10</f>
        <v>172500</v>
      </c>
      <c r="Z337" s="46">
        <f>'T3 N2O PC-Diesel LPG'!B$19</f>
        <v>2</v>
      </c>
      <c r="AA337" s="124">
        <f t="shared" si="23"/>
        <v>41909.32063368646</v>
      </c>
    </row>
    <row r="338" spans="1:27" ht="12.5">
      <c r="A338" s="56" t="s">
        <v>10</v>
      </c>
      <c r="B338" s="56" t="s">
        <v>20</v>
      </c>
      <c r="C338" s="56" t="s">
        <v>98</v>
      </c>
      <c r="D338" s="56" t="s">
        <v>99</v>
      </c>
      <c r="E338" s="50" t="s">
        <v>56</v>
      </c>
      <c r="F338" s="97">
        <v>4.8465999287264716E-3</v>
      </c>
      <c r="G338" s="99">
        <f t="shared" si="24"/>
        <v>8.1956004794764628</v>
      </c>
      <c r="H338" s="46"/>
      <c r="I338" s="46">
        <f>G338*'Eilat Car Data'!F$10</f>
        <v>61467.003596073468</v>
      </c>
      <c r="J338" s="46">
        <f>I338*'Tier 1 Coefficients'!I$12</f>
        <v>2151345.1258625714</v>
      </c>
      <c r="K338" s="46">
        <f t="shared" si="21"/>
        <v>2151.3451258625714</v>
      </c>
      <c r="L338" s="46">
        <f>K338*'Tier 1 Coefficients'!D$3</f>
        <v>6817.6127038584891</v>
      </c>
      <c r="M338" s="46">
        <f>K338*'Tier 1 Coefficients'!C$23</f>
        <v>115742.36777140634</v>
      </c>
      <c r="N338" s="46">
        <f>K338*'Tier 1 Coefficients'!C$47</f>
        <v>126.92936242589171</v>
      </c>
      <c r="O338" s="46">
        <f>I338*'Tier 2 FC'!D$61</f>
        <v>2212812.1294586449</v>
      </c>
      <c r="P338" s="46">
        <f t="shared" si="22"/>
        <v>2212.8121294586449</v>
      </c>
      <c r="Q338" s="46">
        <f>P338*'Tier 1 Coefficients'!D$3</f>
        <v>7012.401638254446</v>
      </c>
      <c r="R338" s="46">
        <f>$I338*'T2 L-Cat'!C16</f>
        <v>122.93400719214694</v>
      </c>
      <c r="S338" s="46">
        <f>$I338*'T2 L-Cat'!D16</f>
        <v>13584.207794732236</v>
      </c>
      <c r="T338" s="46">
        <f>44.011*(P338/(12.011+1.008*'Tier 3 CO2 Tables'!B$3+16*'Tier 3 CO2 Tables'!C$3))</f>
        <v>7013.4607694726174</v>
      </c>
      <c r="U338" s="46">
        <f>I338*'Tier 3 CO2 Tables'!H$18/10000</f>
        <v>2.643081154631159</v>
      </c>
      <c r="V338" s="46">
        <f>44.011*(U338/(12.011+1.008*'Tier 3 CO2 Tables'!B$6+16*'Tier 3 CO2 Tables'!C$6))</f>
        <v>8.2455070228948255</v>
      </c>
      <c r="W338" s="46">
        <f>I338*'T3 Methane'!D$39</f>
        <v>12293400.719214693</v>
      </c>
      <c r="X338" s="46" cm="1">
        <f t="array" ref="X338">_xlfn.IFS(E338='Euro Age Table'!C$5,'Euro Age Table'!G$5,E338='Euro Age Table'!C$6,'Euro Age Table'!G$6,E338='Euro Age Table'!C$7,'Euro Age Table'!G$7,E338='Euro Age Table'!C$8,'Euro Age Table'!G$8,E338='Euro Age Table'!C$9,'Euro Age Table'!G$9,E338='Euro Age Table'!C$10,'Euro Age Table'!G$10,E338='Euro Age Table'!C$11,'Euro Age Table'!G$11)</f>
        <v>18</v>
      </c>
      <c r="Y338" s="46">
        <f>X338*'Eilat Car Data'!F$10</f>
        <v>135000</v>
      </c>
      <c r="Z338" s="46">
        <f>'T3 N2O PC-Diesel LPG'!B$19</f>
        <v>2</v>
      </c>
      <c r="AA338" s="124">
        <f t="shared" si="23"/>
        <v>122934.00719214694</v>
      </c>
    </row>
    <row r="339" spans="1:27" ht="12.5">
      <c r="A339" s="56" t="s">
        <v>10</v>
      </c>
      <c r="B339" s="56" t="s">
        <v>20</v>
      </c>
      <c r="C339" s="57" t="s">
        <v>98</v>
      </c>
      <c r="D339" s="57" t="s">
        <v>99</v>
      </c>
      <c r="E339" s="50" t="s">
        <v>57</v>
      </c>
      <c r="F339" s="97">
        <v>0.49121715748210065</v>
      </c>
      <c r="G339" s="99">
        <f t="shared" si="24"/>
        <v>830.64821330223219</v>
      </c>
      <c r="H339" s="46"/>
      <c r="I339" s="46">
        <f>G339*'Eilat Car Data'!F$10</f>
        <v>6229861.5997667415</v>
      </c>
      <c r="J339" s="46">
        <f>I339*'Tier 1 Coefficients'!I$12</f>
        <v>218045155.99183595</v>
      </c>
      <c r="K339" s="46">
        <f t="shared" si="21"/>
        <v>218045.15599183596</v>
      </c>
      <c r="L339" s="46">
        <f>K339*'Tier 1 Coefficients'!D$3</f>
        <v>690985.09933812812</v>
      </c>
      <c r="M339" s="46">
        <f>K339*'Tier 1 Coefficients'!C$23</f>
        <v>11730829.392360773</v>
      </c>
      <c r="N339" s="46">
        <f>K339*'Tier 1 Coefficients'!C$47</f>
        <v>12864.664203518321</v>
      </c>
      <c r="O339" s="46">
        <f>I339*'Tier 2 FC'!D$61</f>
        <v>224275017.59160268</v>
      </c>
      <c r="P339" s="46">
        <f t="shared" si="22"/>
        <v>224275.01759160269</v>
      </c>
      <c r="Q339" s="46">
        <f>P339*'Tier 1 Coefficients'!D$3</f>
        <v>710727.53074778896</v>
      </c>
      <c r="R339" s="46">
        <f>$I339*'T2 L-Cat'!C17</f>
        <v>12459.723199533484</v>
      </c>
      <c r="S339" s="46">
        <f>$I339*'T2 L-Cat'!D17</f>
        <v>828571.5927689767</v>
      </c>
      <c r="T339" s="46">
        <f>44.011*(P339/(12.011+1.008*'Tier 3 CO2 Tables'!B$3+16*'Tier 3 CO2 Tables'!C$3))</f>
        <v>710834.87681184243</v>
      </c>
      <c r="U339" s="46">
        <f>I339*'Tier 3 CO2 Tables'!H$18/10000</f>
        <v>267.88404878996988</v>
      </c>
      <c r="V339" s="46">
        <f>44.011*(U339/(12.011+1.008*'Tier 3 CO2 Tables'!B$6+16*'Tier 3 CO2 Tables'!C$6))</f>
        <v>835.7063882616344</v>
      </c>
      <c r="W339" s="46">
        <f>I339*'T3 Methane'!D$39</f>
        <v>1245972319.9533484</v>
      </c>
      <c r="X339" s="46" cm="1">
        <f t="array" ref="X339">_xlfn.IFS(E339='Euro Age Table'!C$5,'Euro Age Table'!G$5,E339='Euro Age Table'!C$6,'Euro Age Table'!G$6,E339='Euro Age Table'!C$7,'Euro Age Table'!G$7,E339='Euro Age Table'!C$8,'Euro Age Table'!G$8,E339='Euro Age Table'!C$9,'Euro Age Table'!G$9,E339='Euro Age Table'!C$10,'Euro Age Table'!G$10,E339='Euro Age Table'!C$11,'Euro Age Table'!G$11)</f>
        <v>16</v>
      </c>
      <c r="Y339" s="46">
        <f>X339*'Eilat Car Data'!F$10</f>
        <v>120000</v>
      </c>
      <c r="Z339" s="46">
        <f>'T3 N2O PC-Diesel LPG'!B$19</f>
        <v>2</v>
      </c>
      <c r="AA339" s="124">
        <f t="shared" si="23"/>
        <v>12459723.199533483</v>
      </c>
    </row>
    <row r="340" spans="1:27" ht="12.5">
      <c r="A340" s="56" t="s">
        <v>10</v>
      </c>
      <c r="B340" s="56" t="s">
        <v>20</v>
      </c>
      <c r="C340" s="56" t="s">
        <v>100</v>
      </c>
      <c r="D340" s="56" t="s">
        <v>101</v>
      </c>
      <c r="E340" s="50" t="s">
        <v>54</v>
      </c>
      <c r="F340" s="97">
        <v>7.6262675349078306E-3</v>
      </c>
      <c r="G340" s="99">
        <f t="shared" si="24"/>
        <v>12.896018401529142</v>
      </c>
      <c r="H340" s="46"/>
      <c r="I340" s="46">
        <f>G340*'Eilat Car Data'!F$10</f>
        <v>96720.13801146856</v>
      </c>
      <c r="J340" s="46">
        <f>I340*'Tier 1 Coefficients'!I$12</f>
        <v>3385204.8304013996</v>
      </c>
      <c r="K340" s="46">
        <f t="shared" si="21"/>
        <v>3385.2048304013997</v>
      </c>
      <c r="L340" s="46">
        <f>K340*'Tier 1 Coefficients'!D$3</f>
        <v>10727.714107542035</v>
      </c>
      <c r="M340" s="46">
        <f>K340*'Tier 1 Coefficients'!C$23</f>
        <v>182124.01987559529</v>
      </c>
      <c r="N340" s="46">
        <f>K340*'Tier 1 Coefficients'!C$47</f>
        <v>199.72708499368258</v>
      </c>
      <c r="O340" s="46">
        <f>I340*'Tier 2 FC'!D62</f>
        <v>3578645.1064243368</v>
      </c>
      <c r="P340" s="46">
        <f t="shared" si="22"/>
        <v>3578.645106424337</v>
      </c>
      <c r="Q340" s="46">
        <f>P340*'Tier 1 Coefficients'!D$3</f>
        <v>11340.726342258724</v>
      </c>
      <c r="R340" s="46">
        <f>$I340*'T2 L-Cat'!C18</f>
        <v>193.44027602293713</v>
      </c>
      <c r="S340" s="46">
        <f>$I340*'T2 L-Cat'!D18</f>
        <v>38494.614928564486</v>
      </c>
      <c r="T340" s="46">
        <f>44.011*(P340/(12.011+1.008*'Tier 3 CO2 Tables'!B$3+16*'Tier 3 CO2 Tables'!C$3))</f>
        <v>11342.439210107064</v>
      </c>
      <c r="U340" s="46">
        <f>I340*'Tier 3 CO2 Tables'!H$18/10000</f>
        <v>4.158965934493148</v>
      </c>
      <c r="V340" s="46">
        <f>44.011*(U340/(12.011+1.008*'Tier 3 CO2 Tables'!B$6+16*'Tier 3 CO2 Tables'!C$6))</f>
        <v>12.974547815437449</v>
      </c>
      <c r="W340" s="46">
        <f>I340*'T3 Methane'!D$39</f>
        <v>19344027.602293711</v>
      </c>
      <c r="X340" s="46" cm="1">
        <f t="array" ref="X340">_xlfn.IFS(E340='Euro Age Table'!C$5,'Euro Age Table'!G$5,E340='Euro Age Table'!C$6,'Euro Age Table'!G$6,E340='Euro Age Table'!C$7,'Euro Age Table'!G$7,E340='Euro Age Table'!C$8,'Euro Age Table'!G$8,E340='Euro Age Table'!C$9,'Euro Age Table'!G$9,E340='Euro Age Table'!C$10,'Euro Age Table'!G$10,E340='Euro Age Table'!C$11,'Euro Age Table'!G$11)</f>
        <v>27</v>
      </c>
      <c r="Y340" s="46">
        <f>X340*'Eilat Car Data'!F$10</f>
        <v>202500</v>
      </c>
      <c r="Z340" s="46">
        <f>'T3 N2O PC-Diesel LPG'!B$19</f>
        <v>2</v>
      </c>
      <c r="AA340" s="124">
        <f t="shared" si="23"/>
        <v>193440.27602293712</v>
      </c>
    </row>
    <row r="341" spans="1:27" ht="12.5">
      <c r="A341" s="56" t="s">
        <v>10</v>
      </c>
      <c r="B341" s="56" t="s">
        <v>20</v>
      </c>
      <c r="C341" s="56" t="s">
        <v>100</v>
      </c>
      <c r="D341" s="56" t="s">
        <v>101</v>
      </c>
      <c r="E341" s="50" t="s">
        <v>55</v>
      </c>
      <c r="F341" s="97">
        <v>4.7299705186769044E-3</v>
      </c>
      <c r="G341" s="99">
        <f t="shared" si="24"/>
        <v>7.9983801470826457</v>
      </c>
      <c r="H341" s="46"/>
      <c r="I341" s="46">
        <f>G341*'Eilat Car Data'!F$10</f>
        <v>59987.851103119843</v>
      </c>
      <c r="J341" s="46">
        <f>I341*'Tier 1 Coefficients'!I$12</f>
        <v>2099574.7886091946</v>
      </c>
      <c r="K341" s="46">
        <f t="shared" si="21"/>
        <v>2099.5747886091945</v>
      </c>
      <c r="L341" s="46">
        <f>K341*'Tier 1 Coefficients'!D$3</f>
        <v>6653.552505102537</v>
      </c>
      <c r="M341" s="46">
        <f>K341*'Tier 1 Coefficients'!C$23</f>
        <v>112957.12362717466</v>
      </c>
      <c r="N341" s="46">
        <f>K341*'Tier 1 Coefficients'!C$47</f>
        <v>123.87491252794247</v>
      </c>
      <c r="O341" s="46">
        <f>I341*'Tier 2 FC'!D$63</f>
        <v>2159562.6397123141</v>
      </c>
      <c r="P341" s="46">
        <f t="shared" si="22"/>
        <v>2159.5626397123142</v>
      </c>
      <c r="Q341" s="46">
        <f>P341*'Tier 1 Coefficients'!D$3</f>
        <v>6843.6540052483242</v>
      </c>
      <c r="R341" s="46">
        <f>$I341*'T2 L-Cat'!C19</f>
        <v>119.97570220623969</v>
      </c>
      <c r="S341" s="46">
        <f>$I341*'T2 L-Cat'!D19</f>
        <v>18536.24599086403</v>
      </c>
      <c r="T341" s="46">
        <f>44.011*(P341/(12.011+1.008*'Tier 3 CO2 Tables'!B$3+16*'Tier 3 CO2 Tables'!C$3))</f>
        <v>6844.6876493516193</v>
      </c>
      <c r="U341" s="46">
        <f>I341*'Tier 3 CO2 Tables'!H$18/10000</f>
        <v>2.5794775974341535</v>
      </c>
      <c r="V341" s="46">
        <f>44.011*(U341/(12.011+1.008*'Tier 3 CO2 Tables'!B$6+16*'Tier 3 CO2 Tables'!C$6))</f>
        <v>8.047085730900033</v>
      </c>
      <c r="W341" s="46">
        <f>I341*'T3 Methane'!D$39</f>
        <v>11997570.220623968</v>
      </c>
      <c r="X341" s="46" cm="1">
        <f t="array" ref="X341">_xlfn.IFS(E341='Euro Age Table'!C$5,'Euro Age Table'!G$5,E341='Euro Age Table'!C$6,'Euro Age Table'!G$6,E341='Euro Age Table'!C$7,'Euro Age Table'!G$7,E341='Euro Age Table'!C$8,'Euro Age Table'!G$8,E341='Euro Age Table'!C$9,'Euro Age Table'!G$9,E341='Euro Age Table'!C$10,'Euro Age Table'!G$10,E341='Euro Age Table'!C$11,'Euro Age Table'!G$11)</f>
        <v>23</v>
      </c>
      <c r="Y341" s="46">
        <f>X341*'Eilat Car Data'!F$10</f>
        <v>172500</v>
      </c>
      <c r="Z341" s="46">
        <f>'T3 N2O PC-Diesel LPG'!B$19</f>
        <v>2</v>
      </c>
      <c r="AA341" s="124">
        <f t="shared" si="23"/>
        <v>119975.70220623969</v>
      </c>
    </row>
    <row r="342" spans="1:27" ht="12.5">
      <c r="A342" s="56" t="s">
        <v>10</v>
      </c>
      <c r="B342" s="56" t="s">
        <v>20</v>
      </c>
      <c r="C342" s="56" t="s">
        <v>100</v>
      </c>
      <c r="D342" s="56" t="s">
        <v>101</v>
      </c>
      <c r="E342" s="50" t="s">
        <v>56</v>
      </c>
      <c r="F342" s="97">
        <v>2.5723264327599054E-3</v>
      </c>
      <c r="G342" s="99">
        <f t="shared" si="24"/>
        <v>4.3498039977970002</v>
      </c>
      <c r="H342" s="46"/>
      <c r="I342" s="46">
        <f>G342*'Eilat Car Data'!F$10</f>
        <v>32623.529983477503</v>
      </c>
      <c r="J342" s="46">
        <f>I342*'Tier 1 Coefficients'!I$12</f>
        <v>1141823.5494217125</v>
      </c>
      <c r="K342" s="46">
        <f t="shared" si="21"/>
        <v>1141.8235494217124</v>
      </c>
      <c r="L342" s="46">
        <f>K342*'Tier 1 Coefficients'!D$3</f>
        <v>3618.4388281174065</v>
      </c>
      <c r="M342" s="46">
        <f>K342*'Tier 1 Coefficients'!C$23</f>
        <v>61430.106958888122</v>
      </c>
      <c r="N342" s="46">
        <f>K342*'Tier 1 Coefficients'!C$47</f>
        <v>67.367589415881028</v>
      </c>
      <c r="O342" s="46">
        <f>I342*'Tier 2 FC'!D$63</f>
        <v>1174447.0794051902</v>
      </c>
      <c r="P342" s="46">
        <f t="shared" si="22"/>
        <v>1174.4470794051902</v>
      </c>
      <c r="Q342" s="46">
        <f>P342*'Tier 1 Coefficients'!D$3</f>
        <v>3721.8227946350476</v>
      </c>
      <c r="R342" s="46">
        <f>$I342*'T2 L-Cat'!C20</f>
        <v>65.247059966955007</v>
      </c>
      <c r="S342" s="46">
        <f>$I342*'T2 L-Cat'!D20</f>
        <v>7209.8001263485285</v>
      </c>
      <c r="T342" s="46">
        <f>44.011*(P342/(12.011+1.008*'Tier 3 CO2 Tables'!B$3+16*'Tier 3 CO2 Tables'!C$3))</f>
        <v>3722.3849271131412</v>
      </c>
      <c r="U342" s="46">
        <f>I342*'Tier 3 CO2 Tables'!H$18/10000</f>
        <v>1.4028117892895327</v>
      </c>
      <c r="V342" s="46">
        <f>44.011*(U342/(12.011+1.008*'Tier 3 CO2 Tables'!B$6+16*'Tier 3 CO2 Tables'!C$6))</f>
        <v>4.3762918289963189</v>
      </c>
      <c r="W342" s="46">
        <f>I342*'T3 Methane'!D$39</f>
        <v>6524705.9966955008</v>
      </c>
      <c r="X342" s="46" cm="1">
        <f t="array" ref="X342">_xlfn.IFS(E342='Euro Age Table'!C$5,'Euro Age Table'!G$5,E342='Euro Age Table'!C$6,'Euro Age Table'!G$6,E342='Euro Age Table'!C$7,'Euro Age Table'!G$7,E342='Euro Age Table'!C$8,'Euro Age Table'!G$8,E342='Euro Age Table'!C$9,'Euro Age Table'!G$9,E342='Euro Age Table'!C$10,'Euro Age Table'!G$10,E342='Euro Age Table'!C$11,'Euro Age Table'!G$11)</f>
        <v>18</v>
      </c>
      <c r="Y342" s="46">
        <f>X342*'Eilat Car Data'!F$10</f>
        <v>135000</v>
      </c>
      <c r="Z342" s="46">
        <f>'T3 N2O PC-Diesel LPG'!B$19</f>
        <v>2</v>
      </c>
      <c r="AA342" s="124">
        <f t="shared" si="23"/>
        <v>65247.059966955007</v>
      </c>
    </row>
    <row r="343" spans="1:27" ht="12.5">
      <c r="A343" s="56" t="s">
        <v>10</v>
      </c>
      <c r="B343" s="56" t="s">
        <v>20</v>
      </c>
      <c r="C343" s="56" t="s">
        <v>100</v>
      </c>
      <c r="D343" s="57" t="s">
        <v>101</v>
      </c>
      <c r="E343" s="50" t="s">
        <v>57</v>
      </c>
      <c r="F343" s="97">
        <v>4.8148508115463118E-2</v>
      </c>
      <c r="G343" s="99">
        <f t="shared" si="24"/>
        <v>81.419127223248125</v>
      </c>
      <c r="H343" s="46"/>
      <c r="I343" s="46">
        <f>G343*'Eilat Car Data'!F$10</f>
        <v>610643.45417436096</v>
      </c>
      <c r="J343" s="46">
        <f>I343*'Tier 1 Coefficients'!I$12</f>
        <v>21372520.896102633</v>
      </c>
      <c r="K343" s="46">
        <f t="shared" si="21"/>
        <v>21372.520896102633</v>
      </c>
      <c r="L343" s="46">
        <f>K343*'Tier 1 Coefficients'!D$3</f>
        <v>67729.518719749249</v>
      </c>
      <c r="M343" s="46">
        <f>K343*'Tier 1 Coefficients'!C$23</f>
        <v>1149841.6242103216</v>
      </c>
      <c r="N343" s="46">
        <f>K343*'Tier 1 Coefficients'!C$47</f>
        <v>1260.9787328700552</v>
      </c>
      <c r="O343" s="46">
        <f>I343*'Tier 2 FC'!D$63</f>
        <v>21983164.350276995</v>
      </c>
      <c r="P343" s="46">
        <f t="shared" si="22"/>
        <v>21983.164350276995</v>
      </c>
      <c r="Q343" s="46">
        <f>P343*'Tier 1 Coefficients'!D$3</f>
        <v>69664.647826027795</v>
      </c>
      <c r="R343" s="46">
        <f>$I343*'T2 L-Cat'!C21</f>
        <v>1221.2869083487219</v>
      </c>
      <c r="S343" s="46">
        <f>$I343*'T2 L-Cat'!D21</f>
        <v>81215.579405190016</v>
      </c>
      <c r="T343" s="46">
        <f>44.011*(P343/(12.011+1.008*'Tier 3 CO2 Tables'!B$3+16*'Tier 3 CO2 Tables'!C$3))</f>
        <v>69675.169756619012</v>
      </c>
      <c r="U343" s="46">
        <f>I343*'Tier 3 CO2 Tables'!H$18/10000</f>
        <v>26.257668529497522</v>
      </c>
      <c r="V343" s="46">
        <f>44.011*(U343/(12.011+1.008*'Tier 3 CO2 Tables'!B$6+16*'Tier 3 CO2 Tables'!C$6))</f>
        <v>81.914923378517983</v>
      </c>
      <c r="W343" s="46">
        <f>I343*'T3 Methane'!D$39</f>
        <v>122128690.83487219</v>
      </c>
      <c r="X343" s="46" cm="1">
        <f t="array" ref="X343">_xlfn.IFS(E343='Euro Age Table'!C$5,'Euro Age Table'!G$5,E343='Euro Age Table'!C$6,'Euro Age Table'!G$6,E343='Euro Age Table'!C$7,'Euro Age Table'!G$7,E343='Euro Age Table'!C$8,'Euro Age Table'!G$8,E343='Euro Age Table'!C$9,'Euro Age Table'!G$9,E343='Euro Age Table'!C$10,'Euro Age Table'!G$10,E343='Euro Age Table'!C$11,'Euro Age Table'!G$11)</f>
        <v>16</v>
      </c>
      <c r="Y343" s="46">
        <f>X343*'Eilat Car Data'!F$10</f>
        <v>120000</v>
      </c>
      <c r="Z343" s="46">
        <f>'T3 N2O PC-Diesel LPG'!B$19</f>
        <v>2</v>
      </c>
      <c r="AA343" s="124">
        <f t="shared" si="23"/>
        <v>1221286.9083487219</v>
      </c>
    </row>
    <row r="344" spans="1:27" ht="12.5">
      <c r="A344" s="56" t="s">
        <v>10</v>
      </c>
      <c r="B344" s="56" t="s">
        <v>20</v>
      </c>
      <c r="C344" s="56" t="s">
        <v>100</v>
      </c>
      <c r="D344" s="56" t="s">
        <v>102</v>
      </c>
      <c r="E344" s="50" t="s">
        <v>54</v>
      </c>
      <c r="F344" s="97">
        <v>8.7342469303787213E-3</v>
      </c>
      <c r="G344" s="99">
        <f t="shared" si="24"/>
        <v>14.769611559270418</v>
      </c>
      <c r="H344" s="46"/>
      <c r="I344" s="46">
        <f>G344*'Eilat Car Data'!F$10</f>
        <v>110772.08669452813</v>
      </c>
      <c r="J344" s="46">
        <f>I344*'Tier 1 Coefficients'!I$12</f>
        <v>3877023.0343084848</v>
      </c>
      <c r="K344" s="46">
        <f t="shared" si="21"/>
        <v>3877.023034308485</v>
      </c>
      <c r="L344" s="46">
        <f>K344*'Tier 1 Coefficients'!D$3</f>
        <v>12286.285995723589</v>
      </c>
      <c r="M344" s="46">
        <f>K344*'Tier 1 Coefficients'!C$23</f>
        <v>208583.83924579649</v>
      </c>
      <c r="N344" s="46">
        <f>K344*'Tier 1 Coefficients'!C$47</f>
        <v>228.74435902420061</v>
      </c>
      <c r="O344" s="46">
        <f>I344*'Tier 2 FC'!D$64</f>
        <v>4984743.9012537654</v>
      </c>
      <c r="P344" s="46">
        <f t="shared" si="22"/>
        <v>4984.7439012537652</v>
      </c>
      <c r="Q344" s="46">
        <f>P344*'Tier 1 Coefficients'!D$3</f>
        <v>15796.653423073181</v>
      </c>
      <c r="R344" s="46">
        <f>$I344*'T2 L-Cat'!C22</f>
        <v>221.54417338905625</v>
      </c>
      <c r="S344" s="46">
        <f>$I344*'T2 L-Cat'!D22</f>
        <v>44087.290504422199</v>
      </c>
      <c r="T344" s="46">
        <f>44.011*(P344/(12.011+1.008*'Tier 3 CO2 Tables'!B$3+16*'Tier 3 CO2 Tables'!C$3))</f>
        <v>15799.039300215722</v>
      </c>
      <c r="U344" s="46">
        <f>I344*'Tier 3 CO2 Tables'!H$18/10000</f>
        <v>4.76319972786471</v>
      </c>
      <c r="V344" s="46">
        <f>44.011*(U344/(12.011+1.008*'Tier 3 CO2 Tables'!B$6+16*'Tier 3 CO2 Tables'!C$6))</f>
        <v>14.859550089388001</v>
      </c>
      <c r="W344" s="46">
        <f>I344*'T3 Methane'!D$39</f>
        <v>22154417.338905625</v>
      </c>
      <c r="X344" s="46" cm="1">
        <f t="array" ref="X344">_xlfn.IFS(E344='Euro Age Table'!C$5,'Euro Age Table'!G$5,E344='Euro Age Table'!C$6,'Euro Age Table'!G$6,E344='Euro Age Table'!C$7,'Euro Age Table'!G$7,E344='Euro Age Table'!C$8,'Euro Age Table'!G$8,E344='Euro Age Table'!C$9,'Euro Age Table'!G$9,E344='Euro Age Table'!C$10,'Euro Age Table'!G$10,E344='Euro Age Table'!C$11,'Euro Age Table'!G$11)</f>
        <v>27</v>
      </c>
      <c r="Y344" s="46">
        <f>X344*'Eilat Car Data'!F$10</f>
        <v>202500</v>
      </c>
      <c r="Z344" s="46">
        <f>'T3 N2O PC-Diesel LPG'!B$19</f>
        <v>2</v>
      </c>
      <c r="AA344" s="124">
        <f t="shared" si="23"/>
        <v>221544.17338905626</v>
      </c>
    </row>
    <row r="345" spans="1:27" ht="12.5">
      <c r="A345" s="56" t="s">
        <v>10</v>
      </c>
      <c r="B345" s="56" t="s">
        <v>20</v>
      </c>
      <c r="C345" s="56" t="s">
        <v>100</v>
      </c>
      <c r="D345" s="56" t="s">
        <v>102</v>
      </c>
      <c r="E345" s="50" t="s">
        <v>55</v>
      </c>
      <c r="F345" s="97">
        <v>4.5809440502802348E-3</v>
      </c>
      <c r="G345" s="99">
        <f t="shared" si="24"/>
        <v>7.7463763890238768</v>
      </c>
      <c r="H345" s="46"/>
      <c r="I345" s="46">
        <f>G345*'Eilat Car Data'!F$10</f>
        <v>58097.822917679077</v>
      </c>
      <c r="J345" s="46">
        <f>I345*'Tier 1 Coefficients'!I$12</f>
        <v>2033423.8021187678</v>
      </c>
      <c r="K345" s="46">
        <f t="shared" si="21"/>
        <v>2033.4238021187678</v>
      </c>
      <c r="L345" s="46">
        <f>K345*'Tier 1 Coefficients'!D$3</f>
        <v>6443.9200289143755</v>
      </c>
      <c r="M345" s="46">
        <f>K345*'Tier 1 Coefficients'!C$23</f>
        <v>109398.20055398969</v>
      </c>
      <c r="N345" s="46">
        <f>K345*'Tier 1 Coefficients'!C$47</f>
        <v>119.97200432500729</v>
      </c>
      <c r="O345" s="46">
        <f>I345*'Tier 2 FC'!D$65</f>
        <v>2672499.8542132378</v>
      </c>
      <c r="P345" s="46">
        <f t="shared" si="22"/>
        <v>2672.4998542132375</v>
      </c>
      <c r="Q345" s="46">
        <f>P345*'Tier 1 Coefficients'!D$3</f>
        <v>8469.15203800175</v>
      </c>
      <c r="R345" s="46">
        <f>$I345*'T2 L-Cat'!C23</f>
        <v>116.19564583535816</v>
      </c>
      <c r="S345" s="46">
        <f>$I345*'T2 L-Cat'!D23</f>
        <v>17952.227281562835</v>
      </c>
      <c r="T345" s="46">
        <f>44.011*(P345/(12.011+1.008*'Tier 3 CO2 Tables'!B$3+16*'Tier 3 CO2 Tables'!C$3))</f>
        <v>8470.4311922455618</v>
      </c>
      <c r="U345" s="46">
        <f>I345*'Tier 3 CO2 Tables'!H$18/10000</f>
        <v>2.4982063854602004</v>
      </c>
      <c r="V345" s="46">
        <f>44.011*(U345/(12.011+1.008*'Tier 3 CO2 Tables'!B$6+16*'Tier 3 CO2 Tables'!C$6))</f>
        <v>7.793547413351126</v>
      </c>
      <c r="W345" s="46">
        <f>I345*'T3 Methane'!D$39</f>
        <v>11619564.583535815</v>
      </c>
      <c r="X345" s="46" cm="1">
        <f t="array" ref="X345">_xlfn.IFS(E345='Euro Age Table'!C$5,'Euro Age Table'!G$5,E345='Euro Age Table'!C$6,'Euro Age Table'!G$6,E345='Euro Age Table'!C$7,'Euro Age Table'!G$7,E345='Euro Age Table'!C$8,'Euro Age Table'!G$8,E345='Euro Age Table'!C$9,'Euro Age Table'!G$9,E345='Euro Age Table'!C$10,'Euro Age Table'!G$10,E345='Euro Age Table'!C$11,'Euro Age Table'!G$11)</f>
        <v>23</v>
      </c>
      <c r="Y345" s="46">
        <f>X345*'Eilat Car Data'!F$10</f>
        <v>172500</v>
      </c>
      <c r="Z345" s="46">
        <f>'T3 N2O PC-Diesel LPG'!B$19</f>
        <v>2</v>
      </c>
      <c r="AA345" s="124">
        <f t="shared" si="23"/>
        <v>116195.64583535815</v>
      </c>
    </row>
    <row r="346" spans="1:27" ht="12.5">
      <c r="A346" s="56" t="s">
        <v>10</v>
      </c>
      <c r="B346" s="56" t="s">
        <v>20</v>
      </c>
      <c r="C346" s="56" t="s">
        <v>100</v>
      </c>
      <c r="D346" s="56" t="s">
        <v>102</v>
      </c>
      <c r="E346" s="50" t="s">
        <v>56</v>
      </c>
      <c r="F346" s="97">
        <v>3.0388440729581753E-3</v>
      </c>
      <c r="G346" s="99">
        <f t="shared" si="24"/>
        <v>5.1386853273722748</v>
      </c>
      <c r="H346" s="46"/>
      <c r="I346" s="46">
        <f>G346*'Eilat Car Data'!F$10</f>
        <v>38540.139955292063</v>
      </c>
      <c r="J346" s="46">
        <f>I346*'Tier 1 Coefficients'!I$12</f>
        <v>1348904.8984352222</v>
      </c>
      <c r="K346" s="46">
        <f t="shared" si="21"/>
        <v>1348.9048984352223</v>
      </c>
      <c r="L346" s="46">
        <f>K346*'Tier 1 Coefficients'!D$3</f>
        <v>4274.67962314122</v>
      </c>
      <c r="M346" s="46">
        <f>K346*'Tier 1 Coefficients'!C$23</f>
        <v>72571.083535814963</v>
      </c>
      <c r="N346" s="46">
        <f>K346*'Tier 1 Coefficients'!C$47</f>
        <v>79.585389007678117</v>
      </c>
      <c r="O346" s="46">
        <f>I346*'Tier 2 FC'!D$65</f>
        <v>1772846.4379434348</v>
      </c>
      <c r="P346" s="46">
        <f t="shared" si="22"/>
        <v>1772.8464379434349</v>
      </c>
      <c r="Q346" s="46">
        <f>P346*'Tier 1 Coefficients'!D$3</f>
        <v>5618.150361842745</v>
      </c>
      <c r="R346" s="46">
        <f>$I346*'T2 L-Cat'!C24</f>
        <v>77.080279910584125</v>
      </c>
      <c r="S346" s="46">
        <f>$I346*'T2 L-Cat'!D24</f>
        <v>8517.3709301195468</v>
      </c>
      <c r="T346" s="46">
        <f>44.011*(P346/(12.011+1.008*'Tier 3 CO2 Tables'!B$3+16*'Tier 3 CO2 Tables'!C$3))</f>
        <v>5618.9989097074522</v>
      </c>
      <c r="U346" s="46">
        <f>I346*'Tier 3 CO2 Tables'!H$18/10000</f>
        <v>1.6572260180775586</v>
      </c>
      <c r="V346" s="46">
        <f>44.011*(U346/(12.011+1.008*'Tier 3 CO2 Tables'!B$6+16*'Tier 3 CO2 Tables'!C$6))</f>
        <v>5.1699769969754996</v>
      </c>
      <c r="W346" s="46">
        <f>I346*'T3 Methane'!D$39</f>
        <v>7708027.9910584129</v>
      </c>
      <c r="X346" s="46" cm="1">
        <f t="array" ref="X346">_xlfn.IFS(E346='Euro Age Table'!C$5,'Euro Age Table'!G$5,E346='Euro Age Table'!C$6,'Euro Age Table'!G$6,E346='Euro Age Table'!C$7,'Euro Age Table'!G$7,E346='Euro Age Table'!C$8,'Euro Age Table'!G$8,E346='Euro Age Table'!C$9,'Euro Age Table'!G$9,E346='Euro Age Table'!C$10,'Euro Age Table'!G$10,E346='Euro Age Table'!C$11,'Euro Age Table'!G$11)</f>
        <v>18</v>
      </c>
      <c r="Y346" s="46">
        <f>X346*'Eilat Car Data'!F$10</f>
        <v>135000</v>
      </c>
      <c r="Z346" s="46">
        <f>'T3 N2O PC-Diesel LPG'!B$19</f>
        <v>2</v>
      </c>
      <c r="AA346" s="124">
        <f t="shared" si="23"/>
        <v>77080.279910584126</v>
      </c>
    </row>
    <row r="347" spans="1:27" ht="12.5">
      <c r="A347" s="56" t="s">
        <v>10</v>
      </c>
      <c r="B347" s="56" t="s">
        <v>20</v>
      </c>
      <c r="C347" s="57" t="s">
        <v>100</v>
      </c>
      <c r="D347" s="57" t="s">
        <v>102</v>
      </c>
      <c r="E347" s="50" t="s">
        <v>57</v>
      </c>
      <c r="F347" s="97">
        <v>7.1707648945475752E-2</v>
      </c>
      <c r="G347" s="99">
        <f t="shared" si="24"/>
        <v>121.25763436679949</v>
      </c>
      <c r="H347" s="46"/>
      <c r="I347" s="46">
        <f>G347*'Eilat Car Data'!F$10</f>
        <v>909432.25775099616</v>
      </c>
      <c r="J347" s="46">
        <f>I347*'Tier 1 Coefficients'!I$12</f>
        <v>31830129.021284867</v>
      </c>
      <c r="K347" s="46">
        <f t="shared" si="21"/>
        <v>31830.129021284865</v>
      </c>
      <c r="L347" s="46">
        <f>K347*'Tier 1 Coefficients'!D$3</f>
        <v>100869.67886845174</v>
      </c>
      <c r="M347" s="46">
        <f>K347*'Tier 1 Coefficients'!C$23</f>
        <v>1712460.9413451257</v>
      </c>
      <c r="N347" s="46">
        <f>K347*'Tier 1 Coefficients'!C$47</f>
        <v>1877.9776122558069</v>
      </c>
      <c r="O347" s="46">
        <f>I347*'Tier 2 FC'!D$65</f>
        <v>41833883.856545821</v>
      </c>
      <c r="P347" s="46">
        <f t="shared" si="22"/>
        <v>41833.883856545821</v>
      </c>
      <c r="Q347" s="46">
        <f>P347*'Tier 1 Coefficients'!D$3</f>
        <v>132571.57794139371</v>
      </c>
      <c r="R347" s="46">
        <f>$I347*'T2 L-Cat'!C25</f>
        <v>1818.8645155019924</v>
      </c>
      <c r="S347" s="46">
        <f>$I347*'T2 L-Cat'!D25</f>
        <v>120954.4902808825</v>
      </c>
      <c r="T347" s="46">
        <f>44.011*(P347/(12.011+1.008*'Tier 3 CO2 Tables'!B$3+16*'Tier 3 CO2 Tables'!C$3))</f>
        <v>132591.60113802209</v>
      </c>
      <c r="U347" s="46">
        <f>I347*'Tier 3 CO2 Tables'!H$18/10000</f>
        <v>39.105587083292832</v>
      </c>
      <c r="V347" s="46">
        <f>44.011*(U347/(12.011+1.008*'Tier 3 CO2 Tables'!B$6+16*'Tier 3 CO2 Tables'!C$6))</f>
        <v>121.99602436146662</v>
      </c>
      <c r="W347" s="46">
        <f>I347*'T3 Methane'!D$39</f>
        <v>181886451.55019924</v>
      </c>
      <c r="X347" s="46" cm="1">
        <f t="array" ref="X347">_xlfn.IFS(E347='Euro Age Table'!C$5,'Euro Age Table'!G$5,E347='Euro Age Table'!C$6,'Euro Age Table'!G$6,E347='Euro Age Table'!C$7,'Euro Age Table'!G$7,E347='Euro Age Table'!C$8,'Euro Age Table'!G$8,E347='Euro Age Table'!C$9,'Euro Age Table'!G$9,E347='Euro Age Table'!C$10,'Euro Age Table'!G$10,E347='Euro Age Table'!C$11,'Euro Age Table'!G$11)</f>
        <v>16</v>
      </c>
      <c r="Y347" s="46">
        <f>X347*'Eilat Car Data'!F$10</f>
        <v>120000</v>
      </c>
      <c r="Z347" s="46">
        <f>'T3 N2O PC-Diesel LPG'!B$19</f>
        <v>2</v>
      </c>
      <c r="AA347" s="124">
        <f t="shared" si="23"/>
        <v>1818864.5155019923</v>
      </c>
    </row>
    <row r="348" spans="1:27" ht="12.5">
      <c r="A348" s="61" t="s">
        <v>10</v>
      </c>
      <c r="B348" s="62" t="s">
        <v>64</v>
      </c>
      <c r="C348" s="57" t="s">
        <v>100</v>
      </c>
      <c r="D348" s="57" t="s">
        <v>102</v>
      </c>
      <c r="E348" s="50" t="s">
        <v>57</v>
      </c>
      <c r="F348" s="97">
        <v>1.0308743966047883E-2</v>
      </c>
      <c r="G348" s="99">
        <f t="shared" si="24"/>
        <v>17.432086046586971</v>
      </c>
      <c r="H348" s="46"/>
      <c r="I348" s="46">
        <f>G348*'Eilat Car Data'!F$10</f>
        <v>130740.64534940229</v>
      </c>
      <c r="J348" s="46">
        <f>I348*0</f>
        <v>0</v>
      </c>
      <c r="K348" s="46">
        <f t="shared" si="21"/>
        <v>0</v>
      </c>
      <c r="L348" s="46">
        <f>K348*0</f>
        <v>0</v>
      </c>
      <c r="M348" s="46">
        <f>K348*0</f>
        <v>0</v>
      </c>
      <c r="N348" s="46">
        <f>K348*0</f>
        <v>0</v>
      </c>
      <c r="O348" s="46">
        <f>I348*0</f>
        <v>0</v>
      </c>
      <c r="P348" s="46">
        <f t="shared" si="22"/>
        <v>0</v>
      </c>
      <c r="Q348" s="46">
        <f>P3480</f>
        <v>0</v>
      </c>
      <c r="R348" s="46">
        <f>I348*0</f>
        <v>0</v>
      </c>
      <c r="S348" s="46">
        <f>I348*0</f>
        <v>0</v>
      </c>
      <c r="T348" s="46">
        <f>P348*0</f>
        <v>0</v>
      </c>
      <c r="U348" s="46">
        <f>I348*0</f>
        <v>0</v>
      </c>
      <c r="V348" s="46">
        <f>44.011*(U348/(12.011+1.008*'Tier 3 CO2 Tables'!B$6+16*'Tier 3 CO2 Tables'!C$6))</f>
        <v>0</v>
      </c>
      <c r="W348" s="46">
        <f>I348*0</f>
        <v>0</v>
      </c>
      <c r="X348" s="46" cm="1">
        <f t="array" ref="X348">_xlfn.IFS(E348='Euro Age Table'!C$5,'Euro Age Table'!G$5,E348='Euro Age Table'!C$6,'Euro Age Table'!G$6,E348='Euro Age Table'!C$7,'Euro Age Table'!G$7,E348='Euro Age Table'!C$8,'Euro Age Table'!G$8,E348='Euro Age Table'!C$9,'Euro Age Table'!G$9,E348='Euro Age Table'!C$10,'Euro Age Table'!G$10,E348='Euro Age Table'!C$11,'Euro Age Table'!G$11)</f>
        <v>16</v>
      </c>
      <c r="Y348" s="46">
        <f>X348*'Eilat Car Data'!F$10</f>
        <v>120000</v>
      </c>
      <c r="Z348" s="46">
        <v>0</v>
      </c>
      <c r="AA348" s="124">
        <f t="shared" si="23"/>
        <v>0</v>
      </c>
    </row>
    <row r="349" spans="1:27" ht="12.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7" ht="12.5">
      <c r="A350" s="76" t="s">
        <v>262</v>
      </c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>
        <f>SUM(L2:L348)</f>
        <v>95461334.415598944</v>
      </c>
      <c r="M350" s="46">
        <f>SUM(M2:M348)/1000</f>
        <v>248658.18644180137</v>
      </c>
      <c r="N350" s="46">
        <f>SUM(N2:N348)/1000</f>
        <v>4824.1251643593178</v>
      </c>
      <c r="O350" s="46"/>
      <c r="P350" s="46"/>
      <c r="Q350" s="46">
        <f>SUM(Q2:Q348)</f>
        <v>83680361.409244061</v>
      </c>
      <c r="R350" s="46">
        <f>SUM(R2:R348)/1000</f>
        <v>1079.0871968334814</v>
      </c>
      <c r="S350" s="46">
        <f>SUM(S2:S348)/1000</f>
        <v>163314.95217333894</v>
      </c>
      <c r="T350" s="46">
        <f>SUM(T2:T348)</f>
        <v>82474195.726061776</v>
      </c>
      <c r="U350" s="46"/>
      <c r="V350" s="46">
        <f>SUM(V2:V348)</f>
        <v>165249.08598638169</v>
      </c>
      <c r="W350" s="46">
        <f>SUM(W2:W348)/1000000</f>
        <v>6155.9276125319229</v>
      </c>
      <c r="X350" s="46"/>
      <c r="Y350" s="46"/>
      <c r="Z350" s="46"/>
      <c r="AA350" s="124">
        <f>SUM(AA2:AA348)/1000000</f>
        <v>1753.9976923001734</v>
      </c>
    </row>
    <row r="351" spans="1:27" ht="12.5">
      <c r="A351" s="76" t="s">
        <v>263</v>
      </c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>
        <f>L350</f>
        <v>95461334.415598944</v>
      </c>
      <c r="M351" s="46">
        <f>M350</f>
        <v>248658.18644180137</v>
      </c>
      <c r="N351" s="46">
        <f>N350*298</f>
        <v>1437589.2989790768</v>
      </c>
      <c r="O351" s="46"/>
      <c r="P351" s="46"/>
      <c r="Q351" s="46">
        <f>Q350</f>
        <v>83680361.409244061</v>
      </c>
      <c r="R351" s="46">
        <f>R350*298</f>
        <v>321567.98465637746</v>
      </c>
      <c r="S351" s="46">
        <f>S350</f>
        <v>163314.95217333894</v>
      </c>
      <c r="T351" s="46">
        <f>T350</f>
        <v>82474195.726061776</v>
      </c>
      <c r="U351" s="46"/>
      <c r="V351" s="46">
        <f>V350</f>
        <v>165249.08598638169</v>
      </c>
      <c r="W351" s="46">
        <f>W350*84</f>
        <v>517097.91945268156</v>
      </c>
      <c r="X351" s="46"/>
      <c r="Y351" s="46"/>
      <c r="Z351" s="46"/>
      <c r="AA351" s="124">
        <f>AA350*298</f>
        <v>522691.31230545166</v>
      </c>
    </row>
    <row r="352" spans="1:27" ht="12.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76" t="s">
        <v>264</v>
      </c>
      <c r="M352" s="46">
        <f>SUM(L351:N351)</f>
        <v>97147581.901019812</v>
      </c>
      <c r="N352" s="46"/>
      <c r="O352" s="46"/>
      <c r="P352" s="46"/>
      <c r="Q352" s="76" t="s">
        <v>266</v>
      </c>
      <c r="R352" s="46">
        <f>SUM(Q351:S351)</f>
        <v>84165244.346073776</v>
      </c>
      <c r="S352" s="46"/>
      <c r="T352" s="46"/>
      <c r="U352" s="76" t="s">
        <v>318</v>
      </c>
      <c r="V352" s="46">
        <f>SUM(T351,V351,W351,AA351)</f>
        <v>83679234.043806285</v>
      </c>
      <c r="W352" s="46"/>
      <c r="X352" s="46"/>
      <c r="Y352" s="46"/>
      <c r="Z352" s="46"/>
    </row>
    <row r="353" spans="1:26" ht="12.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76" t="s">
        <v>265</v>
      </c>
      <c r="M353" s="46">
        <f>M352/1000</f>
        <v>97147.581901019817</v>
      </c>
      <c r="N353" s="46"/>
      <c r="O353" s="46"/>
      <c r="P353" s="46"/>
      <c r="Q353" s="76" t="s">
        <v>267</v>
      </c>
      <c r="R353" s="46">
        <f>R352/1000</f>
        <v>84165.24434607377</v>
      </c>
      <c r="S353" s="46"/>
      <c r="T353" s="46"/>
      <c r="U353" s="76" t="s">
        <v>319</v>
      </c>
      <c r="V353" s="46">
        <f>V352/1000</f>
        <v>83679.234043806282</v>
      </c>
      <c r="W353" s="46"/>
      <c r="X353" s="46"/>
      <c r="Y353" s="46"/>
      <c r="Z353" s="46"/>
    </row>
    <row r="354" spans="1:26" ht="12.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2.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2.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2.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2.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2.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2.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2.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2.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2.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2.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2.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2.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2.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2.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2.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2.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2.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2.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2.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2.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2.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2.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2.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2.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2.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2.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2.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2.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2.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2.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2.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2.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2.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2.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2.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2.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2.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2.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2.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2.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2.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2.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2.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2.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2.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2.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2.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2.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2.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2.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2.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2.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2.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2.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2.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2.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2.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2.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2.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2.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2.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2.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2.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2.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2.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2.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2.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2.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2.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2.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2.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2.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2.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2.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2.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2.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2.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2.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2.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2.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2.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2.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2.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2.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2.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2.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2.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2.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2.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2.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2.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2.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2.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2.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2.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2.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2.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2.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2.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2.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2.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2.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2.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2.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2.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2.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2.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2.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2.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2.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2.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2.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2.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2.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2.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2.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2.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2.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2.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2.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2.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2.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2.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2.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2.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2.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2.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2.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2.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2.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2.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2.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2.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2.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2.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2.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2.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2.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2.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2.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2.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2.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2.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2.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2.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2.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2.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2.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2.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2.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2.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2.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2.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2.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2.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2.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2.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2.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2.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2.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2.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2.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2.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2.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2.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2.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2.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2.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2.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2.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2.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2.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2.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2.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2.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2.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2.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2.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2.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2.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2.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2.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2.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2.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2.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2.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2.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2.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2.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2.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2.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2.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2.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2.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2.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2.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2.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2.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2.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2.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2.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2.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2.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2.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2.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2.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2.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2.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2.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2.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2.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2.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2.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2.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2.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2.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2.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2.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2.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2.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2.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2.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2.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2.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2.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2.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2.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2.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2.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2.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2.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2.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2.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2.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2.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2.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2.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2.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2.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2.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2.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2.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2.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2.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2.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2.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2.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2.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2.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2.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2.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2.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2.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2.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2.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2.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2.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2.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2.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2.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2.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2.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2.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2.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2.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2.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2.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2.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2.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2.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2.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2.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2.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2.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2.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2.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2.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2.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2.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2.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2.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2.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2.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2.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2.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2.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2.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2.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2.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2.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2.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2.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2.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2.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2.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2.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2.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2.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2.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2.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2.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2.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2.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2.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2.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2.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2.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2.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2.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2.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2.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2.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2.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2.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2.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2.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2.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2.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2.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2.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2.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2.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2.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2.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2.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2.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2.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2.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2.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2.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2.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2.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2.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2.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2.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2.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2.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2.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2.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2.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2.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2.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2.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2.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2.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2.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2.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2.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2.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2.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2.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2.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2.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2.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2.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2.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2.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2.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2.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2.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2.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2.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2.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2.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2.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2.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2.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2.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2.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2.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2.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2.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2.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2.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2.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2.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2.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2.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2.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2.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2.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2.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2.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2.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2.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2.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2.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2.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2.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2.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2.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2.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2.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2.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2.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2.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2.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2.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2.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2.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2.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2.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2.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2.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2.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2.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2.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2.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2.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2.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2.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2.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2.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2.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2.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2.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2.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2.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2.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2.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2.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2.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2.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2.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2.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2.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2.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2.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2.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2.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2.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2.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2.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2.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2.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2.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2.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2.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2.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2.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2.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2.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2.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2.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2.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2.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2.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2.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2.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2.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2.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2.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2.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2.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2.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2.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2.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2.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2.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2.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2.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2.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2.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2.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2.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2.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2.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2.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2.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2.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2.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2.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2.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2.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2.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2.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2.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2.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2.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2.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2.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2.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2.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2.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2.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2.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2.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2.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2.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2.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2.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2.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2.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2.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2.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2.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2.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2.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2.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2.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2.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2.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2.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2.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2.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2.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2.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2.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2.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2.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2.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2.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2.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2.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2.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2.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2.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2.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2.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2.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2.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2.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2.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2.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2.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2.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2.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2.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2.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2.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2.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2.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2.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2.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2.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2.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2.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2.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2.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2.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2.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2.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2.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2.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2.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2.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2.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2.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2.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2.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2.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2.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2.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2.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2.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2.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2.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2.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2.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2.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2.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2.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2.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2.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2.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2.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2.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2.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2.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2.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2.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2.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2.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2.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2.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2.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2.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2.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2.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2.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2.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2.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2.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2.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2.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2.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2.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2.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2.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2.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2.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2.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2.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2.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2.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2.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2.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2.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2.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2.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2.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2.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2.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2.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2.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2.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2.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2.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2.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2.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2.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2.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2.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2.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2.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2.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2.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2.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2.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2.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2.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2.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2.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2.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2.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2.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2.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2.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2.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2.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2.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2.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2.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2.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2.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2.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2.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2.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2.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2.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2.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2.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2.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2.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2.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</sheetData>
  <pageMargins left="0.7" right="0.7" top="0.75" bottom="0.75" header="0.3" footer="0.3"/>
  <pageSetup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999"/>
  <sheetViews>
    <sheetView topLeftCell="M1" workbookViewId="0">
      <pane ySplit="1" topLeftCell="A63" activePane="bottomLeft" state="frozen"/>
      <selection activeCell="P1" sqref="P1"/>
      <selection pane="bottomLeft" activeCell="G3" sqref="G3"/>
    </sheetView>
  </sheetViews>
  <sheetFormatPr defaultColWidth="12.6328125" defaultRowHeight="15.75" customHeight="1" outlineLevelCol="2"/>
  <cols>
    <col min="3" max="3" width="12.6328125" hidden="1" customWidth="1"/>
    <col min="6" max="6" width="12.6328125" hidden="1" customWidth="1"/>
    <col min="8" max="8" width="0" hidden="1" customWidth="1"/>
    <col min="10" max="16" width="12.6328125" customWidth="1" outlineLevel="1"/>
    <col min="17" max="22" width="12.6328125" customWidth="1" outlineLevel="2"/>
    <col min="23" max="24" width="12.6328125" customWidth="1" outlineLevel="1"/>
    <col min="27" max="27" width="12.6328125" style="124"/>
  </cols>
  <sheetData>
    <row r="1" spans="1:27" s="116" customFormat="1" ht="38" customHeight="1">
      <c r="A1" s="113" t="s">
        <v>44</v>
      </c>
      <c r="B1" s="114" t="s">
        <v>45</v>
      </c>
      <c r="C1" s="115" t="s">
        <v>46</v>
      </c>
      <c r="D1" s="115" t="s">
        <v>47</v>
      </c>
      <c r="E1" s="113" t="s">
        <v>48</v>
      </c>
      <c r="F1" s="114" t="s">
        <v>49</v>
      </c>
      <c r="G1" s="64" t="s">
        <v>50</v>
      </c>
      <c r="H1" s="64" t="s">
        <v>103</v>
      </c>
      <c r="I1" s="64" t="s">
        <v>317</v>
      </c>
      <c r="J1" s="64" t="s">
        <v>230</v>
      </c>
      <c r="K1" s="64" t="s">
        <v>231</v>
      </c>
      <c r="L1" s="64" t="s">
        <v>232</v>
      </c>
      <c r="M1" s="64" t="s">
        <v>233</v>
      </c>
      <c r="N1" s="64" t="s">
        <v>234</v>
      </c>
      <c r="O1" s="64" t="s">
        <v>253</v>
      </c>
      <c r="P1" s="64" t="s">
        <v>254</v>
      </c>
      <c r="Q1" s="64" t="s">
        <v>235</v>
      </c>
      <c r="R1" s="64" t="s">
        <v>237</v>
      </c>
      <c r="S1" s="64" t="s">
        <v>236</v>
      </c>
      <c r="T1" s="64" t="s">
        <v>252</v>
      </c>
      <c r="U1" s="64" t="s">
        <v>261</v>
      </c>
      <c r="V1" s="64" t="s">
        <v>312</v>
      </c>
      <c r="W1" s="64" t="s">
        <v>311</v>
      </c>
      <c r="X1" s="64" t="s">
        <v>313</v>
      </c>
      <c r="Y1" s="64" t="s">
        <v>314</v>
      </c>
      <c r="Z1" s="64" t="s">
        <v>315</v>
      </c>
      <c r="AA1" s="64" t="s">
        <v>316</v>
      </c>
    </row>
    <row r="2" spans="1:27" ht="15.75" customHeight="1">
      <c r="A2" s="89" t="s">
        <v>51</v>
      </c>
      <c r="B2" s="53"/>
      <c r="C2" s="53"/>
      <c r="D2" s="53"/>
      <c r="E2" s="53"/>
      <c r="F2" s="86"/>
      <c r="G2" s="129">
        <f>24731+2055</f>
        <v>26786</v>
      </c>
      <c r="H2" s="46">
        <f>SUM(G3:G75)</f>
        <v>26708.666803399417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7" ht="15.75" customHeight="1">
      <c r="A3" s="48" t="s">
        <v>51</v>
      </c>
      <c r="B3" s="49" t="s">
        <v>20</v>
      </c>
      <c r="C3" s="49" t="s">
        <v>52</v>
      </c>
      <c r="D3" s="49" t="s">
        <v>53</v>
      </c>
      <c r="E3" s="50" t="s">
        <v>54</v>
      </c>
      <c r="F3" s="80">
        <v>8.1022869423903895E-4</v>
      </c>
      <c r="G3" s="103">
        <f t="shared" ref="G3:G94" si="0">F3*$G$2</f>
        <v>21.702785803886897</v>
      </c>
      <c r="H3" s="46"/>
      <c r="I3" s="46">
        <f>G3*'Eilat Car Data'!F$15</f>
        <v>318282.51120718603</v>
      </c>
      <c r="J3" s="46">
        <f>I3*'Tier 1 Coefficients'!I$3</f>
        <v>22279775.784503024</v>
      </c>
      <c r="K3" s="46">
        <f>J3/1000</f>
        <v>22279.775784503025</v>
      </c>
      <c r="L3" s="46">
        <f>K3*'Tier 1 Coefficients'!D$3</f>
        <v>70604.609461090091</v>
      </c>
      <c r="M3" s="46">
        <f>K3*'Tier 1 Coefficients'!C$16</f>
        <v>196953.21793500675</v>
      </c>
      <c r="N3" s="46">
        <f>K3*'Tier 1 Coefficients'!C$40</f>
        <v>4589.6338116076231</v>
      </c>
      <c r="O3" s="46">
        <f>I3*'Tier 2 FC'!D3</f>
        <v>20688363.228467092</v>
      </c>
      <c r="P3" s="46">
        <f>O3/1000</f>
        <v>20688.363228467093</v>
      </c>
      <c r="Q3" s="46">
        <f>P3*'Tier 1 Coefficients'!D$3</f>
        <v>65561.423071012221</v>
      </c>
      <c r="R3" s="46">
        <f>$I3*'T2 PC'!C12</f>
        <v>3182.8251120718605</v>
      </c>
      <c r="S3" s="46">
        <f>$I3*'T2 PC'!D12</f>
        <v>211021.30493036436</v>
      </c>
      <c r="T3" s="46">
        <f>44.011*(P3/(12.011+1.008*'Tier 3 CO2 Tables'!B$3+16*'Tier 3 CO2 Tables'!C$3))</f>
        <v>65571.325263365754</v>
      </c>
      <c r="U3" s="46">
        <f>I3*'Tier 3 CO2 Tables'!H$3/10000</f>
        <v>46.150964125041973</v>
      </c>
      <c r="V3" s="46">
        <f>44.011*(U3/(12.011+1.008*'Tier 3 CO2 Tables'!B$6+16*'Tier 3 CO2 Tables'!C$6))</f>
        <v>143.97518522638956</v>
      </c>
      <c r="W3" s="46">
        <f>I3*'T3 Methane'!D2</f>
        <v>41695008.96814137</v>
      </c>
      <c r="X3" s="46" cm="1">
        <f t="array" ref="X3">_xlfn.IFS(E3='Euro Age Table'!C$5,'Euro Age Table'!G$5,E3='Euro Age Table'!C$6,'Euro Age Table'!G$6,E3='Euro Age Table'!C$7,'Euro Age Table'!G$7,E3='Euro Age Table'!C$8,'Euro Age Table'!G$8,E3='Euro Age Table'!C$9,'Euro Age Table'!G$9,E3='Euro Age Table'!C$10,'Euro Age Table'!G$10,E3='Euro Age Table'!C$11,'Euro Age Table'!G$11)</f>
        <v>27</v>
      </c>
      <c r="Y3" s="46">
        <f>X3*'Eilat Car Data'!F$15</f>
        <v>395968.88068880688</v>
      </c>
      <c r="Z3" s="46">
        <f>('T3 N2O PC-Petrol'!D2*Y3+'T3 N2O PC-Petrol'!E2)*'T3 N2O PC-Petrol'!C2</f>
        <v>10</v>
      </c>
      <c r="AA3" s="124">
        <f>Z3*I3</f>
        <v>3182825.1120718606</v>
      </c>
    </row>
    <row r="4" spans="1:27" ht="15.75" customHeight="1">
      <c r="A4" s="48" t="s">
        <v>51</v>
      </c>
      <c r="B4" s="49" t="s">
        <v>20</v>
      </c>
      <c r="C4" s="49" t="s">
        <v>52</v>
      </c>
      <c r="D4" s="49" t="s">
        <v>53</v>
      </c>
      <c r="E4" s="50" t="s">
        <v>55</v>
      </c>
      <c r="F4" s="97">
        <v>2.50418477746164E-4</v>
      </c>
      <c r="G4" s="99">
        <f t="shared" si="0"/>
        <v>6.707709344908749</v>
      </c>
      <c r="H4" s="46"/>
      <c r="I4" s="46">
        <f>G4*'Eilat Car Data'!F$15</f>
        <v>98372.00597368028</v>
      </c>
      <c r="J4" s="46">
        <f>I4*'Tier 1 Coefficients'!I$3</f>
        <v>6886040.4181576194</v>
      </c>
      <c r="K4" s="46">
        <f t="shared" ref="K4:K67" si="1">J4/1000</f>
        <v>6886.0404181576196</v>
      </c>
      <c r="L4" s="46">
        <f>K4*'Tier 1 Coefficients'!D$3</f>
        <v>21821.862085141496</v>
      </c>
      <c r="M4" s="46">
        <f>K4*'Tier 1 Coefficients'!C$16</f>
        <v>60872.597296513355</v>
      </c>
      <c r="N4" s="46">
        <f>K4*'Tier 1 Coefficients'!C$40</f>
        <v>1418.5243261404696</v>
      </c>
      <c r="O4" s="46">
        <f>I4*'Tier 2 FC'!D$4</f>
        <v>5508832.3345260955</v>
      </c>
      <c r="P4" s="46">
        <f t="shared" ref="P4:P67" si="2">O4/1000</f>
        <v>5508.8323345260951</v>
      </c>
      <c r="Q4" s="46">
        <f>P4*'Tier 1 Coefficients'!D$3</f>
        <v>17457.489668113194</v>
      </c>
      <c r="R4" s="46">
        <f>$I4*'T2 PC'!C13</f>
        <v>983.7200597368028</v>
      </c>
      <c r="S4" s="46">
        <f>$I4*'T2 PC'!D13</f>
        <v>58629.715560313445</v>
      </c>
      <c r="T4" s="46">
        <f>44.011*(P4/(12.011+1.008*'Tier 3 CO2 Tables'!B$3+16*'Tier 3 CO2 Tables'!C$3))</f>
        <v>17460.126392769344</v>
      </c>
      <c r="U4" s="46">
        <f>I4*'Tier 3 CO2 Tables'!H$3/10000</f>
        <v>14.26394086618364</v>
      </c>
      <c r="V4" s="46">
        <f>44.011*(U4/(12.011+1.008*'Tier 3 CO2 Tables'!B$6+16*'Tier 3 CO2 Tables'!C$6))</f>
        <v>44.498605114789449</v>
      </c>
      <c r="W4" s="46">
        <f>I4*'T3 Methane'!D3</f>
        <v>2557672.1553156874</v>
      </c>
      <c r="X4" s="46" cm="1">
        <f t="array" ref="X4">_xlfn.IFS(E4='Euro Age Table'!C$5,'Euro Age Table'!G$5,E4='Euro Age Table'!C$6,'Euro Age Table'!G$6,E4='Euro Age Table'!C$7,'Euro Age Table'!G$7,E4='Euro Age Table'!C$8,'Euro Age Table'!G$8,E4='Euro Age Table'!C$9,'Euro Age Table'!G$9,E4='Euro Age Table'!C$10,'Euro Age Table'!G$10,E4='Euro Age Table'!C$11,'Euro Age Table'!G$11)</f>
        <v>23</v>
      </c>
      <c r="Y4" s="46">
        <f>X4*'Eilat Car Data'!F$15</f>
        <v>337306.8242904651</v>
      </c>
      <c r="Z4" s="46">
        <f>('T3 N2O PC-Petrol'!D3*Y4+'T3 N2O PC-Petrol'!E3)*'T3 N2O PC-Petrol'!C3</f>
        <v>28.238281643037674</v>
      </c>
      <c r="AA4" s="124">
        <f t="shared" ref="AA4:AA67" si="3">Z4*I4</f>
        <v>2777856.4104753681</v>
      </c>
    </row>
    <row r="5" spans="1:27" ht="15.75" customHeight="1">
      <c r="A5" s="48" t="s">
        <v>51</v>
      </c>
      <c r="B5" s="49" t="s">
        <v>20</v>
      </c>
      <c r="C5" s="49" t="s">
        <v>52</v>
      </c>
      <c r="D5" s="49" t="s">
        <v>53</v>
      </c>
      <c r="E5" s="50" t="s">
        <v>56</v>
      </c>
      <c r="F5" s="97">
        <v>1.112357716113761E-3</v>
      </c>
      <c r="G5" s="99">
        <f t="shared" si="0"/>
        <v>29.795613783823203</v>
      </c>
      <c r="H5" s="46"/>
      <c r="I5" s="46">
        <f>G5*'Eilat Car Data'!F$15</f>
        <v>436967.99405246146</v>
      </c>
      <c r="J5" s="46">
        <f>I5*'Tier 1 Coefficients'!I$3</f>
        <v>30587759.583672304</v>
      </c>
      <c r="K5" s="46">
        <f t="shared" si="1"/>
        <v>30587.759583672305</v>
      </c>
      <c r="L5" s="46">
        <f>K5*'Tier 1 Coefficients'!D$3</f>
        <v>96932.61012065754</v>
      </c>
      <c r="M5" s="46">
        <f>K5*'Tier 1 Coefficients'!C$16</f>
        <v>270395.79471966316</v>
      </c>
      <c r="N5" s="46">
        <f>K5*'Tier 1 Coefficients'!C$40</f>
        <v>6301.078474236494</v>
      </c>
      <c r="O5" s="46">
        <f>I5*'Tier 2 FC'!D$4</f>
        <v>24470207.666937843</v>
      </c>
      <c r="P5" s="46">
        <f t="shared" si="2"/>
        <v>24470.207666937844</v>
      </c>
      <c r="Q5" s="46">
        <f>P5*'Tier 1 Coefficients'!D$3</f>
        <v>77546.088096526029</v>
      </c>
      <c r="R5" s="46">
        <f>$I5*'T2 PC'!C14</f>
        <v>2621.8079643147689</v>
      </c>
      <c r="S5" s="46">
        <f>$I5*'T2 PC'!D14</f>
        <v>231593.03684780459</v>
      </c>
      <c r="T5" s="46">
        <f>44.011*(P5/(12.011+1.008*'Tier 3 CO2 Tables'!B$3+16*'Tier 3 CO2 Tables'!C$3))</f>
        <v>77557.800415213263</v>
      </c>
      <c r="U5" s="46">
        <f>I5*'Tier 3 CO2 Tables'!H$3/10000</f>
        <v>63.360359137606913</v>
      </c>
      <c r="V5" s="46">
        <f>44.011*(U5/(12.011+1.008*'Tier 3 CO2 Tables'!B$6+16*'Tier 3 CO2 Tables'!C$6))</f>
        <v>197.66259742984784</v>
      </c>
      <c r="W5" s="46">
        <f>I5*'T3 Methane'!D4</f>
        <v>7428455.8988918448</v>
      </c>
      <c r="X5" s="46" cm="1">
        <f t="array" ref="X5">_xlfn.IFS(E5='Euro Age Table'!C$5,'Euro Age Table'!G$5,E5='Euro Age Table'!C$6,'Euro Age Table'!G$6,E5='Euro Age Table'!C$7,'Euro Age Table'!G$7,E5='Euro Age Table'!C$8,'Euro Age Table'!G$8,E5='Euro Age Table'!C$9,'Euro Age Table'!G$9,E5='Euro Age Table'!C$10,'Euro Age Table'!G$10,E5='Euro Age Table'!C$11,'Euro Age Table'!G$11)</f>
        <v>18</v>
      </c>
      <c r="Y5" s="46">
        <f>X5*'Eilat Car Data'!F$15</f>
        <v>263979.2537925379</v>
      </c>
      <c r="Z5" s="46">
        <f>('T3 N2O PC-Petrol'!D4*Y5+'T3 N2O PC-Petrol'!E4)*'T3 N2O PC-Petrol'!C4</f>
        <v>13.376886309446494</v>
      </c>
      <c r="AA5" s="124">
        <f t="shared" si="3"/>
        <v>5845271.1773066688</v>
      </c>
    </row>
    <row r="6" spans="1:27" ht="15.75" customHeight="1">
      <c r="A6" s="48" t="s">
        <v>51</v>
      </c>
      <c r="B6" s="49" t="s">
        <v>20</v>
      </c>
      <c r="C6" s="49" t="s">
        <v>52</v>
      </c>
      <c r="D6" s="49" t="s">
        <v>53</v>
      </c>
      <c r="E6" s="50" t="s">
        <v>57</v>
      </c>
      <c r="F6" s="97">
        <v>8.9566729552111157E-3</v>
      </c>
      <c r="G6" s="99">
        <f t="shared" si="0"/>
        <v>239.91344177828495</v>
      </c>
      <c r="H6" s="46"/>
      <c r="I6" s="46">
        <f>G6*'Eilat Car Data'!F$15</f>
        <v>3518453.9630795084</v>
      </c>
      <c r="J6" s="46">
        <f>I6*'Tier 1 Coefficients'!I$3</f>
        <v>246291777.41556558</v>
      </c>
      <c r="K6" s="46">
        <f t="shared" si="1"/>
        <v>246291.77741556559</v>
      </c>
      <c r="L6" s="46">
        <f>K6*'Tier 1 Coefficients'!D$3</f>
        <v>780498.64262992737</v>
      </c>
      <c r="M6" s="46">
        <f>K6*'Tier 1 Coefficients'!C$16</f>
        <v>2177219.3123535998</v>
      </c>
      <c r="N6" s="46">
        <f>K6*'Tier 1 Coefficients'!C$40</f>
        <v>50736.106147606508</v>
      </c>
      <c r="O6" s="46">
        <f>I6*'Tier 2 FC'!D$4</f>
        <v>197033421.93245247</v>
      </c>
      <c r="P6" s="46">
        <f t="shared" si="2"/>
        <v>197033.42193245247</v>
      </c>
      <c r="Q6" s="46">
        <f>P6*'Tier 1 Coefficients'!D$3</f>
        <v>624398.91410394188</v>
      </c>
      <c r="R6" s="46">
        <f>$I6*'T2 PC'!C15</f>
        <v>7036.9079261590168</v>
      </c>
      <c r="S6" s="46">
        <f>$I6*'T2 PC'!D15</f>
        <v>1632562.6388688919</v>
      </c>
      <c r="T6" s="46">
        <f>44.011*(P6/(12.011+1.008*'Tier 3 CO2 Tables'!B$3+16*'Tier 3 CO2 Tables'!C$3))</f>
        <v>624493.22136365622</v>
      </c>
      <c r="U6" s="46">
        <f>I6*'Tier 3 CO2 Tables'!H$3/10000</f>
        <v>510.17582464652872</v>
      </c>
      <c r="V6" s="46">
        <f>44.011*(U6/(12.011+1.008*'Tier 3 CO2 Tables'!B$6+16*'Tier 3 CO2 Tables'!C$6))</f>
        <v>1591.573659273867</v>
      </c>
      <c r="W6" s="46">
        <f>I6*'T3 Methane'!D5</f>
        <v>10555361.889238525</v>
      </c>
      <c r="X6" s="46" cm="1">
        <f t="array" ref="X6">_xlfn.IFS(E6='Euro Age Table'!C$5,'Euro Age Table'!G$5,E6='Euro Age Table'!C$6,'Euro Age Table'!G$6,E6='Euro Age Table'!C$7,'Euro Age Table'!G$7,E6='Euro Age Table'!C$8,'Euro Age Table'!G$8,E6='Euro Age Table'!C$9,'Euro Age Table'!G$9,E6='Euro Age Table'!C$10,'Euro Age Table'!G$10,E6='Euro Age Table'!C$11,'Euro Age Table'!G$11)</f>
        <v>16</v>
      </c>
      <c r="Y6" s="46">
        <f>X6*'Eilat Car Data'!F$15</f>
        <v>234648.22559336704</v>
      </c>
      <c r="Z6" s="46">
        <f>('T3 N2O PC-Petrol'!D5*Y6+'T3 N2O PC-Petrol'!E5)*'T3 N2O PC-Petrol'!C5</f>
        <v>1.642028982552048</v>
      </c>
      <c r="AA6" s="124">
        <f t="shared" si="3"/>
        <v>5777403.3811516659</v>
      </c>
    </row>
    <row r="7" spans="1:27" ht="15.75" customHeight="1">
      <c r="A7" s="48" t="s">
        <v>51</v>
      </c>
      <c r="B7" s="49" t="s">
        <v>20</v>
      </c>
      <c r="C7" s="49" t="s">
        <v>52</v>
      </c>
      <c r="D7" s="49" t="s">
        <v>53</v>
      </c>
      <c r="E7" s="50" t="s">
        <v>58</v>
      </c>
      <c r="F7" s="97">
        <v>3.3748392760756231E-2</v>
      </c>
      <c r="G7" s="99">
        <f t="shared" si="0"/>
        <v>903.9844484896164</v>
      </c>
      <c r="H7" s="46"/>
      <c r="I7" s="46">
        <f>G7*'Eilat Car Data'!F$15</f>
        <v>13257396.675130436</v>
      </c>
      <c r="J7" s="46">
        <f>I7*'Tier 1 Coefficients'!I$3</f>
        <v>928017767.25913048</v>
      </c>
      <c r="K7" s="46">
        <f t="shared" si="1"/>
        <v>928017.76725913049</v>
      </c>
      <c r="L7" s="46">
        <f>K7*'Tier 1 Coefficients'!D$3</f>
        <v>2940888.3044441845</v>
      </c>
      <c r="M7" s="46">
        <f>K7*'Tier 1 Coefficients'!C$16</f>
        <v>8203677.0625707135</v>
      </c>
      <c r="N7" s="46">
        <f>K7*'Tier 1 Coefficients'!C$40</f>
        <v>191171.66005538087</v>
      </c>
      <c r="O7" s="46">
        <f>I7*'Tier 2 FC'!D$4</f>
        <v>742414213.80730438</v>
      </c>
      <c r="P7" s="46">
        <f t="shared" si="2"/>
        <v>742414.21380730439</v>
      </c>
      <c r="Q7" s="46">
        <f>P7*'Tier 1 Coefficients'!D$3</f>
        <v>2352710.6435553478</v>
      </c>
      <c r="R7" s="46">
        <f>$I7*'T2 PC'!C16</f>
        <v>26514.793350260872</v>
      </c>
      <c r="S7" s="46">
        <f>$I7*'T2 PC'!D16</f>
        <v>5276443.8767019138</v>
      </c>
      <c r="T7" s="46">
        <f>44.011*(P7/(12.011+1.008*'Tier 3 CO2 Tables'!B$3+16*'Tier 3 CO2 Tables'!C$3))</f>
        <v>2353065.9896148662</v>
      </c>
      <c r="U7" s="46">
        <f>I7*'Tier 3 CO2 Tables'!H$3/10000</f>
        <v>1922.3225178939131</v>
      </c>
      <c r="V7" s="46">
        <f>44.011*(U7/(12.011+1.008*'Tier 3 CO2 Tables'!B$6+16*'Tier 3 CO2 Tables'!C$6))</f>
        <v>5996.9871881497556</v>
      </c>
      <c r="W7" s="46">
        <f>I7*'T3 Methane'!D$6</f>
        <v>38048728.457624353</v>
      </c>
      <c r="X7" s="46" cm="1">
        <f t="array" ref="X7">_xlfn.IFS(E7='Euro Age Table'!C$5,'Euro Age Table'!G$5,E7='Euro Age Table'!C$6,'Euro Age Table'!G$6,E7='Euro Age Table'!C$7,'Euro Age Table'!G$7,E7='Euro Age Table'!C$8,'Euro Age Table'!G$8,E7='Euro Age Table'!C$9,'Euro Age Table'!G$9,E7='Euro Age Table'!C$10,'Euro Age Table'!G$10,E7='Euro Age Table'!C$11,'Euro Age Table'!G$11)</f>
        <v>13</v>
      </c>
      <c r="Y7" s="46">
        <f>X7*'Eilat Car Data'!F$15</f>
        <v>190651.68329461073</v>
      </c>
      <c r="Z7" s="46">
        <f>('T3 N2O PC-Petrol'!D6*Y7+'T3 N2O PC-Petrol'!E6)*'T3 N2O PC-Petrol'!C6</f>
        <v>2.0083394490497017</v>
      </c>
      <c r="AA7" s="124">
        <f t="shared" si="3"/>
        <v>26625352.734364808</v>
      </c>
    </row>
    <row r="8" spans="1:27" ht="15.75" customHeight="1">
      <c r="A8" s="48" t="s">
        <v>51</v>
      </c>
      <c r="B8" s="49" t="s">
        <v>20</v>
      </c>
      <c r="C8" s="49" t="s">
        <v>52</v>
      </c>
      <c r="D8" s="49" t="s">
        <v>53</v>
      </c>
      <c r="E8" s="50" t="s">
        <v>59</v>
      </c>
      <c r="F8" s="97">
        <v>0.10995579038985683</v>
      </c>
      <c r="G8" s="99">
        <f t="shared" si="0"/>
        <v>2945.2758013827051</v>
      </c>
      <c r="H8" s="46"/>
      <c r="I8" s="46">
        <f>G8*'Eilat Car Data'!F$15</f>
        <v>43193983.792345867</v>
      </c>
      <c r="J8" s="46">
        <f>I8*'Tier 1 Coefficients'!I$3</f>
        <v>3023578865.4642105</v>
      </c>
      <c r="K8" s="46">
        <f t="shared" si="1"/>
        <v>3023578.8654642105</v>
      </c>
      <c r="L8" s="46">
        <f>K8*'Tier 1 Coefficients'!D$3</f>
        <v>9581721.4246560838</v>
      </c>
      <c r="M8" s="46">
        <f>K8*'Tier 1 Coefficients'!C$16</f>
        <v>26728437.17070362</v>
      </c>
      <c r="N8" s="46">
        <f>K8*'Tier 1 Coefficients'!C$40</f>
        <v>622857.24628562736</v>
      </c>
      <c r="O8" s="46">
        <f>I8*'Tier 2 FC'!D$4</f>
        <v>2418863092.3713684</v>
      </c>
      <c r="P8" s="46">
        <f t="shared" si="2"/>
        <v>2418863.0923713683</v>
      </c>
      <c r="Q8" s="46">
        <f>P8*'Tier 1 Coefficients'!D$3</f>
        <v>7665377.1397248665</v>
      </c>
      <c r="R8" s="46">
        <f>$I8*'T2 PC'!C17</f>
        <v>56152.178930049624</v>
      </c>
      <c r="S8" s="46">
        <f>$I8*'T2 PC'!D17</f>
        <v>17191205.549353655</v>
      </c>
      <c r="T8" s="46">
        <f>44.011*(P8/(12.011+1.008*'Tier 3 CO2 Tables'!B$3+16*'Tier 3 CO2 Tables'!C$3))</f>
        <v>7666534.8943211595</v>
      </c>
      <c r="U8" s="46">
        <f>I8*'Tier 3 CO2 Tables'!H$3/10000</f>
        <v>6263.1276498901498</v>
      </c>
      <c r="V8" s="46">
        <f>44.011*(U8/(12.011+1.008*'Tier 3 CO2 Tables'!B$6+16*'Tier 3 CO2 Tables'!C$6))</f>
        <v>19538.810956284353</v>
      </c>
      <c r="W8" s="46">
        <f>I8*'T3 Methane'!D$6</f>
        <v>123966733.48403265</v>
      </c>
      <c r="X8" s="46" cm="1">
        <f t="array" ref="X8">_xlfn.IFS(E8='Euro Age Table'!C$5,'Euro Age Table'!G$5,E8='Euro Age Table'!C$6,'Euro Age Table'!G$6,E8='Euro Age Table'!C$7,'Euro Age Table'!G$7,E8='Euro Age Table'!C$8,'Euro Age Table'!G$8,E8='Euro Age Table'!C$9,'Euro Age Table'!G$9,E8='Euro Age Table'!C$10,'Euro Age Table'!G$10,E8='Euro Age Table'!C$11,'Euro Age Table'!G$11)</f>
        <v>9</v>
      </c>
      <c r="Y8" s="46">
        <f>X8*'Eilat Car Data'!F$15</f>
        <v>131989.62689626895</v>
      </c>
      <c r="Z8" s="46">
        <f>('T3 N2O PC-Petrol'!D7*Y8+'T3 N2O PC-Petrol'!E7)*'T3 N2O PC-Petrol'!C7</f>
        <v>2.3144349068634686</v>
      </c>
      <c r="AA8" s="124">
        <f t="shared" si="3"/>
        <v>99969663.855500177</v>
      </c>
    </row>
    <row r="9" spans="1:27" ht="15.75" customHeight="1">
      <c r="A9" s="48" t="s">
        <v>51</v>
      </c>
      <c r="B9" s="49" t="s">
        <v>20</v>
      </c>
      <c r="C9" s="49" t="s">
        <v>52</v>
      </c>
      <c r="D9" s="49" t="s">
        <v>53</v>
      </c>
      <c r="E9" s="51" t="s">
        <v>60</v>
      </c>
      <c r="F9" s="97">
        <v>0.14830903615612867</v>
      </c>
      <c r="G9" s="99">
        <f t="shared" si="0"/>
        <v>3972.6058424780626</v>
      </c>
      <c r="H9" s="46"/>
      <c r="I9" s="46">
        <f>G9*'Eilat Car Data'!F$15</f>
        <v>58260306.994957522</v>
      </c>
      <c r="J9" s="46">
        <f>I9*'Tier 1 Coefficients'!I$3</f>
        <v>4078221489.6470265</v>
      </c>
      <c r="K9" s="46">
        <f t="shared" si="1"/>
        <v>4078221.4896470266</v>
      </c>
      <c r="L9" s="46">
        <f>K9*'Tier 1 Coefficients'!D$3</f>
        <v>12923883.900691427</v>
      </c>
      <c r="M9" s="46">
        <f>K9*'Tier 1 Coefficients'!C$16</f>
        <v>36051477.968479715</v>
      </c>
      <c r="N9" s="46">
        <f>K9*'Tier 1 Coefficients'!C$40</f>
        <v>840113.62686728744</v>
      </c>
      <c r="O9" s="46">
        <f>I9*'Tier 2 FC'!D$4</f>
        <v>3262577191.7176213</v>
      </c>
      <c r="P9" s="46">
        <f t="shared" si="2"/>
        <v>3262577.1917176214</v>
      </c>
      <c r="Q9" s="46">
        <f>P9*'Tier 1 Coefficients'!D$3</f>
        <v>10339107.120553141</v>
      </c>
      <c r="R9" s="46">
        <f>$I9*'T2 PC'!C18</f>
        <v>75738.399093444779</v>
      </c>
      <c r="S9" s="46">
        <f>$I9*'T2 PC'!D18</f>
        <v>23187602.183993094</v>
      </c>
      <c r="T9" s="46">
        <f>44.011*(P9/(12.011+1.008*'Tier 3 CO2 Tables'!B$3+16*'Tier 3 CO2 Tables'!C$3))</f>
        <v>10340668.706965942</v>
      </c>
      <c r="U9" s="46">
        <f>I9*'Tier 3 CO2 Tables'!H$4/10000</f>
        <v>7457.3192953545631</v>
      </c>
      <c r="V9" s="46">
        <f>44.011*(U9/(12.011+1.008*'Tier 3 CO2 Tables'!B$6+16*'Tier 3 CO2 Tables'!C$6))</f>
        <v>23264.279461897928</v>
      </c>
      <c r="W9" s="46">
        <f>I9*'T3 Methane'!D$6</f>
        <v>167207081.07552809</v>
      </c>
      <c r="X9" s="46" cm="1">
        <f t="array" ref="X9">_xlfn.IFS(E9='Euro Age Table'!C$5,'Euro Age Table'!G$5,E9='Euro Age Table'!C$6,'Euro Age Table'!G$6,E9='Euro Age Table'!C$7,'Euro Age Table'!G$7,E9='Euro Age Table'!C$8,'Euro Age Table'!G$8,E9='Euro Age Table'!C$9,'Euro Age Table'!G$9,E9='Euro Age Table'!C$10,'Euro Age Table'!G$10,E9='Euro Age Table'!C$11,'Euro Age Table'!G$11)</f>
        <v>3</v>
      </c>
      <c r="Y9" s="46">
        <f>X9*'Eilat Car Data'!F$15</f>
        <v>43996.542298756322</v>
      </c>
      <c r="Z9" s="46">
        <f>('T3 N2O PC-Petrol'!D8*Y9+'T3 N2O PC-Petrol'!E8)*'T3 N2O PC-Petrol'!C8</f>
        <v>2.149078302287823</v>
      </c>
      <c r="AA9" s="124">
        <f t="shared" si="3"/>
        <v>125205961.6474907</v>
      </c>
    </row>
    <row r="10" spans="1:27" ht="15.75" customHeight="1">
      <c r="A10" s="48" t="s">
        <v>51</v>
      </c>
      <c r="B10" s="49" t="s">
        <v>20</v>
      </c>
      <c r="C10" s="49" t="s">
        <v>52</v>
      </c>
      <c r="D10" s="52" t="s">
        <v>61</v>
      </c>
      <c r="E10" s="50" t="s">
        <v>54</v>
      </c>
      <c r="F10" s="97">
        <v>1.1594201214442464E-3</v>
      </c>
      <c r="G10" s="99">
        <f t="shared" si="0"/>
        <v>31.056227373005584</v>
      </c>
      <c r="H10" s="46"/>
      <c r="I10" s="46">
        <f>G10*'Eilat Car Data'!F$15</f>
        <v>455455.54041874467</v>
      </c>
      <c r="J10" s="46">
        <f>I10*'Tier 1 Coefficients'!I$3</f>
        <v>31881887.829312127</v>
      </c>
      <c r="K10" s="46">
        <f t="shared" si="1"/>
        <v>31881.887829312127</v>
      </c>
      <c r="L10" s="46">
        <f>K10*'Tier 1 Coefficients'!D$3</f>
        <v>101033.70253109014</v>
      </c>
      <c r="M10" s="46">
        <f>K10*'Tier 1 Coefficients'!C$16</f>
        <v>281835.88841111917</v>
      </c>
      <c r="N10" s="46">
        <f>K10*'Tier 1 Coefficients'!C$40</f>
        <v>6567.6688928382982</v>
      </c>
      <c r="O10" s="46">
        <f>I10*'Tier 2 FC'!D5</f>
        <v>35070076.612243339</v>
      </c>
      <c r="P10" s="46">
        <f t="shared" si="2"/>
        <v>35070.076612243342</v>
      </c>
      <c r="Q10" s="46">
        <f>P10*'Tier 1 Coefficients'!D$3</f>
        <v>111137.07278419915</v>
      </c>
      <c r="R10" s="46">
        <f>$I10*'T2 PC'!C26</f>
        <v>4554.5554041874466</v>
      </c>
      <c r="S10" s="46">
        <f>$I10*'T2 PC'!D26</f>
        <v>301967.02329762775</v>
      </c>
      <c r="T10" s="46">
        <f>44.011*(P10/(12.011+1.008*'Tier 3 CO2 Tables'!B$3+16*'Tier 3 CO2 Tables'!C$3))</f>
        <v>111153.85858018661</v>
      </c>
      <c r="U10" s="46">
        <f>I10*'Tier 3 CO2 Tables'!H$3/10000</f>
        <v>66.041053360717981</v>
      </c>
      <c r="V10" s="46">
        <f>44.011*(U10/(12.011+1.008*'Tier 3 CO2 Tables'!B$6+16*'Tier 3 CO2 Tables'!C$6))</f>
        <v>206.02544433077105</v>
      </c>
      <c r="W10" s="46">
        <f>I10*'T3 Methane'!D2</f>
        <v>59664675.79485555</v>
      </c>
      <c r="X10" s="46" cm="1">
        <f t="array" ref="X10">_xlfn.IFS(E10='Euro Age Table'!C$5,'Euro Age Table'!G$5,E10='Euro Age Table'!C$6,'Euro Age Table'!G$6,E10='Euro Age Table'!C$7,'Euro Age Table'!G$7,E10='Euro Age Table'!C$8,'Euro Age Table'!G$8,E10='Euro Age Table'!C$9,'Euro Age Table'!G$9,E10='Euro Age Table'!C$10,'Euro Age Table'!G$10,E10='Euro Age Table'!C$11,'Euro Age Table'!G$11)</f>
        <v>27</v>
      </c>
      <c r="Y10" s="46">
        <f>X10*'Eilat Car Data'!F$15</f>
        <v>395968.88068880688</v>
      </c>
      <c r="Z10" s="46">
        <f>('T3 N2O PC-Petrol'!D2*Y10+'T3 N2O PC-Petrol'!E2)*'T3 N2O PC-Petrol'!C2</f>
        <v>10</v>
      </c>
      <c r="AA10" s="124">
        <f t="shared" si="3"/>
        <v>4554555.4041874465</v>
      </c>
    </row>
    <row r="11" spans="1:27" ht="15.75" customHeight="1">
      <c r="A11" s="48" t="s">
        <v>51</v>
      </c>
      <c r="B11" s="49" t="s">
        <v>20</v>
      </c>
      <c r="C11" s="49" t="s">
        <v>52</v>
      </c>
      <c r="D11" s="49" t="s">
        <v>61</v>
      </c>
      <c r="E11" s="50" t="s">
        <v>55</v>
      </c>
      <c r="F11" s="97">
        <v>1.3404070258942003E-3</v>
      </c>
      <c r="G11" s="99">
        <f t="shared" si="0"/>
        <v>35.904142595602046</v>
      </c>
      <c r="H11" s="46"/>
      <c r="I11" s="46">
        <f>G11*'Eilat Car Data'!F$15</f>
        <v>526552.70946932794</v>
      </c>
      <c r="J11" s="46">
        <f>I11*'Tier 1 Coefficients'!I$3</f>
        <v>36858689.662852958</v>
      </c>
      <c r="K11" s="46">
        <f t="shared" si="1"/>
        <v>36858.689662852958</v>
      </c>
      <c r="L11" s="46">
        <f>K11*'Tier 1 Coefficients'!D$3</f>
        <v>116805.18754158102</v>
      </c>
      <c r="M11" s="46">
        <f>K11*'Tier 1 Coefficients'!C$16</f>
        <v>325830.81661962013</v>
      </c>
      <c r="N11" s="46">
        <f>K11*'Tier 1 Coefficients'!C$40</f>
        <v>7592.890070547709</v>
      </c>
      <c r="O11" s="46">
        <f>I11*'Tier 2 FC'!D$6</f>
        <v>34752478.824975647</v>
      </c>
      <c r="P11" s="46">
        <f t="shared" si="2"/>
        <v>34752.478824975646</v>
      </c>
      <c r="Q11" s="46">
        <f>P11*'Tier 1 Coefficients'!D$3</f>
        <v>110130.60539634782</v>
      </c>
      <c r="R11" s="46">
        <f>$I11*'T2 PC'!C27</f>
        <v>5265.5270946932797</v>
      </c>
      <c r="S11" s="46">
        <f>$I11*'T2 PC'!D27</f>
        <v>313825.41484371945</v>
      </c>
      <c r="T11" s="46">
        <f>44.011*(P11/(12.011+1.008*'Tier 3 CO2 Tables'!B$3+16*'Tier 3 CO2 Tables'!C$3))</f>
        <v>110147.23917864788</v>
      </c>
      <c r="U11" s="46">
        <f>I11*'Tier 3 CO2 Tables'!H$3/10000</f>
        <v>76.350142873052548</v>
      </c>
      <c r="V11" s="46">
        <f>44.011*(U11/(12.011+1.008*'Tier 3 CO2 Tables'!B$6+16*'Tier 3 CO2 Tables'!C$6))</f>
        <v>238.18626914111192</v>
      </c>
      <c r="W11" s="46">
        <f>I11*'T3 Methane'!D3</f>
        <v>13690370.446202526</v>
      </c>
      <c r="X11" s="46" cm="1">
        <f t="array" ref="X11">_xlfn.IFS(E11='Euro Age Table'!C$5,'Euro Age Table'!G$5,E11='Euro Age Table'!C$6,'Euro Age Table'!G$6,E11='Euro Age Table'!C$7,'Euro Age Table'!G$7,E11='Euro Age Table'!C$8,'Euro Age Table'!G$8,E11='Euro Age Table'!C$9,'Euro Age Table'!G$9,E11='Euro Age Table'!C$10,'Euro Age Table'!G$10,E11='Euro Age Table'!C$11,'Euro Age Table'!G$11)</f>
        <v>23</v>
      </c>
      <c r="Y11" s="46">
        <f>X11*'Eilat Car Data'!F$15</f>
        <v>337306.8242904651</v>
      </c>
      <c r="Z11" s="46">
        <f>('T3 N2O PC-Petrol'!D3*Y11+'T3 N2O PC-Petrol'!E3)*'T3 N2O PC-Petrol'!C3</f>
        <v>28.238281643037674</v>
      </c>
      <c r="AA11" s="124">
        <f t="shared" si="3"/>
        <v>14868943.709899472</v>
      </c>
    </row>
    <row r="12" spans="1:27" ht="15.75" customHeight="1">
      <c r="A12" s="48" t="s">
        <v>51</v>
      </c>
      <c r="B12" s="49" t="s">
        <v>20</v>
      </c>
      <c r="C12" s="49" t="s">
        <v>52</v>
      </c>
      <c r="D12" s="49" t="s">
        <v>61</v>
      </c>
      <c r="E12" s="50" t="s">
        <v>56</v>
      </c>
      <c r="F12" s="97">
        <v>6.939961734197345E-3</v>
      </c>
      <c r="G12" s="99">
        <f t="shared" si="0"/>
        <v>185.89381501221007</v>
      </c>
      <c r="H12" s="46"/>
      <c r="I12" s="46">
        <f>G12*'Eilat Car Data'!F$15</f>
        <v>2726228.3650872945</v>
      </c>
      <c r="J12" s="46">
        <f>I12*'Tier 1 Coefficients'!I$3</f>
        <v>190835985.55611062</v>
      </c>
      <c r="K12" s="46">
        <f t="shared" si="1"/>
        <v>190835.98555611062</v>
      </c>
      <c r="L12" s="46">
        <f>K12*'Tier 1 Coefficients'!D$3</f>
        <v>604759.23822731455</v>
      </c>
      <c r="M12" s="46">
        <f>K12*'Tier 1 Coefficients'!C$16</f>
        <v>1686990.112316018</v>
      </c>
      <c r="N12" s="46">
        <f>K12*'Tier 1 Coefficients'!C$40</f>
        <v>39312.213024558783</v>
      </c>
      <c r="O12" s="46">
        <f>I12*'Tier 2 FC'!D$6</f>
        <v>179931072.09576145</v>
      </c>
      <c r="P12" s="46">
        <f t="shared" si="2"/>
        <v>179931.07209576145</v>
      </c>
      <c r="Q12" s="46">
        <f>P12*'Tier 1 Coefficients'!D$3</f>
        <v>570201.56747146801</v>
      </c>
      <c r="R12" s="46">
        <f>$I12*'T2 PC'!C28</f>
        <v>16357.370190523767</v>
      </c>
      <c r="S12" s="46">
        <f>$I12*'T2 PC'!D28</f>
        <v>1444901.0334962662</v>
      </c>
      <c r="T12" s="46">
        <f>44.011*(P12/(12.011+1.008*'Tier 3 CO2 Tables'!B$3+16*'Tier 3 CO2 Tables'!C$3))</f>
        <v>570287.68893340265</v>
      </c>
      <c r="U12" s="46">
        <f>I12*'Tier 3 CO2 Tables'!H$3/10000</f>
        <v>395.30311293765766</v>
      </c>
      <c r="V12" s="46">
        <f>44.011*(U12/(12.011+1.008*'Tier 3 CO2 Tables'!B$6+16*'Tier 3 CO2 Tables'!C$6))</f>
        <v>1233.2101828157829</v>
      </c>
      <c r="W12" s="46">
        <f>I12*'T3 Methane'!D4</f>
        <v>46345882.206484005</v>
      </c>
      <c r="X12" s="46" cm="1">
        <f t="array" ref="X12">_xlfn.IFS(E12='Euro Age Table'!C$5,'Euro Age Table'!G$5,E12='Euro Age Table'!C$6,'Euro Age Table'!G$6,E12='Euro Age Table'!C$7,'Euro Age Table'!G$7,E12='Euro Age Table'!C$8,'Euro Age Table'!G$8,E12='Euro Age Table'!C$9,'Euro Age Table'!G$9,E12='Euro Age Table'!C$10,'Euro Age Table'!G$10,E12='Euro Age Table'!C$11,'Euro Age Table'!G$11)</f>
        <v>18</v>
      </c>
      <c r="Y12" s="46">
        <f>X12*'Eilat Car Data'!F$15</f>
        <v>263979.2537925379</v>
      </c>
      <c r="Z12" s="46">
        <f>('T3 N2O PC-Petrol'!D4*Y12+'T3 N2O PC-Petrol'!E4)*'T3 N2O PC-Petrol'!C4</f>
        <v>13.376886309446494</v>
      </c>
      <c r="AA12" s="124">
        <f t="shared" si="3"/>
        <v>36468446.893360928</v>
      </c>
    </row>
    <row r="13" spans="1:27" ht="15.75" customHeight="1">
      <c r="A13" s="48" t="s">
        <v>51</v>
      </c>
      <c r="B13" s="49" t="s">
        <v>20</v>
      </c>
      <c r="C13" s="49" t="s">
        <v>52</v>
      </c>
      <c r="D13" s="49" t="s">
        <v>61</v>
      </c>
      <c r="E13" s="50" t="s">
        <v>57</v>
      </c>
      <c r="F13" s="97">
        <v>3.9162893443161109E-2</v>
      </c>
      <c r="G13" s="99">
        <f t="shared" si="0"/>
        <v>1049.0172637685134</v>
      </c>
      <c r="H13" s="46"/>
      <c r="I13" s="46">
        <f>G13*'Eilat Car Data'!F$15</f>
        <v>15384377.472505672</v>
      </c>
      <c r="J13" s="46">
        <f>I13*'Tier 1 Coefficients'!I$3</f>
        <v>1076906423.075397</v>
      </c>
      <c r="K13" s="46">
        <f t="shared" si="1"/>
        <v>1076906.423075397</v>
      </c>
      <c r="L13" s="46">
        <f>K13*'Tier 1 Coefficients'!D$3</f>
        <v>3412716.4547259333</v>
      </c>
      <c r="M13" s="46">
        <f>K13*'Tier 1 Coefficients'!C$16</f>
        <v>9519852.7799865101</v>
      </c>
      <c r="N13" s="46">
        <f>K13*'Tier 1 Coefficients'!C$40</f>
        <v>221842.72315353178</v>
      </c>
      <c r="O13" s="46">
        <f>I13*'Tier 2 FC'!D$6</f>
        <v>1015368913.1853744</v>
      </c>
      <c r="P13" s="46">
        <f t="shared" si="2"/>
        <v>1015368.9131853743</v>
      </c>
      <c r="Q13" s="46">
        <f>P13*'Tier 1 Coefficients'!D$3</f>
        <v>3217704.0858844514</v>
      </c>
      <c r="R13" s="46">
        <f>$I13*'T2 PC'!C29</f>
        <v>30768.754945011344</v>
      </c>
      <c r="S13" s="46">
        <f>$I13*'T2 PC'!D29</f>
        <v>7138351.1472426318</v>
      </c>
      <c r="T13" s="46">
        <f>44.011*(P13/(12.011+1.008*'Tier 3 CO2 Tables'!B$3+16*'Tier 3 CO2 Tables'!C$3))</f>
        <v>3218190.0778489741</v>
      </c>
      <c r="U13" s="46">
        <f>I13*'Tier 3 CO2 Tables'!H$3/10000</f>
        <v>2230.7347335133227</v>
      </c>
      <c r="V13" s="46">
        <f>44.011*(U13/(12.011+1.008*'Tier 3 CO2 Tables'!B$6+16*'Tier 3 CO2 Tables'!C$6))</f>
        <v>6959.1275618498103</v>
      </c>
      <c r="W13" s="46">
        <f>I13*'T3 Methane'!D5</f>
        <v>46153132.417517014</v>
      </c>
      <c r="X13" s="46" cm="1">
        <f t="array" ref="X13">_xlfn.IFS(E13='Euro Age Table'!C$5,'Euro Age Table'!G$5,E13='Euro Age Table'!C$6,'Euro Age Table'!G$6,E13='Euro Age Table'!C$7,'Euro Age Table'!G$7,E13='Euro Age Table'!C$8,'Euro Age Table'!G$8,E13='Euro Age Table'!C$9,'Euro Age Table'!G$9,E13='Euro Age Table'!C$10,'Euro Age Table'!G$10,E13='Euro Age Table'!C$11,'Euro Age Table'!G$11)</f>
        <v>16</v>
      </c>
      <c r="Y13" s="46">
        <f>X13*'Eilat Car Data'!F$15</f>
        <v>234648.22559336704</v>
      </c>
      <c r="Z13" s="46">
        <f>('T3 N2O PC-Petrol'!D5*Y13+'T3 N2O PC-Petrol'!E5)*'T3 N2O PC-Petrol'!C5</f>
        <v>1.642028982552048</v>
      </c>
      <c r="AA13" s="124">
        <f t="shared" si="3"/>
        <v>25261593.688375138</v>
      </c>
    </row>
    <row r="14" spans="1:27" ht="15.75" customHeight="1">
      <c r="A14" s="48" t="s">
        <v>51</v>
      </c>
      <c r="B14" s="49" t="s">
        <v>20</v>
      </c>
      <c r="C14" s="49" t="s">
        <v>52</v>
      </c>
      <c r="D14" s="49" t="s">
        <v>61</v>
      </c>
      <c r="E14" s="50" t="s">
        <v>58</v>
      </c>
      <c r="F14" s="97">
        <v>0.13941104595324322</v>
      </c>
      <c r="G14" s="99">
        <f t="shared" si="0"/>
        <v>3734.2642769035729</v>
      </c>
      <c r="H14" s="46"/>
      <c r="I14" s="46">
        <f>G14*'Eilat Car Data'!F$15</f>
        <v>54764905.404507577</v>
      </c>
      <c r="J14" s="46">
        <f>I14*'Tier 1 Coefficients'!I$3</f>
        <v>3833543378.3155303</v>
      </c>
      <c r="K14" s="46">
        <f t="shared" si="1"/>
        <v>3833543.3783155303</v>
      </c>
      <c r="L14" s="46">
        <f>K14*'Tier 1 Coefficients'!D$3</f>
        <v>12148498.965881916</v>
      </c>
      <c r="M14" s="46">
        <f>K14*'Tier 1 Coefficients'!C$16</f>
        <v>33888523.46430929</v>
      </c>
      <c r="N14" s="46">
        <f>K14*'Tier 1 Coefficients'!C$40</f>
        <v>789709.93593299924</v>
      </c>
      <c r="O14" s="46">
        <f>I14*'Tier 2 FC'!D$6</f>
        <v>3614483756.6975002</v>
      </c>
      <c r="P14" s="46">
        <f t="shared" si="2"/>
        <v>3614483.7566975001</v>
      </c>
      <c r="Q14" s="46">
        <f>P14*'Tier 1 Coefficients'!D$3</f>
        <v>11454299.024974378</v>
      </c>
      <c r="R14" s="46">
        <f>$I14*'T2 PC'!C30</f>
        <v>109529.81080901515</v>
      </c>
      <c r="S14" s="46">
        <f>$I14*'T2 PC'!D30</f>
        <v>21796432.350994017</v>
      </c>
      <c r="T14" s="46">
        <f>44.011*(P14/(12.011+1.008*'Tier 3 CO2 Tables'!B$3+16*'Tier 3 CO2 Tables'!C$3))</f>
        <v>11456029.046485616</v>
      </c>
      <c r="U14" s="46">
        <f>I14*'Tier 3 CO2 Tables'!H$3/10000</f>
        <v>7940.9112836535987</v>
      </c>
      <c r="V14" s="46">
        <f>44.011*(U14/(12.011+1.008*'Tier 3 CO2 Tables'!B$6+16*'Tier 3 CO2 Tables'!C$6))</f>
        <v>24772.920666027669</v>
      </c>
      <c r="W14" s="46">
        <f>I14*'T3 Methane'!D$6</f>
        <v>157175278.51093677</v>
      </c>
      <c r="X14" s="46" cm="1">
        <f t="array" ref="X14">_xlfn.IFS(E14='Euro Age Table'!C$5,'Euro Age Table'!G$5,E14='Euro Age Table'!C$6,'Euro Age Table'!G$6,E14='Euro Age Table'!C$7,'Euro Age Table'!G$7,E14='Euro Age Table'!C$8,'Euro Age Table'!G$8,E14='Euro Age Table'!C$9,'Euro Age Table'!G$9,E14='Euro Age Table'!C$10,'Euro Age Table'!G$10,E14='Euro Age Table'!C$11,'Euro Age Table'!G$11)</f>
        <v>13</v>
      </c>
      <c r="Y14" s="46">
        <f>X14*'Eilat Car Data'!F$15</f>
        <v>190651.68329461073</v>
      </c>
      <c r="Z14" s="46">
        <f>('T3 N2O PC-Petrol'!D6*Y14+'T3 N2O PC-Petrol'!E6)*'T3 N2O PC-Petrol'!C6</f>
        <v>2.0083394490497017</v>
      </c>
      <c r="AA14" s="124">
        <f t="shared" si="3"/>
        <v>109986519.94734778</v>
      </c>
    </row>
    <row r="15" spans="1:27" ht="15.75" customHeight="1">
      <c r="A15" s="48" t="s">
        <v>51</v>
      </c>
      <c r="B15" s="49" t="s">
        <v>20</v>
      </c>
      <c r="C15" s="49" t="s">
        <v>52</v>
      </c>
      <c r="D15" s="49" t="s">
        <v>61</v>
      </c>
      <c r="E15" s="50" t="s">
        <v>59</v>
      </c>
      <c r="F15" s="97">
        <v>0.1433416283243634</v>
      </c>
      <c r="G15" s="99">
        <f t="shared" si="0"/>
        <v>3839.5488562963978</v>
      </c>
      <c r="H15" s="46"/>
      <c r="I15" s="46">
        <f>G15*'Eilat Car Data'!F$15</f>
        <v>56308957.88806197</v>
      </c>
      <c r="J15" s="46">
        <f>I15*'Tier 1 Coefficients'!I$3</f>
        <v>3941627052.1643381</v>
      </c>
      <c r="K15" s="46">
        <f t="shared" si="1"/>
        <v>3941627.0521643381</v>
      </c>
      <c r="L15" s="46">
        <f>K15*'Tier 1 Coefficients'!D$3</f>
        <v>12491016.128308788</v>
      </c>
      <c r="M15" s="46">
        <f>K15*'Tier 1 Coefficients'!C$16</f>
        <v>34843983.14113275</v>
      </c>
      <c r="N15" s="46">
        <f>K15*'Tier 1 Coefficients'!C$40</f>
        <v>811975.17274585355</v>
      </c>
      <c r="O15" s="46">
        <f>I15*'Tier 2 FC'!D$6</f>
        <v>3716391220.6120901</v>
      </c>
      <c r="P15" s="46">
        <f t="shared" si="2"/>
        <v>3716391.2206120901</v>
      </c>
      <c r="Q15" s="46">
        <f>P15*'Tier 1 Coefficients'!D$3</f>
        <v>11777243.778119713</v>
      </c>
      <c r="R15" s="46">
        <f>$I15*'T2 PC'!C31</f>
        <v>73201.645254480565</v>
      </c>
      <c r="S15" s="46">
        <f>$I15*'T2 PC'!D31</f>
        <v>22410965.239448667</v>
      </c>
      <c r="T15" s="46">
        <f>44.011*(P15/(12.011+1.008*'Tier 3 CO2 Tables'!B$3+16*'Tier 3 CO2 Tables'!C$3))</f>
        <v>11779022.576196734</v>
      </c>
      <c r="U15" s="46">
        <f>I15*'Tier 3 CO2 Tables'!H$3/10000</f>
        <v>8164.7988937689852</v>
      </c>
      <c r="V15" s="46">
        <f>44.011*(U15/(12.011+1.008*'Tier 3 CO2 Tables'!B$6+16*'Tier 3 CO2 Tables'!C$6))</f>
        <v>25471.373249789958</v>
      </c>
      <c r="W15" s="46">
        <f>I15*'T3 Methane'!D$6</f>
        <v>161606709.13873786</v>
      </c>
      <c r="X15" s="46" cm="1">
        <f t="array" ref="X15">_xlfn.IFS(E15='Euro Age Table'!C$5,'Euro Age Table'!G$5,E15='Euro Age Table'!C$6,'Euro Age Table'!G$6,E15='Euro Age Table'!C$7,'Euro Age Table'!G$7,E15='Euro Age Table'!C$8,'Euro Age Table'!G$8,E15='Euro Age Table'!C$9,'Euro Age Table'!G$9,E15='Euro Age Table'!C$10,'Euro Age Table'!G$10,E15='Euro Age Table'!C$11,'Euro Age Table'!G$11)</f>
        <v>9</v>
      </c>
      <c r="Y15" s="46">
        <f>X15*'Eilat Car Data'!F$15</f>
        <v>131989.62689626895</v>
      </c>
      <c r="Z15" s="46">
        <f>('T3 N2O PC-Petrol'!D7*Y15+'T3 N2O PC-Petrol'!E7)*'T3 N2O PC-Petrol'!C7</f>
        <v>2.3144349068634686</v>
      </c>
      <c r="AA15" s="124">
        <f t="shared" si="3"/>
        <v>130323417.70523569</v>
      </c>
    </row>
    <row r="16" spans="1:27" ht="15.75" customHeight="1">
      <c r="A16" s="48" t="s">
        <v>51</v>
      </c>
      <c r="B16" s="49" t="s">
        <v>20</v>
      </c>
      <c r="C16" s="49" t="s">
        <v>52</v>
      </c>
      <c r="D16" s="49" t="s">
        <v>61</v>
      </c>
      <c r="E16" s="51" t="s">
        <v>60</v>
      </c>
      <c r="F16" s="97">
        <v>0.14825064391247786</v>
      </c>
      <c r="G16" s="99">
        <f t="shared" si="0"/>
        <v>3971.0417478396321</v>
      </c>
      <c r="H16" s="46"/>
      <c r="I16" s="46">
        <f>G16*'Eilat Car Data'!F$15</f>
        <v>58237368.742984533</v>
      </c>
      <c r="J16" s="46">
        <f>I16*'Tier 1 Coefficients'!I$3</f>
        <v>4076615812.0089173</v>
      </c>
      <c r="K16" s="46">
        <f t="shared" si="1"/>
        <v>4076615.8120089173</v>
      </c>
      <c r="L16" s="46">
        <f>K16*'Tier 1 Coefficients'!D$3</f>
        <v>12918795.508256258</v>
      </c>
      <c r="M16" s="46">
        <f>K16*'Tier 1 Coefficients'!C$16</f>
        <v>36037283.778158829</v>
      </c>
      <c r="N16" s="46">
        <f>K16*'Tier 1 Coefficients'!C$40</f>
        <v>839782.85727383697</v>
      </c>
      <c r="O16" s="46">
        <f>I16*'Tier 2 FC'!D$6</f>
        <v>3843666337.0369792</v>
      </c>
      <c r="P16" s="46">
        <f t="shared" si="2"/>
        <v>3843666.3370369794</v>
      </c>
      <c r="Q16" s="46">
        <f>P16*'Tier 1 Coefficients'!D$3</f>
        <v>12180578.622070188</v>
      </c>
      <c r="R16" s="46">
        <f>$I16*'T2 PC'!C32</f>
        <v>75708.579365879894</v>
      </c>
      <c r="S16" s="46">
        <f>$I16*'T2 PC'!D32</f>
        <v>23178472.759707846</v>
      </c>
      <c r="T16" s="46">
        <f>44.011*(P16/(12.011+1.008*'Tier 3 CO2 Tables'!B$3+16*'Tier 3 CO2 Tables'!C$3))</f>
        <v>12182418.338580955</v>
      </c>
      <c r="U16" s="46">
        <f>I16*'Tier 3 CO2 Tables'!H$4/10000</f>
        <v>7454.3831991020206</v>
      </c>
      <c r="V16" s="46">
        <f>44.011*(U16/(12.011+1.008*'Tier 3 CO2 Tables'!B$6+16*'Tier 3 CO2 Tables'!C$6))</f>
        <v>23255.119848229686</v>
      </c>
      <c r="W16" s="46">
        <f>I16*'T3 Methane'!D$6</f>
        <v>167141248.29236561</v>
      </c>
      <c r="X16" s="46" cm="1">
        <f t="array" ref="X16">_xlfn.IFS(E16='Euro Age Table'!C$5,'Euro Age Table'!G$5,E16='Euro Age Table'!C$6,'Euro Age Table'!G$6,E16='Euro Age Table'!C$7,'Euro Age Table'!G$7,E16='Euro Age Table'!C$8,'Euro Age Table'!G$8,E16='Euro Age Table'!C$9,'Euro Age Table'!G$9,E16='Euro Age Table'!C$10,'Euro Age Table'!G$10,E16='Euro Age Table'!C$11,'Euro Age Table'!G$11)</f>
        <v>3</v>
      </c>
      <c r="Y16" s="46">
        <f>X16*'Eilat Car Data'!F$15</f>
        <v>43996.542298756322</v>
      </c>
      <c r="Z16" s="46">
        <f>('T3 N2O PC-Petrol'!D8*Y16+'T3 N2O PC-Petrol'!E8)*'T3 N2O PC-Petrol'!C8</f>
        <v>2.149078302287823</v>
      </c>
      <c r="AA16" s="124">
        <f t="shared" si="3"/>
        <v>125156665.54788314</v>
      </c>
    </row>
    <row r="17" spans="1:27" ht="15.75" customHeight="1">
      <c r="A17" s="48" t="s">
        <v>51</v>
      </c>
      <c r="B17" s="49" t="s">
        <v>20</v>
      </c>
      <c r="C17" s="49" t="s">
        <v>52</v>
      </c>
      <c r="D17" s="52" t="s">
        <v>62</v>
      </c>
      <c r="E17" s="50" t="s">
        <v>54</v>
      </c>
      <c r="F17" s="97">
        <v>1.3473792340913092E-3</v>
      </c>
      <c r="G17" s="99">
        <f t="shared" si="0"/>
        <v>36.090900164369806</v>
      </c>
      <c r="H17" s="46"/>
      <c r="I17" s="46">
        <f>G17*'Eilat Car Data'!F$15</f>
        <v>529291.60522729589</v>
      </c>
      <c r="J17" s="46">
        <f>I17*'Tier 1 Coefficients'!I$3</f>
        <v>37050412.365910709</v>
      </c>
      <c r="K17" s="46">
        <f t="shared" si="1"/>
        <v>37050.412365910706</v>
      </c>
      <c r="L17" s="46">
        <f>K17*'Tier 1 Coefficients'!D$3</f>
        <v>117412.75678757102</v>
      </c>
      <c r="M17" s="46">
        <f>K17*'Tier 1 Coefficients'!C$16</f>
        <v>327525.64531465061</v>
      </c>
      <c r="N17" s="46">
        <f>K17*'Tier 1 Coefficients'!C$40</f>
        <v>7632.3849473776054</v>
      </c>
      <c r="O17" s="46">
        <f>I17*'Tier 2 FC'!D7</f>
        <v>50282702.49659311</v>
      </c>
      <c r="P17" s="46">
        <f t="shared" si="2"/>
        <v>50282.702496593112</v>
      </c>
      <c r="Q17" s="46">
        <f>P17*'Tier 1 Coefficients'!D$3</f>
        <v>159345.88421170358</v>
      </c>
      <c r="R17" s="46">
        <f>$I17*'T2 PC'!C39</f>
        <v>5292.916052272959</v>
      </c>
      <c r="S17" s="46">
        <f>$I17*'T2 PC'!D39</f>
        <v>350920.33426569717</v>
      </c>
      <c r="T17" s="46">
        <f>44.011*(P17/(12.011+1.008*'Tier 3 CO2 Tables'!B$3+16*'Tier 3 CO2 Tables'!C$3))</f>
        <v>159369.95131583736</v>
      </c>
      <c r="U17" s="46">
        <f>I17*'Tier 3 CO2 Tables'!H$3/10000</f>
        <v>76.74728275795789</v>
      </c>
      <c r="V17" s="46">
        <f>44.011*(U17/(12.011+1.008*'Tier 3 CO2 Tables'!B$6+16*'Tier 3 CO2 Tables'!C$6))</f>
        <v>239.42520942273015</v>
      </c>
      <c r="W17" s="46">
        <f>I17*'T3 Methane'!D2</f>
        <v>69337200.284775764</v>
      </c>
      <c r="X17" s="46" cm="1">
        <f t="array" ref="X17">_xlfn.IFS(E17='Euro Age Table'!C$5,'Euro Age Table'!G$5,E17='Euro Age Table'!C$6,'Euro Age Table'!G$6,E17='Euro Age Table'!C$7,'Euro Age Table'!G$7,E17='Euro Age Table'!C$8,'Euro Age Table'!G$8,E17='Euro Age Table'!C$9,'Euro Age Table'!G$9,E17='Euro Age Table'!C$10,'Euro Age Table'!G$10,E17='Euro Age Table'!C$11,'Euro Age Table'!G$11)</f>
        <v>27</v>
      </c>
      <c r="Y17" s="46">
        <f>X17*'Eilat Car Data'!F$15</f>
        <v>395968.88068880688</v>
      </c>
      <c r="Z17" s="46">
        <f>('T3 N2O PC-Petrol'!D2*Y17+'T3 N2O PC-Petrol'!E2)*'T3 N2O PC-Petrol'!C2</f>
        <v>10</v>
      </c>
      <c r="AA17" s="124">
        <f t="shared" si="3"/>
        <v>5292916.0522729587</v>
      </c>
    </row>
    <row r="18" spans="1:27" ht="15.75" customHeight="1">
      <c r="A18" s="48" t="s">
        <v>51</v>
      </c>
      <c r="B18" s="49" t="s">
        <v>20</v>
      </c>
      <c r="C18" s="49" t="s">
        <v>52</v>
      </c>
      <c r="D18" s="49" t="s">
        <v>62</v>
      </c>
      <c r="E18" s="50" t="s">
        <v>55</v>
      </c>
      <c r="F18" s="97">
        <v>8.5148092607193338E-4</v>
      </c>
      <c r="G18" s="99">
        <f t="shared" si="0"/>
        <v>22.807768085762806</v>
      </c>
      <c r="H18" s="46"/>
      <c r="I18" s="46">
        <f>G18*'Eilat Car Data'!F$15</f>
        <v>334487.64444182924</v>
      </c>
      <c r="J18" s="46">
        <f>I18*'Tier 1 Coefficients'!I$3</f>
        <v>23414135.110928047</v>
      </c>
      <c r="K18" s="46">
        <f t="shared" si="1"/>
        <v>23414.135110928048</v>
      </c>
      <c r="L18" s="46">
        <f>K18*'Tier 1 Coefficients'!D$3</f>
        <v>74199.394166530983</v>
      </c>
      <c r="M18" s="46">
        <f>K18*'Tier 1 Coefficients'!C$16</f>
        <v>206980.95438060394</v>
      </c>
      <c r="N18" s="46">
        <f>K18*'Tier 1 Coefficients'!C$40</f>
        <v>4823.3118328511773</v>
      </c>
      <c r="O18" s="46">
        <f>I18*'Tier 2 FC'!D$8</f>
        <v>28765937.421997316</v>
      </c>
      <c r="P18" s="46">
        <f t="shared" si="2"/>
        <v>28765.937421997318</v>
      </c>
      <c r="Q18" s="46">
        <f>P18*'Tier 1 Coefficients'!D$3</f>
        <v>91159.255690309496</v>
      </c>
      <c r="R18" s="46">
        <f>$I18*'T2 PC'!C40</f>
        <v>3679.3640888601212</v>
      </c>
      <c r="S18" s="46">
        <f>$I18*'T2 PC'!D40</f>
        <v>199354.6360873302</v>
      </c>
      <c r="T18" s="46">
        <f>44.011*(P18/(12.011+1.008*'Tier 3 CO2 Tables'!B$3+16*'Tier 3 CO2 Tables'!C$3))</f>
        <v>91173.024099266608</v>
      </c>
      <c r="U18" s="46">
        <f>I18*'Tier 3 CO2 Tables'!H$3/10000</f>
        <v>48.500708444065239</v>
      </c>
      <c r="V18" s="46">
        <f>44.011*(U18/(12.011+1.008*'Tier 3 CO2 Tables'!B$6+16*'Tier 3 CO2 Tables'!C$6))</f>
        <v>151.3055818926309</v>
      </c>
      <c r="W18" s="46">
        <f>I18*'T3 Methane'!D3</f>
        <v>8696678.7554875594</v>
      </c>
      <c r="X18" s="46" cm="1">
        <f t="array" ref="X18">_xlfn.IFS(E18='Euro Age Table'!C$5,'Euro Age Table'!G$5,E18='Euro Age Table'!C$6,'Euro Age Table'!G$6,E18='Euro Age Table'!C$7,'Euro Age Table'!G$7,E18='Euro Age Table'!C$8,'Euro Age Table'!G$8,E18='Euro Age Table'!C$9,'Euro Age Table'!G$9,E18='Euro Age Table'!C$10,'Euro Age Table'!G$10,E18='Euro Age Table'!C$11,'Euro Age Table'!G$11)</f>
        <v>23</v>
      </c>
      <c r="Y18" s="46">
        <f>X18*'Eilat Car Data'!F$15</f>
        <v>337306.8242904651</v>
      </c>
      <c r="Z18" s="46">
        <f>('T3 N2O PC-Petrol'!D3*Y18+'T3 N2O PC-Petrol'!E3)*'T3 N2O PC-Petrol'!C3</f>
        <v>28.238281643037674</v>
      </c>
      <c r="AA18" s="124">
        <f t="shared" si="3"/>
        <v>9445356.3098646197</v>
      </c>
    </row>
    <row r="19" spans="1:27" ht="15.75" customHeight="1">
      <c r="A19" s="48" t="s">
        <v>51</v>
      </c>
      <c r="B19" s="49" t="s">
        <v>20</v>
      </c>
      <c r="C19" s="49" t="s">
        <v>52</v>
      </c>
      <c r="D19" s="49" t="s">
        <v>62</v>
      </c>
      <c r="E19" s="50" t="s">
        <v>56</v>
      </c>
      <c r="F19" s="97">
        <v>1.2070635441244911E-3</v>
      </c>
      <c r="G19" s="99">
        <f t="shared" si="0"/>
        <v>32.332404092918615</v>
      </c>
      <c r="H19" s="46"/>
      <c r="I19" s="46">
        <f>G19*'Eilat Car Data'!F$15</f>
        <v>474171.32809819194</v>
      </c>
      <c r="J19" s="46">
        <f>I19*'Tier 1 Coefficients'!I$3</f>
        <v>33191992.966873437</v>
      </c>
      <c r="K19" s="46">
        <f t="shared" si="1"/>
        <v>33191.99296687344</v>
      </c>
      <c r="L19" s="46">
        <f>K19*'Tier 1 Coefficients'!D$3</f>
        <v>105185.42571202194</v>
      </c>
      <c r="M19" s="46">
        <f>K19*'Tier 1 Coefficients'!C$16</f>
        <v>293417.21782716119</v>
      </c>
      <c r="N19" s="46">
        <f>K19*'Tier 1 Coefficients'!C$40</f>
        <v>6837.5505511759284</v>
      </c>
      <c r="O19" s="46">
        <f>I19*'Tier 2 FC'!D$8</f>
        <v>40778734.216444507</v>
      </c>
      <c r="P19" s="46">
        <f t="shared" si="2"/>
        <v>40778.734216444507</v>
      </c>
      <c r="Q19" s="46">
        <f>P19*'Tier 1 Coefficients'!D$3</f>
        <v>129227.80873191265</v>
      </c>
      <c r="R19" s="46">
        <f>$I19*'T2 PC'!C41</f>
        <v>2845.0279685891519</v>
      </c>
      <c r="S19" s="46">
        <f>$I19*'T2 PC'!D41</f>
        <v>251310.80389204173</v>
      </c>
      <c r="T19" s="46">
        <f>44.011*(P19/(12.011+1.008*'Tier 3 CO2 Tables'!B$3+16*'Tier 3 CO2 Tables'!C$3))</f>
        <v>129247.3268960944</v>
      </c>
      <c r="U19" s="46">
        <f>I19*'Tier 3 CO2 Tables'!H$3/10000</f>
        <v>68.754842574237841</v>
      </c>
      <c r="V19" s="46">
        <f>44.011*(U19/(12.011+1.008*'Tier 3 CO2 Tables'!B$6+16*'Tier 3 CO2 Tables'!C$6))</f>
        <v>214.49153625516257</v>
      </c>
      <c r="W19" s="46">
        <f>I19*'T3 Methane'!D4</f>
        <v>8060912.5776692629</v>
      </c>
      <c r="X19" s="46" cm="1">
        <f t="array" ref="X19">_xlfn.IFS(E19='Euro Age Table'!C$5,'Euro Age Table'!G$5,E19='Euro Age Table'!C$6,'Euro Age Table'!G$6,E19='Euro Age Table'!C$7,'Euro Age Table'!G$7,E19='Euro Age Table'!C$8,'Euro Age Table'!G$8,E19='Euro Age Table'!C$9,'Euro Age Table'!G$9,E19='Euro Age Table'!C$10,'Euro Age Table'!G$10,E19='Euro Age Table'!C$11,'Euro Age Table'!G$11)</f>
        <v>18</v>
      </c>
      <c r="Y19" s="46">
        <f>X19*'Eilat Car Data'!F$15</f>
        <v>263979.2537925379</v>
      </c>
      <c r="Z19" s="46">
        <f>('T3 N2O PC-Petrol'!D4*Y19+'T3 N2O PC-Petrol'!E4)*'T3 N2O PC-Petrol'!C4</f>
        <v>13.376886309446494</v>
      </c>
      <c r="AA19" s="124">
        <f t="shared" si="3"/>
        <v>6342935.9471687656</v>
      </c>
    </row>
    <row r="20" spans="1:27" ht="15.75" customHeight="1">
      <c r="A20" s="48" t="s">
        <v>51</v>
      </c>
      <c r="B20" s="49" t="s">
        <v>20</v>
      </c>
      <c r="C20" s="49" t="s">
        <v>52</v>
      </c>
      <c r="D20" s="49" t="s">
        <v>62</v>
      </c>
      <c r="E20" s="50" t="s">
        <v>57</v>
      </c>
      <c r="F20" s="97">
        <v>4.0148298868352512E-3</v>
      </c>
      <c r="G20" s="99">
        <f t="shared" si="0"/>
        <v>107.54123334876904</v>
      </c>
      <c r="H20" s="46"/>
      <c r="I20" s="46">
        <f>G20*'Eilat Car Data'!F$15</f>
        <v>1577147.4739631803</v>
      </c>
      <c r="J20" s="46">
        <f>I20*'Tier 1 Coefficients'!I$3</f>
        <v>110400323.17742263</v>
      </c>
      <c r="K20" s="46">
        <f t="shared" si="1"/>
        <v>110400.32317742263</v>
      </c>
      <c r="L20" s="46">
        <f>K20*'Tier 1 Coefficients'!D$3</f>
        <v>349858.62414925231</v>
      </c>
      <c r="M20" s="46">
        <f>K20*'Tier 1 Coefficients'!C$16</f>
        <v>975938.85688841599</v>
      </c>
      <c r="N20" s="46">
        <f>K20*'Tier 1 Coefficients'!C$40</f>
        <v>22742.46657454906</v>
      </c>
      <c r="O20" s="46">
        <f>I20*'Tier 2 FC'!D$8</f>
        <v>135634682.7608335</v>
      </c>
      <c r="P20" s="46">
        <f t="shared" si="2"/>
        <v>135634.6827608335</v>
      </c>
      <c r="Q20" s="46">
        <f>P20*'Tier 1 Coefficients'!D$3</f>
        <v>429826.30966908135</v>
      </c>
      <c r="R20" s="46">
        <f>$I20*'T2 PC'!C42</f>
        <v>3154.2949479263607</v>
      </c>
      <c r="S20" s="46">
        <f>$I20*'T2 PC'!D42</f>
        <v>731796.42791891575</v>
      </c>
      <c r="T20" s="46">
        <f>44.011*(P20/(12.011+1.008*'Tier 3 CO2 Tables'!B$3+16*'Tier 3 CO2 Tables'!C$3))</f>
        <v>429891.22929098073</v>
      </c>
      <c r="U20" s="46">
        <f>I20*'Tier 3 CO2 Tables'!H$3/10000</f>
        <v>228.68638372466111</v>
      </c>
      <c r="V20" s="46">
        <f>44.011*(U20/(12.011+1.008*'Tier 3 CO2 Tables'!B$6+16*'Tier 3 CO2 Tables'!C$6))</f>
        <v>713.42311216518567</v>
      </c>
      <c r="W20" s="46">
        <f>I20*'T3 Methane'!D5</f>
        <v>4731442.4218895407</v>
      </c>
      <c r="X20" s="46" cm="1">
        <f t="array" ref="X20">_xlfn.IFS(E20='Euro Age Table'!C$5,'Euro Age Table'!G$5,E20='Euro Age Table'!C$6,'Euro Age Table'!G$6,E20='Euro Age Table'!C$7,'Euro Age Table'!G$7,E20='Euro Age Table'!C$8,'Euro Age Table'!G$8,E20='Euro Age Table'!C$9,'Euro Age Table'!G$9,E20='Euro Age Table'!C$10,'Euro Age Table'!G$10,E20='Euro Age Table'!C$11,'Euro Age Table'!G$11)</f>
        <v>16</v>
      </c>
      <c r="Y20" s="46">
        <f>X20*'Eilat Car Data'!F$15</f>
        <v>234648.22559336704</v>
      </c>
      <c r="Z20" s="46">
        <f>('T3 N2O PC-Petrol'!D5*Y20+'T3 N2O PC-Petrol'!E5)*'T3 N2O PC-Petrol'!C5</f>
        <v>1.642028982552048</v>
      </c>
      <c r="AA20" s="124">
        <f t="shared" si="3"/>
        <v>2589721.8620062936</v>
      </c>
    </row>
    <row r="21" spans="1:27" ht="12.5">
      <c r="A21" s="48" t="s">
        <v>51</v>
      </c>
      <c r="B21" s="49" t="s">
        <v>20</v>
      </c>
      <c r="C21" s="49" t="s">
        <v>52</v>
      </c>
      <c r="D21" s="49" t="s">
        <v>62</v>
      </c>
      <c r="E21" s="50" t="s">
        <v>58</v>
      </c>
      <c r="F21" s="97">
        <v>1.8734613934306692E-2</v>
      </c>
      <c r="G21" s="99">
        <f t="shared" si="0"/>
        <v>501.82536884433904</v>
      </c>
      <c r="H21" s="46"/>
      <c r="I21" s="46">
        <f>G21*'Eilat Car Data'!F$15</f>
        <v>7359527.022316318</v>
      </c>
      <c r="J21" s="46">
        <f>I21*'Tier 1 Coefficients'!I$3</f>
        <v>515166891.56214225</v>
      </c>
      <c r="K21" s="46">
        <f t="shared" si="1"/>
        <v>515166.89156214223</v>
      </c>
      <c r="L21" s="46">
        <f>K21*'Tier 1 Coefficients'!D$3</f>
        <v>1632563.8793604288</v>
      </c>
      <c r="M21" s="46">
        <f>K21*'Tier 1 Coefficients'!C$16</f>
        <v>4554075.3214093372</v>
      </c>
      <c r="N21" s="46">
        <f>K21*'Tier 1 Coefficients'!C$40</f>
        <v>106124.3796618013</v>
      </c>
      <c r="O21" s="46">
        <f>I21*'Tier 2 FC'!D$8</f>
        <v>632919323.9192034</v>
      </c>
      <c r="P21" s="46">
        <f t="shared" si="2"/>
        <v>632919.32391920337</v>
      </c>
      <c r="Q21" s="46">
        <f>P21*'Tier 1 Coefficients'!D$3</f>
        <v>2005721.3374999554</v>
      </c>
      <c r="R21" s="46">
        <f>$I21*'T2 PC'!C43</f>
        <v>14719.054044632636</v>
      </c>
      <c r="S21" s="46">
        <f>$I21*'T2 PC'!D43</f>
        <v>2929091.7548818947</v>
      </c>
      <c r="T21" s="46">
        <f>44.011*(P21/(12.011+1.008*'Tier 3 CO2 Tables'!B$3+16*'Tier 3 CO2 Tables'!C$3))</f>
        <v>2006024.2753795988</v>
      </c>
      <c r="U21" s="46">
        <f>I21*'Tier 3 CO2 Tables'!H$3/10000</f>
        <v>1067.1314182358662</v>
      </c>
      <c r="V21" s="46">
        <f>44.011*(U21/(12.011+1.008*'Tier 3 CO2 Tables'!B$6+16*'Tier 3 CO2 Tables'!C$6))</f>
        <v>3329.084159220019</v>
      </c>
      <c r="W21" s="46">
        <f>I21*'T3 Methane'!D$6</f>
        <v>21121842.554047834</v>
      </c>
      <c r="X21" s="46" cm="1">
        <f t="array" ref="X21">_xlfn.IFS(E21='Euro Age Table'!C$5,'Euro Age Table'!G$5,E21='Euro Age Table'!C$6,'Euro Age Table'!G$6,E21='Euro Age Table'!C$7,'Euro Age Table'!G$7,E21='Euro Age Table'!C$8,'Euro Age Table'!G$8,E21='Euro Age Table'!C$9,'Euro Age Table'!G$9,E21='Euro Age Table'!C$10,'Euro Age Table'!G$10,E21='Euro Age Table'!C$11,'Euro Age Table'!G$11)</f>
        <v>13</v>
      </c>
      <c r="Y21" s="46">
        <f>X21*'Eilat Car Data'!F$15</f>
        <v>190651.68329461073</v>
      </c>
      <c r="Z21" s="46">
        <f>('T3 N2O PC-Petrol'!D6*Y21+'T3 N2O PC-Petrol'!E6)*'T3 N2O PC-Petrol'!C6</f>
        <v>2.0083394490497017</v>
      </c>
      <c r="AA21" s="124">
        <f t="shared" si="3"/>
        <v>14780428.445265146</v>
      </c>
    </row>
    <row r="22" spans="1:27" ht="12.5">
      <c r="A22" s="48" t="s">
        <v>51</v>
      </c>
      <c r="B22" s="49" t="s">
        <v>20</v>
      </c>
      <c r="C22" s="49" t="s">
        <v>52</v>
      </c>
      <c r="D22" s="49" t="s">
        <v>62</v>
      </c>
      <c r="E22" s="50" t="s">
        <v>59</v>
      </c>
      <c r="F22" s="97">
        <v>1.8403434044944017E-2</v>
      </c>
      <c r="G22" s="99">
        <f t="shared" si="0"/>
        <v>492.95438432787046</v>
      </c>
      <c r="H22" s="46"/>
      <c r="I22" s="46">
        <f>G22*'Eilat Car Data'!F$15</f>
        <v>7229429.4738128437</v>
      </c>
      <c r="J22" s="46">
        <f>I22*'Tier 1 Coefficients'!I$3</f>
        <v>506060063.16689909</v>
      </c>
      <c r="K22" s="46">
        <f t="shared" si="1"/>
        <v>506060.06316689908</v>
      </c>
      <c r="L22" s="46">
        <f>K22*'Tier 1 Coefficients'!D$3</f>
        <v>1603704.3401759032</v>
      </c>
      <c r="M22" s="46">
        <f>K22*'Tier 1 Coefficients'!C$16</f>
        <v>4473570.958395388</v>
      </c>
      <c r="N22" s="46">
        <f>K22*'Tier 1 Coefficients'!C$40</f>
        <v>104248.3730123812</v>
      </c>
      <c r="O22" s="46">
        <f>I22*'Tier 2 FC'!D$8</f>
        <v>621730934.74790454</v>
      </c>
      <c r="P22" s="46">
        <f t="shared" si="2"/>
        <v>621730.93474790454</v>
      </c>
      <c r="Q22" s="46">
        <f>P22*'Tier 1 Coefficients'!D$3</f>
        <v>1970265.3322161096</v>
      </c>
      <c r="R22" s="46">
        <f>$I22*'T2 PC'!C44</f>
        <v>9398.2583159566966</v>
      </c>
      <c r="S22" s="46">
        <f>$I22*'T2 PC'!D44</f>
        <v>2877312.9305775119</v>
      </c>
      <c r="T22" s="46">
        <f>44.011*(P22/(12.011+1.008*'Tier 3 CO2 Tables'!B$3+16*'Tier 3 CO2 Tables'!C$3))</f>
        <v>1970562.9149315727</v>
      </c>
      <c r="U22" s="46">
        <f>I22*'Tier 3 CO2 Tables'!H$3/10000</f>
        <v>1048.2672737028622</v>
      </c>
      <c r="V22" s="46">
        <f>44.011*(U22/(12.011+1.008*'Tier 3 CO2 Tables'!B$6+16*'Tier 3 CO2 Tables'!C$6))</f>
        <v>3270.2344958431513</v>
      </c>
      <c r="W22" s="46">
        <f>I22*'T3 Methane'!D$6</f>
        <v>20748462.589842863</v>
      </c>
      <c r="X22" s="46" cm="1">
        <f t="array" ref="X22">_xlfn.IFS(E22='Euro Age Table'!C$5,'Euro Age Table'!G$5,E22='Euro Age Table'!C$6,'Euro Age Table'!G$6,E22='Euro Age Table'!C$7,'Euro Age Table'!G$7,E22='Euro Age Table'!C$8,'Euro Age Table'!G$8,E22='Euro Age Table'!C$9,'Euro Age Table'!G$9,E22='Euro Age Table'!C$10,'Euro Age Table'!G$10,E22='Euro Age Table'!C$11,'Euro Age Table'!G$11)</f>
        <v>9</v>
      </c>
      <c r="Y22" s="46">
        <f>X22*'Eilat Car Data'!F$15</f>
        <v>131989.62689626895</v>
      </c>
      <c r="Z22" s="46">
        <f>('T3 N2O PC-Petrol'!D7*Y22+'T3 N2O PC-Petrol'!E7)*'T3 N2O PC-Petrol'!C7</f>
        <v>2.3144349068634686</v>
      </c>
      <c r="AA22" s="124">
        <f t="shared" si="3"/>
        <v>16732043.930900045</v>
      </c>
    </row>
    <row r="23" spans="1:27" ht="12.5">
      <c r="A23" s="48" t="s">
        <v>51</v>
      </c>
      <c r="B23" s="49" t="s">
        <v>20</v>
      </c>
      <c r="C23" s="49" t="s">
        <v>52</v>
      </c>
      <c r="D23" s="49" t="s">
        <v>62</v>
      </c>
      <c r="E23" s="51" t="s">
        <v>60</v>
      </c>
      <c r="F23" s="97">
        <v>5.8095924802410524E-3</v>
      </c>
      <c r="G23" s="99">
        <f t="shared" si="0"/>
        <v>155.61574417573684</v>
      </c>
      <c r="H23" s="46"/>
      <c r="I23" s="46">
        <f>G23*'Eilat Car Data'!F$15</f>
        <v>2282184.8903267495</v>
      </c>
      <c r="J23" s="46">
        <f>I23*'Tier 1 Coefficients'!I$3</f>
        <v>159752942.32287246</v>
      </c>
      <c r="K23" s="46">
        <f t="shared" si="1"/>
        <v>159752.94232287246</v>
      </c>
      <c r="L23" s="46">
        <f>K23*'Tier 1 Coefficients'!D$3</f>
        <v>506257.07422118285</v>
      </c>
      <c r="M23" s="46">
        <f>K23*'Tier 1 Coefficients'!C$16</f>
        <v>1412216.0101341926</v>
      </c>
      <c r="N23" s="46">
        <f>K23*'Tier 1 Coefficients'!C$40</f>
        <v>32909.106118511729</v>
      </c>
      <c r="O23" s="46">
        <f>I23*'Tier 2 FC'!D$8</f>
        <v>196267900.56810045</v>
      </c>
      <c r="P23" s="46">
        <f t="shared" si="2"/>
        <v>196267.90056810045</v>
      </c>
      <c r="Q23" s="46">
        <f>P23*'Tier 1 Coefficients'!D$3</f>
        <v>621972.97690031037</v>
      </c>
      <c r="R23" s="46">
        <f>$I23*'T2 PC'!C45</f>
        <v>2966.8403574247741</v>
      </c>
      <c r="S23" s="46">
        <f>$I23*'T2 PC'!D45</f>
        <v>908309.58635004633</v>
      </c>
      <c r="T23" s="46">
        <f>44.011*(P23/(12.011+1.008*'Tier 3 CO2 Tables'!B$3+16*'Tier 3 CO2 Tables'!C$3))</f>
        <v>622066.91775405442</v>
      </c>
      <c r="U23" s="46">
        <f>I23*'Tier 3 CO2 Tables'!H$4/10000</f>
        <v>292.11966596182396</v>
      </c>
      <c r="V23" s="46">
        <f>44.011*(U23/(12.011+1.008*'Tier 3 CO2 Tables'!B$6+16*'Tier 3 CO2 Tables'!C$6))</f>
        <v>911.31320466398597</v>
      </c>
      <c r="W23" s="46">
        <f>I23*'T3 Methane'!D$6</f>
        <v>6549870.6352377711</v>
      </c>
      <c r="X23" s="46" cm="1">
        <f t="array" ref="X23">_xlfn.IFS(E23='Euro Age Table'!C$5,'Euro Age Table'!G$5,E23='Euro Age Table'!C$6,'Euro Age Table'!G$6,E23='Euro Age Table'!C$7,'Euro Age Table'!G$7,E23='Euro Age Table'!C$8,'Euro Age Table'!G$8,E23='Euro Age Table'!C$9,'Euro Age Table'!G$9,E23='Euro Age Table'!C$10,'Euro Age Table'!G$10,E23='Euro Age Table'!C$11,'Euro Age Table'!G$11)</f>
        <v>3</v>
      </c>
      <c r="Y23" s="46">
        <f>X23*'Eilat Car Data'!F$15</f>
        <v>43996.542298756322</v>
      </c>
      <c r="Z23" s="46">
        <f>('T3 N2O PC-Petrol'!D8*Y23+'T3 N2O PC-Petrol'!E8)*'T3 N2O PC-Petrol'!C8</f>
        <v>2.149078302287823</v>
      </c>
      <c r="AA23" s="124">
        <f t="shared" si="3"/>
        <v>4904594.0296103321</v>
      </c>
    </row>
    <row r="24" spans="1:27" ht="12.5">
      <c r="A24" s="48" t="s">
        <v>51</v>
      </c>
      <c r="B24" s="52" t="s">
        <v>22</v>
      </c>
      <c r="C24" s="49" t="s">
        <v>52</v>
      </c>
      <c r="D24" s="52" t="s">
        <v>53</v>
      </c>
      <c r="E24" s="50" t="s">
        <v>54</v>
      </c>
      <c r="F24" s="97">
        <v>9.0057689212657579E-6</v>
      </c>
      <c r="G24" s="99">
        <f t="shared" si="0"/>
        <v>0.24122852632502459</v>
      </c>
      <c r="H24" s="76" t="s">
        <v>167</v>
      </c>
      <c r="I24" s="46">
        <f>G24*'Eilat Car Data'!F$15</f>
        <v>3537.7403540418654</v>
      </c>
      <c r="J24" s="46">
        <f>I24*'Tier 1 Coefficients'!I$4</f>
        <v>212264.42124251192</v>
      </c>
      <c r="K24" s="46">
        <f t="shared" si="1"/>
        <v>212.26442124251193</v>
      </c>
      <c r="L24" s="46">
        <f>K24*'Tier 1 Coefficients'!D$4</f>
        <v>672.66595091752026</v>
      </c>
      <c r="M24" s="46">
        <f>K24*'Tier 1 Coefficients'!C$17</f>
        <v>1855.1910416595542</v>
      </c>
      <c r="N24" s="46">
        <f>K24*'Tier 1 Coefficients'!C$41</f>
        <v>18.467004648098538</v>
      </c>
      <c r="O24" s="46">
        <f>I24*'Tier 2 FC'!D$9</f>
        <v>134434.13345359088</v>
      </c>
      <c r="P24" s="46">
        <f t="shared" si="2"/>
        <v>134.43413345359087</v>
      </c>
      <c r="Q24" s="46">
        <f>P24*'Tier 1 Coefficients'!D$4</f>
        <v>426.02176891442946</v>
      </c>
      <c r="R24" s="46"/>
      <c r="S24" s="46"/>
      <c r="T24" s="46">
        <f>44.011*(P24/(12.011+1.008*'Tier 3 CO2 Tables'!B$4+16*'Tier 3 CO2 Tables'!C$4))</f>
        <v>426.08611391038869</v>
      </c>
      <c r="U24" s="46">
        <f>P24*'Tier 3 CO2 Tables'!H$5/10000</f>
        <v>2.003068588458504E-2</v>
      </c>
      <c r="V24" s="46">
        <f>44.011*(U24/(12.011+1.008*'Tier 3 CO2 Tables'!B$6+16*'Tier 3 CO2 Tables'!C$6))</f>
        <v>6.2488872445460204E-2</v>
      </c>
      <c r="W24" s="46">
        <f>I24*'T3 Methane'!D7</f>
        <v>99056.729913172225</v>
      </c>
      <c r="X24" s="46" cm="1">
        <f t="array" ref="X24">_xlfn.IFS(E24='Euro Age Table'!C$5,'Euro Age Table'!G$5,E24='Euro Age Table'!C$6,'Euro Age Table'!G$6,E24='Euro Age Table'!C$7,'Euro Age Table'!G$7,E24='Euro Age Table'!C$8,'Euro Age Table'!G$8,E24='Euro Age Table'!C$9,'Euro Age Table'!G$9,E24='Euro Age Table'!C$10,'Euro Age Table'!G$10,E24='Euro Age Table'!C$11,'Euro Age Table'!G$11)</f>
        <v>27</v>
      </c>
      <c r="Y24" s="46">
        <f>X24*'Eilat Car Data'!F$15</f>
        <v>395968.88068880688</v>
      </c>
      <c r="Z24" s="46">
        <f>'T3 N2O PC-Diesel LPG'!B3</f>
        <v>0</v>
      </c>
      <c r="AA24" s="124">
        <f t="shared" si="3"/>
        <v>0</v>
      </c>
    </row>
    <row r="25" spans="1:27" ht="12.5">
      <c r="A25" s="48" t="s">
        <v>51</v>
      </c>
      <c r="B25" s="49" t="s">
        <v>22</v>
      </c>
      <c r="C25" s="49" t="s">
        <v>52</v>
      </c>
      <c r="D25" s="49" t="s">
        <v>53</v>
      </c>
      <c r="E25" s="50" t="s">
        <v>55</v>
      </c>
      <c r="F25" s="97">
        <v>2.0335607241567842E-6</v>
      </c>
      <c r="G25" s="99">
        <f t="shared" si="0"/>
        <v>5.4470957557263625E-2</v>
      </c>
      <c r="H25" s="76" t="s">
        <v>167</v>
      </c>
      <c r="I25" s="46">
        <f>G25*'Eilat Car Data'!F$15</f>
        <v>798.8445960739698</v>
      </c>
      <c r="J25" s="46">
        <f>I25*'Tier 1 Coefficients'!I$4</f>
        <v>47930.675764438187</v>
      </c>
      <c r="K25" s="46">
        <f t="shared" si="1"/>
        <v>47.930675764438185</v>
      </c>
      <c r="L25" s="46">
        <f>K25*'Tier 1 Coefficients'!D$4</f>
        <v>151.89231149750461</v>
      </c>
      <c r="M25" s="46">
        <f>K25*'Tier 1 Coefficients'!C$17</f>
        <v>418.91410618118977</v>
      </c>
      <c r="N25" s="46">
        <f>K25*'Tier 1 Coefficients'!C$41</f>
        <v>4.1699687915061219</v>
      </c>
      <c r="O25" s="46">
        <f>I25*'Tier 2 FC'!D$9</f>
        <v>30356.094650810854</v>
      </c>
      <c r="P25" s="46">
        <f t="shared" si="2"/>
        <v>30.356094650810853</v>
      </c>
      <c r="Q25" s="46">
        <f>P25*'Tier 1 Coefficients'!D$4</f>
        <v>96.198463948419601</v>
      </c>
      <c r="R25" s="46"/>
      <c r="S25" s="46"/>
      <c r="T25" s="46">
        <f>44.011*(P25/(12.011+1.008*'Tier 3 CO2 Tables'!B$4+16*'Tier 3 CO2 Tables'!C$4))</f>
        <v>96.212993463636195</v>
      </c>
      <c r="U25" s="46">
        <f>P25*'Tier 3 CO2 Tables'!H$5/10000</f>
        <v>4.5230581029708167E-3</v>
      </c>
      <c r="V25" s="46">
        <f>44.011*(U25/(12.011+1.008*'Tier 3 CO2 Tables'!B$6+16*'Tier 3 CO2 Tables'!C$6))</f>
        <v>1.4110390552200695E-2</v>
      </c>
      <c r="W25" s="46">
        <f>I25*'T3 Methane'!D8</f>
        <v>8787.2905568136684</v>
      </c>
      <c r="X25" s="46" cm="1">
        <f t="array" ref="X25">_xlfn.IFS(E25='Euro Age Table'!C$5,'Euro Age Table'!G$5,E25='Euro Age Table'!C$6,'Euro Age Table'!G$6,E25='Euro Age Table'!C$7,'Euro Age Table'!G$7,E25='Euro Age Table'!C$8,'Euro Age Table'!G$8,E25='Euro Age Table'!C$9,'Euro Age Table'!G$9,E25='Euro Age Table'!C$10,'Euro Age Table'!G$10,E25='Euro Age Table'!C$11,'Euro Age Table'!G$11)</f>
        <v>23</v>
      </c>
      <c r="Y25" s="46">
        <f>X25*'Eilat Car Data'!F$15</f>
        <v>337306.8242904651</v>
      </c>
      <c r="Z25" s="46">
        <f>'T3 N2O PC-Diesel LPG'!B4</f>
        <v>2</v>
      </c>
      <c r="AA25" s="124">
        <f t="shared" si="3"/>
        <v>1597.6891921479396</v>
      </c>
    </row>
    <row r="26" spans="1:27" ht="12.5">
      <c r="A26" s="48" t="s">
        <v>51</v>
      </c>
      <c r="B26" s="49" t="s">
        <v>22</v>
      </c>
      <c r="C26" s="49" t="s">
        <v>52</v>
      </c>
      <c r="D26" s="49" t="s">
        <v>53</v>
      </c>
      <c r="E26" s="50" t="s">
        <v>56</v>
      </c>
      <c r="F26" s="97">
        <v>5.8101734975908114E-7</v>
      </c>
      <c r="G26" s="99">
        <f t="shared" si="0"/>
        <v>1.5563130730646748E-2</v>
      </c>
      <c r="H26" s="76" t="s">
        <v>167</v>
      </c>
      <c r="I26" s="46">
        <f>G26*'Eilat Car Data'!F$15</f>
        <v>228.24131316399132</v>
      </c>
      <c r="J26" s="46">
        <f>I26*'Tier 1 Coefficients'!I$4</f>
        <v>13694.478789839479</v>
      </c>
      <c r="K26" s="46">
        <f t="shared" si="1"/>
        <v>13.694478789839479</v>
      </c>
      <c r="L26" s="46">
        <f>K26*'Tier 1 Coefficients'!D$4</f>
        <v>43.397803285001309</v>
      </c>
      <c r="M26" s="46">
        <f>K26*'Tier 1 Coefficients'!C$17</f>
        <v>119.68974462319706</v>
      </c>
      <c r="N26" s="46">
        <f>K26*'Tier 1 Coefficients'!C$41</f>
        <v>1.1914196547160347</v>
      </c>
      <c r="O26" s="46">
        <f>I26*'Tier 2 FC'!D$9</f>
        <v>8673.1699002316709</v>
      </c>
      <c r="P26" s="46">
        <f t="shared" si="2"/>
        <v>8.6731699002316702</v>
      </c>
      <c r="Q26" s="46">
        <f>P26*'Tier 1 Coefficients'!D$4</f>
        <v>27.485275413834163</v>
      </c>
      <c r="R26" s="46"/>
      <c r="S26" s="46"/>
      <c r="T26" s="46">
        <f>44.011*(P26/(12.011+1.008*'Tier 3 CO2 Tables'!B$4+16*'Tier 3 CO2 Tables'!C$4))</f>
        <v>27.489426703896047</v>
      </c>
      <c r="U26" s="46">
        <f>P26*'Tier 3 CO2 Tables'!H$5/10000</f>
        <v>1.2923023151345189E-3</v>
      </c>
      <c r="V26" s="46">
        <f>44.011*(U26/(12.011+1.008*'Tier 3 CO2 Tables'!B$6+16*'Tier 3 CO2 Tables'!C$6))</f>
        <v>4.0315401577716266E-3</v>
      </c>
      <c r="W26" s="46">
        <f>I26*'T3 Methane'!D9</f>
        <v>1597.6891921479391</v>
      </c>
      <c r="X26" s="46" cm="1">
        <f t="array" ref="X26">_xlfn.IFS(E26='Euro Age Table'!C$5,'Euro Age Table'!G$5,E26='Euro Age Table'!C$6,'Euro Age Table'!G$6,E26='Euro Age Table'!C$7,'Euro Age Table'!G$7,E26='Euro Age Table'!C$8,'Euro Age Table'!G$8,E26='Euro Age Table'!C$9,'Euro Age Table'!G$9,E26='Euro Age Table'!C$10,'Euro Age Table'!G$10,E26='Euro Age Table'!C$11,'Euro Age Table'!G$11)</f>
        <v>18</v>
      </c>
      <c r="Y26" s="46">
        <f>X26*'Eilat Car Data'!F$15</f>
        <v>263979.2537925379</v>
      </c>
      <c r="Z26" s="46">
        <f>'T3 N2O PC-Diesel LPG'!B5</f>
        <v>4</v>
      </c>
      <c r="AA26" s="124">
        <f t="shared" si="3"/>
        <v>912.96525265596529</v>
      </c>
    </row>
    <row r="27" spans="1:27" ht="12.5">
      <c r="A27" s="48" t="s">
        <v>51</v>
      </c>
      <c r="B27" s="49" t="s">
        <v>22</v>
      </c>
      <c r="C27" s="49" t="s">
        <v>52</v>
      </c>
      <c r="D27" s="49" t="s">
        <v>53</v>
      </c>
      <c r="E27" s="50" t="s">
        <v>57</v>
      </c>
      <c r="F27" s="97">
        <v>1.3363399044458866E-5</v>
      </c>
      <c r="G27" s="99">
        <f t="shared" si="0"/>
        <v>0.35795200680487516</v>
      </c>
      <c r="H27" s="76" t="s">
        <v>167</v>
      </c>
      <c r="I27" s="46">
        <f>G27*'Eilat Car Data'!F$15</f>
        <v>5249.5502027718003</v>
      </c>
      <c r="J27" s="46">
        <f>I27*'Tier 1 Coefficients'!I$4</f>
        <v>314973.01216630801</v>
      </c>
      <c r="K27" s="46">
        <f t="shared" si="1"/>
        <v>314.97301216630802</v>
      </c>
      <c r="L27" s="46">
        <f>K27*'Tier 1 Coefficients'!D$4</f>
        <v>998.14947555503011</v>
      </c>
      <c r="M27" s="46">
        <f>K27*'Tier 1 Coefficients'!C$17</f>
        <v>2752.8641263335321</v>
      </c>
      <c r="N27" s="46">
        <f>K27*'Tier 1 Coefficients'!C$41</f>
        <v>27.402652058468796</v>
      </c>
      <c r="O27" s="46">
        <f>I27*'Tier 2 FC'!D$9</f>
        <v>199482.9077053284</v>
      </c>
      <c r="P27" s="46">
        <f t="shared" si="2"/>
        <v>199.48290770532839</v>
      </c>
      <c r="Q27" s="46">
        <f>P27*'Tier 1 Coefficients'!D$4</f>
        <v>632.16133451818564</v>
      </c>
      <c r="R27" s="46"/>
      <c r="S27" s="46"/>
      <c r="T27" s="46">
        <f>44.011*(P27/(12.011+1.008*'Tier 3 CO2 Tables'!B$4+16*'Tier 3 CO2 Tables'!C$4))</f>
        <v>632.25681418960903</v>
      </c>
      <c r="U27" s="46">
        <f>P27*'Tier 3 CO2 Tables'!H$5/10000</f>
        <v>2.9722953248093927E-2</v>
      </c>
      <c r="V27" s="46">
        <f>44.011*(U27/(12.011+1.008*'Tier 3 CO2 Tables'!B$6+16*'Tier 3 CO2 Tables'!C$6))</f>
        <v>9.2725423628747389E-2</v>
      </c>
      <c r="W27" s="46">
        <f>I27*'T3 Methane'!D10</f>
        <v>15748.650608315402</v>
      </c>
      <c r="X27" s="46" cm="1">
        <f t="array" ref="X27">_xlfn.IFS(E27='Euro Age Table'!C$5,'Euro Age Table'!G$5,E27='Euro Age Table'!C$6,'Euro Age Table'!G$6,E27='Euro Age Table'!C$7,'Euro Age Table'!G$7,E27='Euro Age Table'!C$8,'Euro Age Table'!G$8,E27='Euro Age Table'!C$9,'Euro Age Table'!G$9,E27='Euro Age Table'!C$10,'Euro Age Table'!G$10,E27='Euro Age Table'!C$11,'Euro Age Table'!G$11)</f>
        <v>16</v>
      </c>
      <c r="Y27" s="46">
        <f>X27*'Eilat Car Data'!F$15</f>
        <v>234648.22559336704</v>
      </c>
      <c r="Z27" s="46">
        <f>'T3 N2O PC-Diesel LPG'!B6</f>
        <v>9</v>
      </c>
      <c r="AA27" s="124">
        <f t="shared" si="3"/>
        <v>47245.951824946205</v>
      </c>
    </row>
    <row r="28" spans="1:27" ht="12.5">
      <c r="A28" s="48" t="s">
        <v>51</v>
      </c>
      <c r="B28" s="49" t="s">
        <v>22</v>
      </c>
      <c r="C28" s="49" t="s">
        <v>52</v>
      </c>
      <c r="D28" s="49" t="s">
        <v>53</v>
      </c>
      <c r="E28" s="50" t="s">
        <v>58</v>
      </c>
      <c r="F28" s="97">
        <v>2.8469850138194977E-5</v>
      </c>
      <c r="G28" s="99">
        <f t="shared" si="0"/>
        <v>0.76259340580169066</v>
      </c>
      <c r="H28" s="46"/>
      <c r="I28" s="46">
        <f>G28*'Eilat Car Data'!F$15</f>
        <v>11183.824345035575</v>
      </c>
      <c r="J28" s="46">
        <f>I28*'Tier 1 Coefficients'!I$4</f>
        <v>671029.46070213453</v>
      </c>
      <c r="K28" s="46">
        <f t="shared" si="1"/>
        <v>671.02946070213454</v>
      </c>
      <c r="L28" s="46">
        <f>K28*'Tier 1 Coefficients'!D$4</f>
        <v>2126.4923609650646</v>
      </c>
      <c r="M28" s="46">
        <f>K28*'Tier 1 Coefficients'!C$17</f>
        <v>5864.7974865366559</v>
      </c>
      <c r="N28" s="46">
        <f>K28*'Tier 1 Coefficients'!C$41</f>
        <v>58.379563081085699</v>
      </c>
      <c r="O28" s="46">
        <f>I28*'Tier 2 FC'!D$9</f>
        <v>424985.32511135185</v>
      </c>
      <c r="P28" s="46">
        <f t="shared" si="2"/>
        <v>424.98532511135187</v>
      </c>
      <c r="Q28" s="46">
        <f>P28*'Tier 1 Coefficients'!D$4</f>
        <v>1346.7784952778741</v>
      </c>
      <c r="R28" s="46">
        <f>$I28*'T2 PC'!C48</f>
        <v>11.183824345035575</v>
      </c>
      <c r="S28" s="46">
        <f>$I28*'T2 PC'!D48</f>
        <v>4451.1620893241588</v>
      </c>
      <c r="T28" s="46">
        <f>44.011*(P28/(12.011+1.008*'Tier 3 CO2 Tables'!B$4+16*'Tier 3 CO2 Tables'!C$4))</f>
        <v>1346.9819084909066</v>
      </c>
      <c r="U28" s="46">
        <f>P28*'Tier 3 CO2 Tables'!H$5/10000</f>
        <v>6.3322813441591422E-2</v>
      </c>
      <c r="V28" s="46">
        <f>44.011*(U28/(12.011+1.008*'Tier 3 CO2 Tables'!B$6+16*'Tier 3 CO2 Tables'!C$6))</f>
        <v>0.19754546773080972</v>
      </c>
      <c r="W28" s="46">
        <f>I28*'T3 Methane'!D11</f>
        <v>12302.206779539134</v>
      </c>
      <c r="X28" s="46" cm="1">
        <f t="array" ref="X28">_xlfn.IFS(E28='Euro Age Table'!C$5,'Euro Age Table'!G$5,E28='Euro Age Table'!C$6,'Euro Age Table'!G$6,E28='Euro Age Table'!C$7,'Euro Age Table'!G$7,E28='Euro Age Table'!C$8,'Euro Age Table'!G$8,E28='Euro Age Table'!C$9,'Euro Age Table'!G$9,E28='Euro Age Table'!C$10,'Euro Age Table'!G$10,E28='Euro Age Table'!C$11,'Euro Age Table'!G$11)</f>
        <v>13</v>
      </c>
      <c r="Y28" s="46">
        <f>X28*'Eilat Car Data'!F$15</f>
        <v>190651.68329461073</v>
      </c>
      <c r="Z28" s="46">
        <f>'T3 N2O PC-Diesel LPG'!B6</f>
        <v>9</v>
      </c>
      <c r="AA28" s="124">
        <f t="shared" si="3"/>
        <v>100654.41910532018</v>
      </c>
    </row>
    <row r="29" spans="1:27" ht="12.5">
      <c r="A29" s="48" t="s">
        <v>51</v>
      </c>
      <c r="B29" s="49" t="s">
        <v>22</v>
      </c>
      <c r="C29" s="49" t="s">
        <v>52</v>
      </c>
      <c r="D29" s="49" t="s">
        <v>53</v>
      </c>
      <c r="E29" s="50" t="s">
        <v>59</v>
      </c>
      <c r="F29" s="97">
        <v>5.7898378903492435E-4</v>
      </c>
      <c r="G29" s="99">
        <f t="shared" si="0"/>
        <v>15.508659773089484</v>
      </c>
      <c r="H29" s="46"/>
      <c r="I29" s="46">
        <f>G29*'Eilat Car Data'!F$15</f>
        <v>227442.46856791736</v>
      </c>
      <c r="J29" s="46">
        <f>I29*'Tier 1 Coefficients'!I$4</f>
        <v>13646548.114075042</v>
      </c>
      <c r="K29" s="46">
        <f t="shared" si="1"/>
        <v>13646.548114075042</v>
      </c>
      <c r="L29" s="46">
        <f>K29*'Tier 1 Coefficients'!D$4</f>
        <v>43245.910973503807</v>
      </c>
      <c r="M29" s="46">
        <f>K29*'Tier 1 Coefficients'!C$17</f>
        <v>119270.83051701587</v>
      </c>
      <c r="N29" s="46">
        <f>K29*'Tier 1 Coefficients'!C$41</f>
        <v>1187.2496859245286</v>
      </c>
      <c r="O29" s="46">
        <f>I29*'Tier 2 FC'!D$9</f>
        <v>8642813.80558086</v>
      </c>
      <c r="P29" s="46">
        <f t="shared" si="2"/>
        <v>8642.8138055808595</v>
      </c>
      <c r="Q29" s="46">
        <f>P29*'Tier 1 Coefficients'!D$4</f>
        <v>27389.076949885744</v>
      </c>
      <c r="R29" s="46">
        <f>$I29*'T2 PC'!C49</f>
        <v>909.76987427166944</v>
      </c>
      <c r="S29" s="46">
        <f>$I29*'T2 PC'!D49</f>
        <v>90522.102490031117</v>
      </c>
      <c r="T29" s="46">
        <f>44.011*(P29/(12.011+1.008*'Tier 3 CO2 Tables'!B$4+16*'Tier 3 CO2 Tables'!C$4))</f>
        <v>27393.21371043241</v>
      </c>
      <c r="U29" s="46">
        <f>P29*'Tier 3 CO2 Tables'!H$5/10000</f>
        <v>1.2877792570315481</v>
      </c>
      <c r="V29" s="46">
        <f>44.011*(U29/(12.011+1.008*'Tier 3 CO2 Tables'!B$6+16*'Tier 3 CO2 Tables'!C$6))</f>
        <v>4.0174297672194266</v>
      </c>
      <c r="W29" s="46">
        <f>I29*'T3 Methane'!D$12</f>
        <v>17058.1851425938</v>
      </c>
      <c r="X29" s="46" cm="1">
        <f t="array" ref="X29">_xlfn.IFS(E29='Euro Age Table'!C$5,'Euro Age Table'!G$5,E29='Euro Age Table'!C$6,'Euro Age Table'!G$6,E29='Euro Age Table'!C$7,'Euro Age Table'!G$7,E29='Euro Age Table'!C$8,'Euro Age Table'!G$8,E29='Euro Age Table'!C$9,'Euro Age Table'!G$9,E29='Euro Age Table'!C$10,'Euro Age Table'!G$10,E29='Euro Age Table'!C$11,'Euro Age Table'!G$11)</f>
        <v>9</v>
      </c>
      <c r="Y29" s="46">
        <f>X29*'Eilat Car Data'!F$15</f>
        <v>131989.62689626895</v>
      </c>
      <c r="Z29" s="46">
        <f>'T3 N2O PC-Diesel LPG'!B6</f>
        <v>9</v>
      </c>
      <c r="AA29" s="124">
        <f t="shared" si="3"/>
        <v>2046982.2171112562</v>
      </c>
    </row>
    <row r="30" spans="1:27" ht="12.5">
      <c r="A30" s="48" t="s">
        <v>51</v>
      </c>
      <c r="B30" s="49" t="s">
        <v>22</v>
      </c>
      <c r="C30" s="49" t="s">
        <v>52</v>
      </c>
      <c r="D30" s="49" t="s">
        <v>53</v>
      </c>
      <c r="E30" s="51" t="s">
        <v>60</v>
      </c>
      <c r="F30" s="97">
        <v>2.0074149434176253E-4</v>
      </c>
      <c r="G30" s="99">
        <f t="shared" si="0"/>
        <v>5.3770616674384515</v>
      </c>
      <c r="H30" s="46"/>
      <c r="I30" s="46">
        <f>G30*'Eilat Car Data'!F$15</f>
        <v>78857.373698159005</v>
      </c>
      <c r="J30" s="46">
        <f>I30*'Tier 1 Coefficients'!I$4</f>
        <v>4731442.4218895398</v>
      </c>
      <c r="K30" s="46">
        <f t="shared" si="1"/>
        <v>4731.4424218895401</v>
      </c>
      <c r="L30" s="46">
        <f>K30*'Tier 1 Coefficients'!D$4</f>
        <v>14993.941034967953</v>
      </c>
      <c r="M30" s="46">
        <f>K30*'Tier 1 Coefficients'!C$17</f>
        <v>41352.806767314585</v>
      </c>
      <c r="N30" s="46">
        <f>K30*'Tier 1 Coefficients'!C$41</f>
        <v>411.63549070438995</v>
      </c>
      <c r="O30" s="46">
        <f>I30*'Tier 2 FC'!D$9</f>
        <v>2996580.2005300419</v>
      </c>
      <c r="P30" s="46">
        <f t="shared" si="2"/>
        <v>2996.580200530042</v>
      </c>
      <c r="Q30" s="46">
        <f>P30*'Tier 1 Coefficients'!D$4</f>
        <v>9496.162655479704</v>
      </c>
      <c r="R30" s="46">
        <f>$I30*'T2 PC'!C50</f>
        <v>315.42949479263604</v>
      </c>
      <c r="S30" s="46">
        <f>$I30*'T2 PC'!D50</f>
        <v>31385.234731867284</v>
      </c>
      <c r="T30" s="46">
        <f>44.011*(P30/(12.011+1.008*'Tier 3 CO2 Tables'!B$4+16*'Tier 3 CO2 Tables'!C$4))</f>
        <v>9497.5969261960854</v>
      </c>
      <c r="U30" s="46">
        <f>P30*'Tier 3 CO2 Tables'!H$6/10000</f>
        <v>0.3835622656678454</v>
      </c>
      <c r="V30" s="46">
        <f>44.011*(U30/(12.011+1.008*'Tier 3 CO2 Tables'!B$6+16*'Tier 3 CO2 Tables'!C$6))</f>
        <v>1.1965827646798151</v>
      </c>
      <c r="W30" s="46">
        <f>I30*'T3 Methane'!D$12</f>
        <v>5914.3030273619252</v>
      </c>
      <c r="X30" s="46" cm="1">
        <f t="array" ref="X30">_xlfn.IFS(E30='Euro Age Table'!C$5,'Euro Age Table'!G$5,E30='Euro Age Table'!C$6,'Euro Age Table'!G$6,E30='Euro Age Table'!C$7,'Euro Age Table'!G$7,E30='Euro Age Table'!C$8,'Euro Age Table'!G$8,E30='Euro Age Table'!C$9,'Euro Age Table'!G$9,E30='Euro Age Table'!C$10,'Euro Age Table'!G$10,E30='Euro Age Table'!C$11,'Euro Age Table'!G$11)</f>
        <v>3</v>
      </c>
      <c r="Y30" s="46">
        <f>X30*'Eilat Car Data'!F$15</f>
        <v>43996.542298756322</v>
      </c>
      <c r="Z30" s="46">
        <f>'T3 N2O PC-Diesel LPG'!B7</f>
        <v>11</v>
      </c>
      <c r="AA30" s="124">
        <f t="shared" si="3"/>
        <v>867431.11067974905</v>
      </c>
    </row>
    <row r="31" spans="1:27" ht="12.5">
      <c r="A31" s="48" t="s">
        <v>51</v>
      </c>
      <c r="B31" s="49" t="s">
        <v>22</v>
      </c>
      <c r="C31" s="49" t="s">
        <v>52</v>
      </c>
      <c r="D31" s="52" t="s">
        <v>61</v>
      </c>
      <c r="E31" s="50" t="s">
        <v>54</v>
      </c>
      <c r="F31" s="97">
        <v>2.0335607241567842E-6</v>
      </c>
      <c r="G31" s="99">
        <f t="shared" si="0"/>
        <v>5.4470957557263625E-2</v>
      </c>
      <c r="H31" s="46"/>
      <c r="I31" s="46">
        <f>G31*'Eilat Car Data'!F$15</f>
        <v>798.8445960739698</v>
      </c>
      <c r="J31" s="46">
        <f>I31*'Tier 1 Coefficients'!I$4</f>
        <v>47930.675764438187</v>
      </c>
      <c r="K31" s="46">
        <f t="shared" si="1"/>
        <v>47.930675764438185</v>
      </c>
      <c r="L31" s="46">
        <f>K31*'Tier 1 Coefficients'!D$4</f>
        <v>151.89231149750461</v>
      </c>
      <c r="M31" s="46">
        <f>K31*'Tier 1 Coefficients'!C$17</f>
        <v>418.91410618118977</v>
      </c>
      <c r="N31" s="46">
        <f>K31*'Tier 1 Coefficients'!C$41</f>
        <v>4.1699687915061219</v>
      </c>
      <c r="O31" s="46">
        <f>I31*'Tier 2 FC'!D$10</f>
        <v>50327.209552660097</v>
      </c>
      <c r="P31" s="46">
        <f t="shared" si="2"/>
        <v>50.327209552660094</v>
      </c>
      <c r="Q31" s="46">
        <f>P31*'Tier 1 Coefficients'!D$4</f>
        <v>159.48692707237984</v>
      </c>
      <c r="R31" s="46">
        <f>$I31*'T2 PC'!C53</f>
        <v>0</v>
      </c>
      <c r="S31" s="46">
        <f>$I31*'T2 PC'!D53</f>
        <v>529.63396719704201</v>
      </c>
      <c r="T31" s="46">
        <f>44.011*(P31/(12.011+1.008*'Tier 3 CO2 Tables'!B$4+16*'Tier 3 CO2 Tables'!C$4))</f>
        <v>159.51101547918631</v>
      </c>
      <c r="U31" s="46">
        <f>P31*'Tier 3 CO2 Tables'!H$5/10000</f>
        <v>7.4987542233463543E-3</v>
      </c>
      <c r="V31" s="46">
        <f>44.011*(U31/(12.011+1.008*'Tier 3 CO2 Tables'!B$6+16*'Tier 3 CO2 Tables'!C$6))</f>
        <v>2.3393542231280103E-2</v>
      </c>
      <c r="W31" s="46">
        <f>I31*'T3 Methane'!D7</f>
        <v>22367.648690071153</v>
      </c>
      <c r="X31" s="46" cm="1">
        <f t="array" ref="X31">_xlfn.IFS(E31='Euro Age Table'!C$5,'Euro Age Table'!G$5,E31='Euro Age Table'!C$6,'Euro Age Table'!G$6,E31='Euro Age Table'!C$7,'Euro Age Table'!G$7,E31='Euro Age Table'!C$8,'Euro Age Table'!G$8,E31='Euro Age Table'!C$9,'Euro Age Table'!G$9,E31='Euro Age Table'!C$10,'Euro Age Table'!G$10,E31='Euro Age Table'!C$11,'Euro Age Table'!G$11)</f>
        <v>27</v>
      </c>
      <c r="Y31" s="46">
        <f>X31*'Eilat Car Data'!F$15</f>
        <v>395968.88068880688</v>
      </c>
      <c r="Z31" s="46">
        <f>'T3 N2O PC-Diesel LPG'!B3</f>
        <v>0</v>
      </c>
      <c r="AA31" s="124">
        <f t="shared" si="3"/>
        <v>0</v>
      </c>
    </row>
    <row r="32" spans="1:27" ht="12.5">
      <c r="A32" s="48" t="s">
        <v>51</v>
      </c>
      <c r="B32" s="49" t="s">
        <v>22</v>
      </c>
      <c r="C32" s="49" t="s">
        <v>52</v>
      </c>
      <c r="D32" s="49" t="s">
        <v>61</v>
      </c>
      <c r="E32" s="50" t="s">
        <v>55</v>
      </c>
      <c r="F32" s="97">
        <v>8.7152602463862176E-7</v>
      </c>
      <c r="G32" s="99">
        <f t="shared" si="0"/>
        <v>2.3344696095970122E-2</v>
      </c>
      <c r="H32" s="46"/>
      <c r="I32" s="46">
        <f>G32*'Eilat Car Data'!F$15</f>
        <v>342.36196974598698</v>
      </c>
      <c r="J32" s="46">
        <f>I32*'Tier 1 Coefficients'!I$4</f>
        <v>20541.718184759218</v>
      </c>
      <c r="K32" s="46">
        <f t="shared" si="1"/>
        <v>20.541718184759219</v>
      </c>
      <c r="L32" s="46">
        <f>K32*'Tier 1 Coefficients'!D$4</f>
        <v>65.09670492750196</v>
      </c>
      <c r="M32" s="46">
        <f>K32*'Tier 1 Coefficients'!C$17</f>
        <v>179.53461693479557</v>
      </c>
      <c r="N32" s="46">
        <f>K32*'Tier 1 Coefficients'!C$41</f>
        <v>1.787129482074052</v>
      </c>
      <c r="O32" s="46">
        <f>I32*'Tier 2 FC'!D$11</f>
        <v>18829.908336029283</v>
      </c>
      <c r="P32" s="46">
        <f t="shared" si="2"/>
        <v>18.829908336029284</v>
      </c>
      <c r="Q32" s="46">
        <f>P32*'Tier 1 Coefficients'!D$4</f>
        <v>59.671979516876803</v>
      </c>
      <c r="R32" s="46">
        <f>$I32*'T2 PC'!C54</f>
        <v>1.0270859092379609</v>
      </c>
      <c r="S32" s="46">
        <f>$I32*'T2 PC'!D54</f>
        <v>204.04773396860824</v>
      </c>
      <c r="T32" s="46">
        <f>44.011*(P32/(12.011+1.008*'Tier 3 CO2 Tables'!B$4+16*'Tier 3 CO2 Tables'!C$4))</f>
        <v>59.680992186090108</v>
      </c>
      <c r="U32" s="46">
        <f>P32*'Tier 3 CO2 Tables'!H$5/10000</f>
        <v>2.8056563420683633E-3</v>
      </c>
      <c r="V32" s="46">
        <f>44.011*(U32/(12.011+1.008*'Tier 3 CO2 Tables'!B$6+16*'Tier 3 CO2 Tables'!C$6))</f>
        <v>8.7526858688462949E-3</v>
      </c>
      <c r="W32" s="46">
        <f>I32*'T3 Methane'!D8</f>
        <v>3765.9816672058569</v>
      </c>
      <c r="X32" s="46" cm="1">
        <f t="array" ref="X32">_xlfn.IFS(E32='Euro Age Table'!C$5,'Euro Age Table'!G$5,E32='Euro Age Table'!C$6,'Euro Age Table'!G$6,E32='Euro Age Table'!C$7,'Euro Age Table'!G$7,E32='Euro Age Table'!C$8,'Euro Age Table'!G$8,E32='Euro Age Table'!C$9,'Euro Age Table'!G$9,E32='Euro Age Table'!C$10,'Euro Age Table'!G$10,E32='Euro Age Table'!C$11,'Euro Age Table'!G$11)</f>
        <v>23</v>
      </c>
      <c r="Y32" s="46">
        <f>X32*'Eilat Car Data'!F$15</f>
        <v>337306.8242904651</v>
      </c>
      <c r="Z32" s="46">
        <f>'T3 N2O PC-Diesel LPG'!B4</f>
        <v>2</v>
      </c>
      <c r="AA32" s="124">
        <f t="shared" si="3"/>
        <v>684.72393949197397</v>
      </c>
    </row>
    <row r="33" spans="1:27" ht="12.5">
      <c r="A33" s="48" t="s">
        <v>51</v>
      </c>
      <c r="B33" s="49" t="s">
        <v>22</v>
      </c>
      <c r="C33" s="49" t="s">
        <v>52</v>
      </c>
      <c r="D33" s="49" t="s">
        <v>61</v>
      </c>
      <c r="E33" s="50" t="s">
        <v>56</v>
      </c>
      <c r="F33" s="97">
        <v>1.7081910082916986E-4</v>
      </c>
      <c r="G33" s="99">
        <f t="shared" si="0"/>
        <v>4.5755604348101437</v>
      </c>
      <c r="H33" s="46"/>
      <c r="I33" s="46">
        <f>G33*'Eilat Car Data'!F$15</f>
        <v>67102.946070213453</v>
      </c>
      <c r="J33" s="46">
        <f>I33*'Tier 1 Coefficients'!I$4</f>
        <v>4026176.7642128072</v>
      </c>
      <c r="K33" s="46">
        <f t="shared" si="1"/>
        <v>4026.176764212807</v>
      </c>
      <c r="L33" s="46">
        <f>K33*'Tier 1 Coefficients'!D$4</f>
        <v>12758.954165790386</v>
      </c>
      <c r="M33" s="46">
        <f>K33*'Tier 1 Coefficients'!C$17</f>
        <v>35188.784919219936</v>
      </c>
      <c r="N33" s="46">
        <f>K33*'Tier 1 Coefficients'!C$41</f>
        <v>350.27737848651418</v>
      </c>
      <c r="O33" s="46">
        <f>I33*'Tier 2 FC'!D$11</f>
        <v>3690662.03386174</v>
      </c>
      <c r="P33" s="46">
        <f t="shared" si="2"/>
        <v>3690.6620338617399</v>
      </c>
      <c r="Q33" s="46">
        <f>P33*'Tier 1 Coefficients'!D$4</f>
        <v>11695.707985307854</v>
      </c>
      <c r="R33" s="46">
        <f>$I33*'T2 PC'!C55</f>
        <v>335.51473035106727</v>
      </c>
      <c r="S33" s="46">
        <f>$I33*'T2 PC'!D55</f>
        <v>35564.561417213132</v>
      </c>
      <c r="T33" s="46">
        <f>44.011*(P33/(12.011+1.008*'Tier 3 CO2 Tables'!B$4+16*'Tier 3 CO2 Tables'!C$4))</f>
        <v>11697.474468473662</v>
      </c>
      <c r="U33" s="46">
        <f>P33*'Tier 3 CO2 Tables'!H$5/10000</f>
        <v>0.54990864304539933</v>
      </c>
      <c r="V33" s="46">
        <f>44.011*(U33/(12.011+1.008*'Tier 3 CO2 Tables'!B$6+16*'Tier 3 CO2 Tables'!C$6))</f>
        <v>1.7155264302938742</v>
      </c>
      <c r="W33" s="46">
        <f>I33*'T3 Methane'!D9</f>
        <v>469720.62249149417</v>
      </c>
      <c r="X33" s="46" cm="1">
        <f t="array" ref="X33">_xlfn.IFS(E33='Euro Age Table'!C$5,'Euro Age Table'!G$5,E33='Euro Age Table'!C$6,'Euro Age Table'!G$6,E33='Euro Age Table'!C$7,'Euro Age Table'!G$7,E33='Euro Age Table'!C$8,'Euro Age Table'!G$8,E33='Euro Age Table'!C$9,'Euro Age Table'!G$9,E33='Euro Age Table'!C$10,'Euro Age Table'!G$10,E33='Euro Age Table'!C$11,'Euro Age Table'!G$11)</f>
        <v>18</v>
      </c>
      <c r="Y33" s="46">
        <f>X33*'Eilat Car Data'!F$15</f>
        <v>263979.2537925379</v>
      </c>
      <c r="Z33" s="46">
        <f>'T3 N2O PC-Diesel LPG'!B5</f>
        <v>4</v>
      </c>
      <c r="AA33" s="124">
        <f t="shared" si="3"/>
        <v>268411.78428085381</v>
      </c>
    </row>
    <row r="34" spans="1:27" ht="12.5">
      <c r="A34" s="48" t="s">
        <v>51</v>
      </c>
      <c r="B34" s="49" t="s">
        <v>22</v>
      </c>
      <c r="C34" s="49" t="s">
        <v>52</v>
      </c>
      <c r="D34" s="49" t="s">
        <v>61</v>
      </c>
      <c r="E34" s="50" t="s">
        <v>57</v>
      </c>
      <c r="F34" s="97">
        <v>2.5129000377080261E-3</v>
      </c>
      <c r="G34" s="99">
        <f t="shared" si="0"/>
        <v>67.310540410047182</v>
      </c>
      <c r="H34" s="46"/>
      <c r="I34" s="46">
        <f>G34*'Eilat Car Data'!F$15</f>
        <v>987143.67943426245</v>
      </c>
      <c r="J34" s="46">
        <f>I34*'Tier 1 Coefficients'!I$4</f>
        <v>59228620.766055748</v>
      </c>
      <c r="K34" s="46">
        <f t="shared" si="1"/>
        <v>59228.620766055748</v>
      </c>
      <c r="L34" s="46">
        <f>K34*'Tier 1 Coefficients'!D$4</f>
        <v>187695.49920763067</v>
      </c>
      <c r="M34" s="46">
        <f>K34*'Tier 1 Coefficients'!C$17</f>
        <v>517658.14549532725</v>
      </c>
      <c r="N34" s="46">
        <f>K34*'Tier 1 Coefficients'!C$41</f>
        <v>5152.8900066468495</v>
      </c>
      <c r="O34" s="46">
        <f>I34*'Tier 2 FC'!D$11</f>
        <v>54292902.368884437</v>
      </c>
      <c r="P34" s="46">
        <f t="shared" si="2"/>
        <v>54292.902368884439</v>
      </c>
      <c r="Q34" s="46">
        <f>P34*'Tier 1 Coefficients'!D$4</f>
        <v>172054.20760699478</v>
      </c>
      <c r="R34" s="46">
        <f>$I34*'T2 PC'!C56</f>
        <v>6910.0057560398373</v>
      </c>
      <c r="S34" s="46">
        <f>$I34*'T2 PC'!D56</f>
        <v>458034.66725749779</v>
      </c>
      <c r="T34" s="46">
        <f>44.011*(P34/(12.011+1.008*'Tier 3 CO2 Tables'!B$4+16*'Tier 3 CO2 Tables'!C$4))</f>
        <v>172080.19413655982</v>
      </c>
      <c r="U34" s="46">
        <f>P34*'Tier 3 CO2 Tables'!H$5/10000</f>
        <v>8.0896424529637798</v>
      </c>
      <c r="V34" s="46">
        <f>44.011*(U34/(12.011+1.008*'Tier 3 CO2 Tables'!B$6+16*'Tier 3 CO2 Tables'!C$6))</f>
        <v>25.236910921840149</v>
      </c>
      <c r="W34" s="46">
        <f>I34*'T3 Methane'!D10</f>
        <v>2961431.0383027876</v>
      </c>
      <c r="X34" s="46" cm="1">
        <f t="array" ref="X34">_xlfn.IFS(E34='Euro Age Table'!C$5,'Euro Age Table'!G$5,E34='Euro Age Table'!C$6,'Euro Age Table'!G$6,E34='Euro Age Table'!C$7,'Euro Age Table'!G$7,E34='Euro Age Table'!C$8,'Euro Age Table'!G$8,E34='Euro Age Table'!C$9,'Euro Age Table'!G$9,E34='Euro Age Table'!C$10,'Euro Age Table'!G$10,E34='Euro Age Table'!C$11,'Euro Age Table'!G$11)</f>
        <v>16</v>
      </c>
      <c r="Y34" s="46">
        <f>X34*'Eilat Car Data'!F$15</f>
        <v>234648.22559336704</v>
      </c>
      <c r="Z34" s="46">
        <f>'T3 N2O PC-Diesel LPG'!B6</f>
        <v>9</v>
      </c>
      <c r="AA34" s="124">
        <f t="shared" si="3"/>
        <v>8884293.1149083618</v>
      </c>
    </row>
    <row r="35" spans="1:27" ht="12.5">
      <c r="A35" s="48" t="s">
        <v>51</v>
      </c>
      <c r="B35" s="49" t="s">
        <v>22</v>
      </c>
      <c r="C35" s="49" t="s">
        <v>52</v>
      </c>
      <c r="D35" s="49" t="s">
        <v>61</v>
      </c>
      <c r="E35" s="50" t="s">
        <v>58</v>
      </c>
      <c r="F35" s="97">
        <v>6.200036139279155E-3</v>
      </c>
      <c r="G35" s="99">
        <f t="shared" si="0"/>
        <v>166.07416802673146</v>
      </c>
      <c r="H35" s="46"/>
      <c r="I35" s="46">
        <f>G35*'Eilat Car Data'!F$15</f>
        <v>2435563.0527729518</v>
      </c>
      <c r="J35" s="46">
        <f>I35*'Tier 1 Coefficients'!I$4</f>
        <v>146133783.1663771</v>
      </c>
      <c r="K35" s="46">
        <f t="shared" si="1"/>
        <v>146133.78316637711</v>
      </c>
      <c r="L35" s="46">
        <f>K35*'Tier 1 Coefficients'!D$4</f>
        <v>463097.95885424904</v>
      </c>
      <c r="M35" s="46">
        <f>K35*'Tier 1 Coefficients'!C$17</f>
        <v>1277209.2648741358</v>
      </c>
      <c r="N35" s="46">
        <f>K35*'Tier 1 Coefficients'!C$41</f>
        <v>12713.639135474807</v>
      </c>
      <c r="O35" s="46">
        <f>I35*'Tier 2 FC'!D$11</f>
        <v>133955967.90251234</v>
      </c>
      <c r="P35" s="46">
        <f t="shared" si="2"/>
        <v>133955.96790251235</v>
      </c>
      <c r="Q35" s="46">
        <f>P35*'Tier 1 Coefficients'!D$4</f>
        <v>424506.46228306164</v>
      </c>
      <c r="R35" s="46">
        <f>$I35*'T2 PC'!C57</f>
        <v>24355.630527729518</v>
      </c>
      <c r="S35" s="46">
        <f>$I35*'T2 PC'!D57</f>
        <v>969354.09500363481</v>
      </c>
      <c r="T35" s="46">
        <f>44.011*(P35/(12.011+1.008*'Tier 3 CO2 Tables'!B$4+16*'Tier 3 CO2 Tables'!C$4))</f>
        <v>424570.57841184502</v>
      </c>
      <c r="U35" s="46">
        <f>P35*'Tier 3 CO2 Tables'!H$5/10000</f>
        <v>19.95943921747434</v>
      </c>
      <c r="V35" s="46">
        <f>44.011*(U35/(12.011+1.008*'Tier 3 CO2 Tables'!B$6+16*'Tier 3 CO2 Tables'!C$6))</f>
        <v>62.266607270972557</v>
      </c>
      <c r="W35" s="46">
        <f>I35*'T3 Methane'!D11</f>
        <v>2679119.3580502472</v>
      </c>
      <c r="X35" s="46" cm="1">
        <f t="array" ref="X35">_xlfn.IFS(E35='Euro Age Table'!C$5,'Euro Age Table'!G$5,E35='Euro Age Table'!C$6,'Euro Age Table'!G$6,E35='Euro Age Table'!C$7,'Euro Age Table'!G$7,E35='Euro Age Table'!C$8,'Euro Age Table'!G$8,E35='Euro Age Table'!C$9,'Euro Age Table'!G$9,E35='Euro Age Table'!C$10,'Euro Age Table'!G$10,E35='Euro Age Table'!C$11,'Euro Age Table'!G$11)</f>
        <v>13</v>
      </c>
      <c r="Y35" s="46">
        <f>X35*'Eilat Car Data'!F$15</f>
        <v>190651.68329461073</v>
      </c>
      <c r="Z35" s="46">
        <f>'T3 N2O PC-Diesel LPG'!B6</f>
        <v>9</v>
      </c>
      <c r="AA35" s="124">
        <f t="shared" si="3"/>
        <v>21920067.474956565</v>
      </c>
    </row>
    <row r="36" spans="1:27" ht="12.5">
      <c r="A36" s="48" t="s">
        <v>51</v>
      </c>
      <c r="B36" s="49" t="s">
        <v>22</v>
      </c>
      <c r="C36" s="49" t="s">
        <v>52</v>
      </c>
      <c r="D36" s="49" t="s">
        <v>61</v>
      </c>
      <c r="E36" s="50" t="s">
        <v>59</v>
      </c>
      <c r="F36" s="97">
        <v>1.2059305602924609E-2</v>
      </c>
      <c r="G36" s="99">
        <f t="shared" si="0"/>
        <v>323.02055987993856</v>
      </c>
      <c r="H36" s="46"/>
      <c r="I36" s="46">
        <f>G36*'Eilat Car Data'!F$15</f>
        <v>4737262.5753752217</v>
      </c>
      <c r="J36" s="46">
        <f>I36*'Tier 1 Coefficients'!I$4</f>
        <v>284235754.52251327</v>
      </c>
      <c r="K36" s="46">
        <f t="shared" si="1"/>
        <v>284235.75452251325</v>
      </c>
      <c r="L36" s="46">
        <f>K36*'Tier 1 Coefficients'!D$4</f>
        <v>900743.10608184454</v>
      </c>
      <c r="M36" s="46">
        <f>K36*'Tier 1 Coefficients'!C$17</f>
        <v>2484220.4945267658</v>
      </c>
      <c r="N36" s="46">
        <f>K36*'Tier 1 Coefficients'!C$41</f>
        <v>24728.510643458652</v>
      </c>
      <c r="O36" s="46">
        <f>I36*'Tier 2 FC'!D$11</f>
        <v>260549441.64563718</v>
      </c>
      <c r="P36" s="46">
        <f t="shared" si="2"/>
        <v>260549.44164563718</v>
      </c>
      <c r="Q36" s="46">
        <f>P36*'Tier 1 Coefficients'!D$4</f>
        <v>825681.18057502422</v>
      </c>
      <c r="R36" s="46">
        <f>$I36*'T2 PC'!C58</f>
        <v>18949.050301500887</v>
      </c>
      <c r="S36" s="46">
        <f>$I36*'T2 PC'!D58</f>
        <v>1885430.5049993384</v>
      </c>
      <c r="T36" s="46">
        <f>44.011*(P36/(12.011+1.008*'Tier 3 CO2 Tables'!B$4+16*'Tier 3 CO2 Tables'!C$4))</f>
        <v>825805.88887892873</v>
      </c>
      <c r="U36" s="46">
        <f>P36*'Tier 3 CO2 Tables'!H$5/10000</f>
        <v>38.821866805199939</v>
      </c>
      <c r="V36" s="46">
        <f>44.011*(U36/(12.011+1.008*'Tier 3 CO2 Tables'!B$6+16*'Tier 3 CO2 Tables'!C$6))</f>
        <v>121.11091436722617</v>
      </c>
      <c r="W36" s="46">
        <f>I36*'T3 Methane'!D12</f>
        <v>355294.69315314159</v>
      </c>
      <c r="X36" s="46" cm="1">
        <f t="array" ref="X36">_xlfn.IFS(E36='Euro Age Table'!C$5,'Euro Age Table'!G$5,E36='Euro Age Table'!C$6,'Euro Age Table'!G$6,E36='Euro Age Table'!C$7,'Euro Age Table'!G$7,E36='Euro Age Table'!C$8,'Euro Age Table'!G$8,E36='Euro Age Table'!C$9,'Euro Age Table'!G$9,E36='Euro Age Table'!C$10,'Euro Age Table'!G$10,E36='Euro Age Table'!C$11,'Euro Age Table'!G$11)</f>
        <v>9</v>
      </c>
      <c r="Y36" s="46">
        <f>X36*'Eilat Car Data'!F$15</f>
        <v>131989.62689626895</v>
      </c>
      <c r="Z36" s="46">
        <f>'T3 N2O PC-Diesel LPG'!B6</f>
        <v>9</v>
      </c>
      <c r="AA36" s="124">
        <f t="shared" si="3"/>
        <v>42635363.178376995</v>
      </c>
    </row>
    <row r="37" spans="1:27" ht="12.5">
      <c r="A37" s="48" t="s">
        <v>51</v>
      </c>
      <c r="B37" s="49" t="s">
        <v>22</v>
      </c>
      <c r="C37" s="49" t="s">
        <v>52</v>
      </c>
      <c r="D37" s="49" t="s">
        <v>61</v>
      </c>
      <c r="E37" s="51" t="s">
        <v>60</v>
      </c>
      <c r="F37" s="97">
        <v>3.2972444090152979E-2</v>
      </c>
      <c r="G37" s="99">
        <f t="shared" si="0"/>
        <v>883.19988739883775</v>
      </c>
      <c r="H37" s="46"/>
      <c r="I37" s="46">
        <f>G37*'Eilat Car Data'!F$15</f>
        <v>12952580.401399927</v>
      </c>
      <c r="J37" s="46">
        <f>I37*'Tier 1 Coefficients'!I$4</f>
        <v>777154824.08399558</v>
      </c>
      <c r="K37" s="46">
        <f t="shared" si="1"/>
        <v>777154.82408399554</v>
      </c>
      <c r="L37" s="46">
        <f>K37*'Tier 1 Coefficients'!D$4</f>
        <v>2462803.637522182</v>
      </c>
      <c r="M37" s="46">
        <f>K37*'Tier 1 Coefficients'!C$17</f>
        <v>6792333.1624941211</v>
      </c>
      <c r="N37" s="46">
        <f>K37*'Tier 1 Coefficients'!C$41</f>
        <v>67612.469695307605</v>
      </c>
      <c r="O37" s="46">
        <f>I37*'Tier 2 FC'!D$11</f>
        <v>712391922.07699597</v>
      </c>
      <c r="P37" s="46">
        <f t="shared" si="2"/>
        <v>712391.92207699595</v>
      </c>
      <c r="Q37" s="46">
        <f>P37*'Tier 1 Coefficients'!D$4</f>
        <v>2257570.0010620002</v>
      </c>
      <c r="R37" s="46">
        <f>$I37*'T2 PC'!C59</f>
        <v>51810.321605599711</v>
      </c>
      <c r="S37" s="46">
        <f>$I37*'T2 PC'!D59</f>
        <v>5155126.9997571716</v>
      </c>
      <c r="T37" s="46">
        <f>44.011*(P37/(12.011+1.008*'Tier 3 CO2 Tables'!B$4+16*'Tier 3 CO2 Tables'!C$4))</f>
        <v>2257910.9773763469</v>
      </c>
      <c r="U37" s="46">
        <f>P37*'Tier 3 CO2 Tables'!H$6/10000</f>
        <v>91.186166025855485</v>
      </c>
      <c r="V37" s="46">
        <f>44.011*(U37/(12.011+1.008*'Tier 3 CO2 Tables'!B$6+16*'Tier 3 CO2 Tables'!C$6))</f>
        <v>284.46957485191899</v>
      </c>
      <c r="W37" s="46">
        <f>I37*'T3 Methane'!D12</f>
        <v>971443.53010499454</v>
      </c>
      <c r="X37" s="46" cm="1">
        <f t="array" ref="X37">_xlfn.IFS(E37='Euro Age Table'!C$5,'Euro Age Table'!G$5,E37='Euro Age Table'!C$6,'Euro Age Table'!G$6,E37='Euro Age Table'!C$7,'Euro Age Table'!G$7,E37='Euro Age Table'!C$8,'Euro Age Table'!G$8,E37='Euro Age Table'!C$9,'Euro Age Table'!G$9,E37='Euro Age Table'!C$10,'Euro Age Table'!G$10,E37='Euro Age Table'!C$11,'Euro Age Table'!G$11)</f>
        <v>3</v>
      </c>
      <c r="Y37" s="46">
        <f>X37*'Eilat Car Data'!F$15</f>
        <v>43996.542298756322</v>
      </c>
      <c r="Z37" s="46">
        <f>'T3 N2O PC-Diesel LPG'!B7</f>
        <v>11</v>
      </c>
      <c r="AA37" s="124">
        <f t="shared" si="3"/>
        <v>142478384.41539919</v>
      </c>
    </row>
    <row r="38" spans="1:27" ht="12.5">
      <c r="A38" s="48" t="s">
        <v>51</v>
      </c>
      <c r="B38" s="49" t="s">
        <v>22</v>
      </c>
      <c r="C38" s="49" t="s">
        <v>52</v>
      </c>
      <c r="D38" s="52" t="s">
        <v>62</v>
      </c>
      <c r="E38" s="50" t="s">
        <v>54</v>
      </c>
      <c r="F38" s="97">
        <v>2.5855272064279111E-5</v>
      </c>
      <c r="G38" s="99">
        <f t="shared" si="0"/>
        <v>0.6925593175137803</v>
      </c>
      <c r="H38" s="46"/>
      <c r="I38" s="46">
        <f>G38*'Eilat Car Data'!F$15</f>
        <v>10156.738435797615</v>
      </c>
      <c r="J38" s="46">
        <f>I38*'Tier 1 Coefficients'!I$4</f>
        <v>609404.30614785687</v>
      </c>
      <c r="K38" s="46">
        <f t="shared" si="1"/>
        <v>609.40430614785691</v>
      </c>
      <c r="L38" s="46">
        <f>K38*'Tier 1 Coefficients'!D$4</f>
        <v>1931.2022461825586</v>
      </c>
      <c r="M38" s="46">
        <f>K38*'Tier 1 Coefficients'!C$17</f>
        <v>5326.1936357322693</v>
      </c>
      <c r="N38" s="46">
        <f>K38*'Tier 1 Coefficients'!C$41</f>
        <v>53.018174634863549</v>
      </c>
      <c r="O38" s="46">
        <f>I38*'Tier 2 FC'!D$12</f>
        <v>761755.38268482115</v>
      </c>
      <c r="P38" s="46">
        <f t="shared" si="2"/>
        <v>761.75538268482114</v>
      </c>
      <c r="Q38" s="46">
        <f>P38*'Tier 1 Coefficients'!D$4</f>
        <v>2414.0028077281981</v>
      </c>
      <c r="R38" s="46">
        <f>$I38*'T2 PC'!C62</f>
        <v>0</v>
      </c>
      <c r="S38" s="46">
        <f>$I38*'T2 PC'!D62</f>
        <v>6733.9175829338192</v>
      </c>
      <c r="T38" s="46">
        <f>44.011*(P38/(12.011+1.008*'Tier 3 CO2 Tables'!B$4+16*'Tier 3 CO2 Tables'!C$4))</f>
        <v>2414.3674111645546</v>
      </c>
      <c r="U38" s="46">
        <f>P38*'Tier 3 CO2 Tables'!H$5/10000</f>
        <v>0.11350155202003834</v>
      </c>
      <c r="V38" s="46">
        <f>44.011*(U38/(12.011+1.008*'Tier 3 CO2 Tables'!B$6+16*'Tier 3 CO2 Tables'!C$6))</f>
        <v>0.35408592833060015</v>
      </c>
      <c r="W38" s="46">
        <f>I38*'T3 Methane'!D7</f>
        <v>284388.67620233324</v>
      </c>
      <c r="X38" s="46" cm="1">
        <f t="array" ref="X38">_xlfn.IFS(E38='Euro Age Table'!C$5,'Euro Age Table'!G$5,E38='Euro Age Table'!C$6,'Euro Age Table'!G$6,E38='Euro Age Table'!C$7,'Euro Age Table'!G$7,E38='Euro Age Table'!C$8,'Euro Age Table'!G$8,E38='Euro Age Table'!C$9,'Euro Age Table'!G$9,E38='Euro Age Table'!C$10,'Euro Age Table'!G$10,E38='Euro Age Table'!C$11,'Euro Age Table'!G$11)</f>
        <v>27</v>
      </c>
      <c r="Y38" s="46">
        <f>X38*'Eilat Car Data'!F$15</f>
        <v>395968.88068880688</v>
      </c>
      <c r="Z38" s="46">
        <f>'T3 N2O PC-Diesel LPG'!B3</f>
        <v>0</v>
      </c>
      <c r="AA38" s="124">
        <f t="shared" si="3"/>
        <v>0</v>
      </c>
    </row>
    <row r="39" spans="1:27" ht="12.5">
      <c r="A39" s="48" t="s">
        <v>51</v>
      </c>
      <c r="B39" s="49" t="s">
        <v>22</v>
      </c>
      <c r="C39" s="49" t="s">
        <v>52</v>
      </c>
      <c r="D39" s="49" t="s">
        <v>62</v>
      </c>
      <c r="E39" s="50" t="s">
        <v>55</v>
      </c>
      <c r="F39" s="97">
        <v>3.9596332386081381E-4</v>
      </c>
      <c r="G39" s="99">
        <f t="shared" si="0"/>
        <v>10.606273592935759</v>
      </c>
      <c r="H39" s="46"/>
      <c r="I39" s="46">
        <f>G39*'Eilat Car Data'!F$15</f>
        <v>155546.4549212601</v>
      </c>
      <c r="J39" s="46">
        <f>I39*'Tier 1 Coefficients'!I$4</f>
        <v>9332787.2952756062</v>
      </c>
      <c r="K39" s="46">
        <f t="shared" si="1"/>
        <v>9332.7872952756061</v>
      </c>
      <c r="L39" s="46">
        <f>K39*'Tier 1 Coefficients'!D$4</f>
        <v>29575.602938728396</v>
      </c>
      <c r="M39" s="46">
        <f>K39*'Tier 1 Coefficients'!C$17</f>
        <v>81568.560960708797</v>
      </c>
      <c r="N39" s="46">
        <f>K39*'Tier 1 Coefficients'!C$41</f>
        <v>811.95249468897771</v>
      </c>
      <c r="O39" s="46">
        <f>I39*'Tier 2 FC'!D$13</f>
        <v>11354891.209251987</v>
      </c>
      <c r="P39" s="46">
        <f t="shared" si="2"/>
        <v>11354.891209251988</v>
      </c>
      <c r="Q39" s="46">
        <f>P39*'Tier 1 Coefficients'!D$4</f>
        <v>35983.650242119547</v>
      </c>
      <c r="R39" s="46">
        <f>$I39*'T2 PC'!C63</f>
        <v>466.63936476378029</v>
      </c>
      <c r="S39" s="46">
        <f>$I39*'T2 PC'!D63</f>
        <v>92705.687133071013</v>
      </c>
      <c r="T39" s="46">
        <f>44.011*(P39/(12.011+1.008*'Tier 3 CO2 Tables'!B$4+16*'Tier 3 CO2 Tables'!C$4))</f>
        <v>35989.085100144119</v>
      </c>
      <c r="U39" s="46">
        <f>P39*'Tier 3 CO2 Tables'!H$5/10000</f>
        <v>1.6918787901785461</v>
      </c>
      <c r="V39" s="46">
        <f>44.011*(U39/(12.011+1.008*'Tier 3 CO2 Tables'!B$6+16*'Tier 3 CO2 Tables'!C$6))</f>
        <v>5.2780817652384098</v>
      </c>
      <c r="W39" s="46">
        <f>I39*'T3 Methane'!D8</f>
        <v>1711011.004133861</v>
      </c>
      <c r="X39" s="46" cm="1">
        <f t="array" ref="X39">_xlfn.IFS(E39='Euro Age Table'!C$5,'Euro Age Table'!G$5,E39='Euro Age Table'!C$6,'Euro Age Table'!G$6,E39='Euro Age Table'!C$7,'Euro Age Table'!G$7,E39='Euro Age Table'!C$8,'Euro Age Table'!G$8,E39='Euro Age Table'!C$9,'Euro Age Table'!G$9,E39='Euro Age Table'!C$10,'Euro Age Table'!G$10,E39='Euro Age Table'!C$11,'Euro Age Table'!G$11)</f>
        <v>23</v>
      </c>
      <c r="Y39" s="46">
        <f>X39*'Eilat Car Data'!F$15</f>
        <v>337306.8242904651</v>
      </c>
      <c r="Z39" s="46">
        <f>'T3 N2O PC-Diesel LPG'!B4</f>
        <v>2</v>
      </c>
      <c r="AA39" s="124">
        <f t="shared" si="3"/>
        <v>311092.9098425202</v>
      </c>
    </row>
    <row r="40" spans="1:27" ht="12.5">
      <c r="A40" s="48" t="s">
        <v>51</v>
      </c>
      <c r="B40" s="49" t="s">
        <v>22</v>
      </c>
      <c r="C40" s="49" t="s">
        <v>52</v>
      </c>
      <c r="D40" s="49" t="s">
        <v>62</v>
      </c>
      <c r="E40" s="50" t="s">
        <v>56</v>
      </c>
      <c r="F40" s="97">
        <v>1.3343063437217298E-3</v>
      </c>
      <c r="G40" s="99">
        <f t="shared" si="0"/>
        <v>35.740729722930254</v>
      </c>
      <c r="H40" s="46"/>
      <c r="I40" s="46">
        <f>G40*'Eilat Car Data'!F$15</f>
        <v>524156.17568110605</v>
      </c>
      <c r="J40" s="46">
        <f>I40*'Tier 1 Coefficients'!I$4</f>
        <v>31449370.540866364</v>
      </c>
      <c r="K40" s="46">
        <f t="shared" si="1"/>
        <v>31449.370540866363</v>
      </c>
      <c r="L40" s="46">
        <f>K40*'Tier 1 Coefficients'!D$4</f>
        <v>99663.055244005503</v>
      </c>
      <c r="M40" s="46">
        <f>K40*'Tier 1 Coefficients'!C$17</f>
        <v>274867.49852717202</v>
      </c>
      <c r="N40" s="46">
        <f>K40*'Tier 1 Coefficients'!C$41</f>
        <v>2736.0952370553732</v>
      </c>
      <c r="O40" s="46">
        <f>I40*'Tier 2 FC'!D$13</f>
        <v>38263400.82472074</v>
      </c>
      <c r="P40" s="46">
        <f t="shared" si="2"/>
        <v>38263.400824720738</v>
      </c>
      <c r="Q40" s="46">
        <f>P40*'Tier 1 Coefficients'!D$4</f>
        <v>121256.71721354002</v>
      </c>
      <c r="R40" s="46">
        <f>$I40*'T2 PC'!C64</f>
        <v>2620.7808784055301</v>
      </c>
      <c r="S40" s="46">
        <f>$I40*'T2 PC'!D64</f>
        <v>277802.77311098622</v>
      </c>
      <c r="T40" s="46">
        <f>44.011*(P40/(12.011+1.008*'Tier 3 CO2 Tables'!B$4+16*'Tier 3 CO2 Tables'!C$4))</f>
        <v>121275.03144898158</v>
      </c>
      <c r="U40" s="46">
        <f>P40*'Tier 3 CO2 Tables'!H$5/10000</f>
        <v>5.7012467228833899</v>
      </c>
      <c r="V40" s="46">
        <f>44.011*(U40/(12.011+1.008*'Tier 3 CO2 Tables'!B$6+16*'Tier 3 CO2 Tables'!C$6))</f>
        <v>17.785935104724878</v>
      </c>
      <c r="W40" s="46">
        <f>I40*'T3 Methane'!D9</f>
        <v>3669093.2297677426</v>
      </c>
      <c r="X40" s="46" cm="1">
        <f t="array" ref="X40">_xlfn.IFS(E40='Euro Age Table'!C$5,'Euro Age Table'!G$5,E40='Euro Age Table'!C$6,'Euro Age Table'!G$6,E40='Euro Age Table'!C$7,'Euro Age Table'!G$7,E40='Euro Age Table'!C$8,'Euro Age Table'!G$8,E40='Euro Age Table'!C$9,'Euro Age Table'!G$9,E40='Euro Age Table'!C$10,'Euro Age Table'!G$10,E40='Euro Age Table'!C$11,'Euro Age Table'!G$11)</f>
        <v>18</v>
      </c>
      <c r="Y40" s="46">
        <f>X40*'Eilat Car Data'!F$15</f>
        <v>263979.2537925379</v>
      </c>
      <c r="Z40" s="46">
        <f>'T3 N2O PC-Diesel LPG'!B5</f>
        <v>4</v>
      </c>
      <c r="AA40" s="124">
        <f t="shared" si="3"/>
        <v>2096624.7027244242</v>
      </c>
    </row>
    <row r="41" spans="1:27" ht="12.5">
      <c r="A41" s="48" t="s">
        <v>51</v>
      </c>
      <c r="B41" s="49" t="s">
        <v>22</v>
      </c>
      <c r="C41" s="49" t="s">
        <v>52</v>
      </c>
      <c r="D41" s="49" t="s">
        <v>62</v>
      </c>
      <c r="E41" s="50" t="s">
        <v>57</v>
      </c>
      <c r="F41" s="97">
        <v>4.9249935652328517E-3</v>
      </c>
      <c r="G41" s="99">
        <f t="shared" si="0"/>
        <v>131.92087763832717</v>
      </c>
      <c r="H41" s="46"/>
      <c r="I41" s="46">
        <f>G41*'Eilat Car Data'!F$15</f>
        <v>1934687.4910345727</v>
      </c>
      <c r="J41" s="46">
        <f>I41*'Tier 1 Coefficients'!I$4</f>
        <v>116081249.46207437</v>
      </c>
      <c r="K41" s="46">
        <f t="shared" si="1"/>
        <v>116081.24946207437</v>
      </c>
      <c r="L41" s="46">
        <f>K41*'Tier 1 Coefficients'!D$4</f>
        <v>367861.47954531369</v>
      </c>
      <c r="M41" s="46">
        <f>K41*'Tier 1 Coefficients'!C$17</f>
        <v>1014550.12029853</v>
      </c>
      <c r="N41" s="46">
        <f>K41*'Tier 1 Coefficients'!C$41</f>
        <v>10099.06870320047</v>
      </c>
      <c r="O41" s="46">
        <f>I41*'Tier 2 FC'!D$13</f>
        <v>141232186.8455238</v>
      </c>
      <c r="P41" s="46">
        <f t="shared" si="2"/>
        <v>141232.1868455238</v>
      </c>
      <c r="Q41" s="46">
        <f>P41*'Tier 1 Coefficients'!D$4</f>
        <v>447564.80011346494</v>
      </c>
      <c r="R41" s="46">
        <f>$I41*'T2 PC'!C65</f>
        <v>19346.874910345727</v>
      </c>
      <c r="S41" s="46">
        <f>$I41*'T2 PC'!D65</f>
        <v>897694.99584004178</v>
      </c>
      <c r="T41" s="46">
        <f>44.011*(P41/(12.011+1.008*'Tier 3 CO2 Tables'!B$4+16*'Tier 3 CO2 Tables'!C$4))</f>
        <v>447632.39890149911</v>
      </c>
      <c r="U41" s="46">
        <f>P41*'Tier 3 CO2 Tables'!H$5/10000</f>
        <v>21.043595839983048</v>
      </c>
      <c r="V41" s="46">
        <f>44.011*(U41/(12.011+1.008*'Tier 3 CO2 Tables'!B$6+16*'Tier 3 CO2 Tables'!C$6))</f>
        <v>65.648804230437833</v>
      </c>
      <c r="W41" s="46">
        <f>I41*'T3 Methane'!D10</f>
        <v>5804062.4731037179</v>
      </c>
      <c r="X41" s="46" cm="1">
        <f t="array" ref="X41">_xlfn.IFS(E41='Euro Age Table'!C$5,'Euro Age Table'!G$5,E41='Euro Age Table'!C$6,'Euro Age Table'!G$6,E41='Euro Age Table'!C$7,'Euro Age Table'!G$7,E41='Euro Age Table'!C$8,'Euro Age Table'!G$8,E41='Euro Age Table'!C$9,'Euro Age Table'!G$9,E41='Euro Age Table'!C$10,'Euro Age Table'!G$10,E41='Euro Age Table'!C$11,'Euro Age Table'!G$11)</f>
        <v>16</v>
      </c>
      <c r="Y41" s="46">
        <f>X41*'Eilat Car Data'!F$15</f>
        <v>234648.22559336704</v>
      </c>
      <c r="Z41" s="46">
        <f>'T3 N2O PC-Diesel LPG'!B6</f>
        <v>9</v>
      </c>
      <c r="AA41" s="124">
        <f t="shared" si="3"/>
        <v>17412187.419311155</v>
      </c>
    </row>
    <row r="42" spans="1:27" ht="12.5">
      <c r="A42" s="48" t="s">
        <v>51</v>
      </c>
      <c r="B42" s="49" t="s">
        <v>22</v>
      </c>
      <c r="C42" s="49" t="s">
        <v>52</v>
      </c>
      <c r="D42" s="49" t="s">
        <v>62</v>
      </c>
      <c r="E42" s="50" t="s">
        <v>58</v>
      </c>
      <c r="F42" s="97">
        <v>6.3075243489845853E-3</v>
      </c>
      <c r="G42" s="99">
        <f t="shared" si="0"/>
        <v>168.9533472119011</v>
      </c>
      <c r="H42" s="46"/>
      <c r="I42" s="46">
        <f>G42*'Eilat Car Data'!F$15</f>
        <v>2477787.6957082902</v>
      </c>
      <c r="J42" s="46">
        <f>I42*'Tier 1 Coefficients'!I$4</f>
        <v>148667261.74249741</v>
      </c>
      <c r="K42" s="46">
        <f t="shared" si="1"/>
        <v>148667.26174249742</v>
      </c>
      <c r="L42" s="46">
        <f>K42*'Tier 1 Coefficients'!D$4</f>
        <v>471126.55246197432</v>
      </c>
      <c r="M42" s="46">
        <f>K42*'Tier 1 Coefficients'!C$17</f>
        <v>1299351.8676294275</v>
      </c>
      <c r="N42" s="46">
        <f>K42*'Tier 1 Coefficients'!C$41</f>
        <v>12934.051771597275</v>
      </c>
      <c r="O42" s="46">
        <f>I42*'Tier 2 FC'!D$13</f>
        <v>180878501.7867052</v>
      </c>
      <c r="P42" s="46">
        <f t="shared" si="2"/>
        <v>180878.50178670519</v>
      </c>
      <c r="Q42" s="46">
        <f>P42*'Tier 1 Coefficients'!D$4</f>
        <v>573203.97216206882</v>
      </c>
      <c r="R42" s="46">
        <f>$I42*'T2 PC'!C66</f>
        <v>24777.876957082903</v>
      </c>
      <c r="S42" s="46">
        <f>$I42*'T2 PC'!D66</f>
        <v>986159.50289189955</v>
      </c>
      <c r="T42" s="46">
        <f>44.011*(P42/(12.011+1.008*'Tier 3 CO2 Tables'!B$4+16*'Tier 3 CO2 Tables'!C$4))</f>
        <v>573290.54709782044</v>
      </c>
      <c r="U42" s="46">
        <f>P42*'Tier 3 CO2 Tables'!H$5/10000</f>
        <v>26.950896766219074</v>
      </c>
      <c r="V42" s="46">
        <f>44.011*(U42/(12.011+1.008*'Tier 3 CO2 Tables'!B$6+16*'Tier 3 CO2 Tables'!C$6))</f>
        <v>84.077557804003206</v>
      </c>
      <c r="W42" s="46">
        <f>I42*'T3 Methane'!D11</f>
        <v>2725566.4652791196</v>
      </c>
      <c r="X42" s="46" cm="1">
        <f t="array" ref="X42">_xlfn.IFS(E42='Euro Age Table'!C$5,'Euro Age Table'!G$5,E42='Euro Age Table'!C$6,'Euro Age Table'!G$6,E42='Euro Age Table'!C$7,'Euro Age Table'!G$7,E42='Euro Age Table'!C$8,'Euro Age Table'!G$8,E42='Euro Age Table'!C$9,'Euro Age Table'!G$9,E42='Euro Age Table'!C$10,'Euro Age Table'!G$10,E42='Euro Age Table'!C$11,'Euro Age Table'!G$11)</f>
        <v>13</v>
      </c>
      <c r="Y42" s="46">
        <f>X42*'Eilat Car Data'!F$15</f>
        <v>190651.68329461073</v>
      </c>
      <c r="Z42" s="46">
        <f>'T3 N2O PC-Diesel LPG'!B6</f>
        <v>9</v>
      </c>
      <c r="AA42" s="124">
        <f t="shared" si="3"/>
        <v>22300089.261374611</v>
      </c>
    </row>
    <row r="43" spans="1:27" ht="12.5">
      <c r="A43" s="48" t="s">
        <v>51</v>
      </c>
      <c r="B43" s="49" t="s">
        <v>22</v>
      </c>
      <c r="C43" s="49" t="s">
        <v>52</v>
      </c>
      <c r="D43" s="49" t="s">
        <v>62</v>
      </c>
      <c r="E43" s="50" t="s">
        <v>59</v>
      </c>
      <c r="F43" s="97">
        <v>1.0350243068608272E-2</v>
      </c>
      <c r="G43" s="99">
        <f t="shared" si="0"/>
        <v>277.2416108357412</v>
      </c>
      <c r="H43" s="46"/>
      <c r="I43" s="46">
        <f>G43*'Eilat Car Data'!F$15</f>
        <v>4065890.7527033421</v>
      </c>
      <c r="J43" s="46">
        <f>I43*'Tier 1 Coefficients'!I$4</f>
        <v>243953445.16220054</v>
      </c>
      <c r="K43" s="46">
        <f t="shared" si="1"/>
        <v>243953.44516220054</v>
      </c>
      <c r="L43" s="46">
        <f>K43*'Tier 1 Coefficients'!D$4</f>
        <v>773088.46771901357</v>
      </c>
      <c r="M43" s="46">
        <f>K43*'Tier 1 Coefficients'!C$17</f>
        <v>2132153.1107176328</v>
      </c>
      <c r="N43" s="46">
        <f>K43*'Tier 1 Coefficients'!C$41</f>
        <v>21223.949729111446</v>
      </c>
      <c r="O43" s="46">
        <f>I43*'Tier 2 FC'!D$13</f>
        <v>296810024.94734395</v>
      </c>
      <c r="P43" s="46">
        <f t="shared" si="2"/>
        <v>296810.02494734392</v>
      </c>
      <c r="Q43" s="46">
        <f>P43*'Tier 1 Coefficients'!D$4</f>
        <v>940590.96905813285</v>
      </c>
      <c r="R43" s="46">
        <f>$I43*'T2 PC'!C67</f>
        <v>16263.563010813368</v>
      </c>
      <c r="S43" s="46">
        <f>$I43*'T2 PC'!D67</f>
        <v>1618224.5195759302</v>
      </c>
      <c r="T43" s="46">
        <f>44.011*(P43/(12.011+1.008*'Tier 3 CO2 Tables'!B$4+16*'Tier 3 CO2 Tables'!C$4))</f>
        <v>940733.03297720815</v>
      </c>
      <c r="U43" s="46">
        <f>P43*'Tier 3 CO2 Tables'!H$5/10000</f>
        <v>44.224693717154246</v>
      </c>
      <c r="V43" s="46">
        <f>44.011*(U43/(12.011+1.008*'Tier 3 CO2 Tables'!B$6+16*'Tier 3 CO2 Tables'!C$6))</f>
        <v>137.96588197499196</v>
      </c>
      <c r="W43" s="46">
        <f>I43*'T3 Methane'!D12</f>
        <v>304941.80645275064</v>
      </c>
      <c r="X43" s="46" cm="1">
        <f t="array" ref="X43">_xlfn.IFS(E43='Euro Age Table'!C$5,'Euro Age Table'!G$5,E43='Euro Age Table'!C$6,'Euro Age Table'!G$6,E43='Euro Age Table'!C$7,'Euro Age Table'!G$7,E43='Euro Age Table'!C$8,'Euro Age Table'!G$8,E43='Euro Age Table'!C$9,'Euro Age Table'!G$9,E43='Euro Age Table'!C$10,'Euro Age Table'!G$10,E43='Euro Age Table'!C$11,'Euro Age Table'!G$11)</f>
        <v>9</v>
      </c>
      <c r="Y43" s="46">
        <f>X43*'Eilat Car Data'!F$15</f>
        <v>131989.62689626895</v>
      </c>
      <c r="Z43" s="46">
        <f>'T3 N2O PC-Diesel LPG'!B6</f>
        <v>9</v>
      </c>
      <c r="AA43" s="124">
        <f t="shared" si="3"/>
        <v>36593016.77433008</v>
      </c>
    </row>
    <row r="44" spans="1:27" ht="12.5">
      <c r="A44" s="48" t="s">
        <v>51</v>
      </c>
      <c r="B44" s="51" t="s">
        <v>22</v>
      </c>
      <c r="C44" s="49" t="s">
        <v>52</v>
      </c>
      <c r="D44" s="49" t="s">
        <v>62</v>
      </c>
      <c r="E44" s="51" t="s">
        <v>60</v>
      </c>
      <c r="F44" s="97">
        <v>6.0745363917311937E-4</v>
      </c>
      <c r="G44" s="99">
        <f t="shared" si="0"/>
        <v>16.271253178891175</v>
      </c>
      <c r="H44" s="46"/>
      <c r="I44" s="46">
        <f>G44*'Eilat Car Data'!F$15</f>
        <v>238626.29291295295</v>
      </c>
      <c r="J44" s="46">
        <f>I44*'Tier 1 Coefficients'!I$4</f>
        <v>14317577.574777177</v>
      </c>
      <c r="K44" s="46">
        <f t="shared" si="1"/>
        <v>14317.577574777177</v>
      </c>
      <c r="L44" s="46">
        <f>K44*'Tier 1 Coefficients'!D$4</f>
        <v>45372.403334468872</v>
      </c>
      <c r="M44" s="46">
        <f>K44*'Tier 1 Coefficients'!C$17</f>
        <v>125135.62800355253</v>
      </c>
      <c r="N44" s="46">
        <f>K44*'Tier 1 Coefficients'!C$41</f>
        <v>1245.6292490056144</v>
      </c>
      <c r="O44" s="46">
        <f>I44*'Tier 2 FC'!D$13</f>
        <v>17419719.382645566</v>
      </c>
      <c r="P44" s="46">
        <f t="shared" si="2"/>
        <v>17419.719382645566</v>
      </c>
      <c r="Q44" s="46">
        <f>P44*'Tier 1 Coefficients'!D$4</f>
        <v>55203.090723603797</v>
      </c>
      <c r="R44" s="46">
        <f>$I44*'T2 PC'!C68</f>
        <v>954.50517165181179</v>
      </c>
      <c r="S44" s="46">
        <f>$I44*'T2 PC'!D68</f>
        <v>94973.26457935528</v>
      </c>
      <c r="T44" s="46">
        <f>44.011*(P44/(12.011+1.008*'Tier 3 CO2 Tables'!B$4+16*'Tier 3 CO2 Tables'!C$4))</f>
        <v>55211.42842582638</v>
      </c>
      <c r="U44" s="46">
        <f>P44*'Tier 3 CO2 Tables'!H$6/10000</f>
        <v>2.2297240809786327</v>
      </c>
      <c r="V44" s="46">
        <f>44.011*(U44/(12.011+1.008*'Tier 3 CO2 Tables'!B$6+16*'Tier 3 CO2 Tables'!C$6))</f>
        <v>6.9559746724434852</v>
      </c>
      <c r="W44" s="46">
        <f>I44*'T3 Methane'!D12</f>
        <v>17896.971968471469</v>
      </c>
      <c r="X44" s="46" cm="1">
        <f t="array" ref="X44">_xlfn.IFS(E44='Euro Age Table'!C$5,'Euro Age Table'!G$5,E44='Euro Age Table'!C$6,'Euro Age Table'!G$6,E44='Euro Age Table'!C$7,'Euro Age Table'!G$7,E44='Euro Age Table'!C$8,'Euro Age Table'!G$8,E44='Euro Age Table'!C$9,'Euro Age Table'!G$9,E44='Euro Age Table'!C$10,'Euro Age Table'!G$10,E44='Euro Age Table'!C$11,'Euro Age Table'!G$11)</f>
        <v>3</v>
      </c>
      <c r="Y44" s="46">
        <f>X44*'Eilat Car Data'!F$15</f>
        <v>43996.542298756322</v>
      </c>
      <c r="Z44" s="46">
        <f>'T3 N2O PC-Diesel LPG'!B7</f>
        <v>11</v>
      </c>
      <c r="AA44" s="124">
        <f t="shared" si="3"/>
        <v>2624889.2220424823</v>
      </c>
    </row>
    <row r="45" spans="1:27" ht="12.5">
      <c r="A45" s="48" t="s">
        <v>51</v>
      </c>
      <c r="B45" s="49" t="s">
        <v>23</v>
      </c>
      <c r="C45" s="49" t="s">
        <v>52</v>
      </c>
      <c r="D45" s="52" t="s">
        <v>53</v>
      </c>
      <c r="E45" s="50" t="s">
        <v>54</v>
      </c>
      <c r="F45" s="97">
        <v>2.3240693990363246E-6</v>
      </c>
      <c r="G45" s="99">
        <f t="shared" si="0"/>
        <v>6.2252522922586991E-2</v>
      </c>
      <c r="H45" s="46"/>
      <c r="I45" s="46">
        <f>G45*'Eilat Car Data'!F$15</f>
        <v>912.96525265596529</v>
      </c>
      <c r="J45" s="46">
        <f>I45*'Tier 1 Coefficients'!I$5</f>
        <v>52495.502027718001</v>
      </c>
      <c r="K45" s="46">
        <f t="shared" si="1"/>
        <v>52.495502027718004</v>
      </c>
      <c r="L45" s="46">
        <f>K45*'Tier 1 Coefficients'!D$5</f>
        <v>158.74639813181923</v>
      </c>
      <c r="M45" s="46">
        <f>K45*'Tier 1 Coefficients'!C$18</f>
        <v>464.06023792502714</v>
      </c>
      <c r="N45" s="46">
        <f>K45*'Tier 1 Coefficients'!C$42</f>
        <v>4.6720996804669017</v>
      </c>
      <c r="O45" s="46">
        <f>I45*'Tier 2 FC'!D14</f>
        <v>53864.94990670195</v>
      </c>
      <c r="P45" s="46">
        <f t="shared" si="2"/>
        <v>53.864949906701952</v>
      </c>
      <c r="Q45" s="46">
        <f>P45*'Tier 1 Coefficients'!D$5</f>
        <v>162.88760851786671</v>
      </c>
      <c r="R45" s="46">
        <f>$I45*'T2 PC'!C71</f>
        <v>0</v>
      </c>
      <c r="S45" s="46">
        <f>$I45*'T2 PC'!D71</f>
        <v>605.29596251090504</v>
      </c>
      <c r="T45" s="46">
        <f>44.011*(P45/(12.011+1.008*'Tier 3 CO2 Tables'!B$5+16*'Tier 3 CO2 Tables'!C$5))</f>
        <v>162.86189461149613</v>
      </c>
      <c r="U45" s="46">
        <f>I45*'Tier 3 CO2 Tables'!H$3/10000</f>
        <v>0.13237996163511495</v>
      </c>
      <c r="V45" s="46">
        <f>44.011*(U45/(12.011+1.008*'Tier 3 CO2 Tables'!B$6+16*'Tier 3 CO2 Tables'!C$6))</f>
        <v>0.4129800938727558</v>
      </c>
      <c r="W45" s="46">
        <f>I45*'T3 Methane'!D$13</f>
        <v>73037.22021247723</v>
      </c>
      <c r="X45" s="46" cm="1">
        <f t="array" ref="X45">_xlfn.IFS(E45='Euro Age Table'!C$5,'Euro Age Table'!G$5,E45='Euro Age Table'!C$6,'Euro Age Table'!G$6,E45='Euro Age Table'!C$7,'Euro Age Table'!G$7,E45='Euro Age Table'!C$8,'Euro Age Table'!G$8,E45='Euro Age Table'!C$9,'Euro Age Table'!G$9,E45='Euro Age Table'!C$10,'Euro Age Table'!G$10,E45='Euro Age Table'!C$11,'Euro Age Table'!G$11)</f>
        <v>27</v>
      </c>
      <c r="Y45" s="46">
        <f>X45*'Eilat Car Data'!F$15</f>
        <v>395968.88068880688</v>
      </c>
      <c r="Z45" s="46">
        <f>'T3 N2O PC-Diesel LPG'!B9</f>
        <v>0</v>
      </c>
      <c r="AA45" s="124">
        <f t="shared" si="3"/>
        <v>0</v>
      </c>
    </row>
    <row r="46" spans="1:27" ht="12.5">
      <c r="A46" s="48" t="s">
        <v>51</v>
      </c>
      <c r="B46" s="49" t="s">
        <v>23</v>
      </c>
      <c r="C46" s="49" t="s">
        <v>52</v>
      </c>
      <c r="D46" s="49" t="s">
        <v>53</v>
      </c>
      <c r="E46" s="50" t="s">
        <v>55</v>
      </c>
      <c r="F46" s="97">
        <v>1.7430520492772435E-6</v>
      </c>
      <c r="G46" s="99">
        <f t="shared" si="0"/>
        <v>4.6689392191940245E-2</v>
      </c>
      <c r="H46" s="46"/>
      <c r="I46" s="46">
        <f>G46*'Eilat Car Data'!F$15</f>
        <v>684.72393949197397</v>
      </c>
      <c r="J46" s="46">
        <f>I46*'Tier 1 Coefficients'!I$5</f>
        <v>39371.626520788501</v>
      </c>
      <c r="K46" s="46">
        <f t="shared" si="1"/>
        <v>39.371626520788503</v>
      </c>
      <c r="L46" s="46">
        <f>K46*'Tier 1 Coefficients'!D$5</f>
        <v>119.05979859886443</v>
      </c>
      <c r="M46" s="46">
        <f>K46*'Tier 1 Coefficients'!C$18</f>
        <v>348.04517844377034</v>
      </c>
      <c r="N46" s="46">
        <f>K46*'Tier 1 Coefficients'!C$42</f>
        <v>3.5040747603501767</v>
      </c>
      <c r="O46" s="46">
        <f>I46*'Tier 2 FC'!D$15</f>
        <v>39029.264551042514</v>
      </c>
      <c r="P46" s="46">
        <f t="shared" si="2"/>
        <v>39.029264551042516</v>
      </c>
      <c r="Q46" s="46">
        <f>P46*'Tier 1 Coefficients'!D$5</f>
        <v>118.02449600235256</v>
      </c>
      <c r="R46" s="46">
        <f>$I46*'T2 PC'!C72</f>
        <v>13.694478789839479</v>
      </c>
      <c r="S46" s="46">
        <f>$I46*'T2 PC'!D72</f>
        <v>408.09546793721648</v>
      </c>
      <c r="T46" s="46">
        <f>44.011*(P46/(12.011+1.008*'Tier 3 CO2 Tables'!B$5+16*'Tier 3 CO2 Tables'!C$5))</f>
        <v>118.00586431595694</v>
      </c>
      <c r="U46" s="46">
        <f>I46*'Tier 3 CO2 Tables'!H$3/10000</f>
        <v>9.9284971226336227E-2</v>
      </c>
      <c r="V46" s="46">
        <f>44.011*(U46/(12.011+1.008*'Tier 3 CO2 Tables'!B$6+16*'Tier 3 CO2 Tables'!C$6))</f>
        <v>0.30973507040456688</v>
      </c>
      <c r="W46" s="46">
        <f>I46*'T3 Methane'!D$13</f>
        <v>54777.915159357915</v>
      </c>
      <c r="X46" s="46" cm="1">
        <f t="array" ref="X46">_xlfn.IFS(E46='Euro Age Table'!C$5,'Euro Age Table'!G$5,E46='Euro Age Table'!C$6,'Euro Age Table'!G$6,E46='Euro Age Table'!C$7,'Euro Age Table'!G$7,E46='Euro Age Table'!C$8,'Euro Age Table'!G$8,E46='Euro Age Table'!C$9,'Euro Age Table'!G$9,E46='Euro Age Table'!C$10,'Euro Age Table'!G$10,E46='Euro Age Table'!C$11,'Euro Age Table'!G$11)</f>
        <v>23</v>
      </c>
      <c r="Y46" s="46">
        <f>X46*'Eilat Car Data'!F$15</f>
        <v>337306.8242904651</v>
      </c>
      <c r="Z46" s="46">
        <f>'T3 N2O PC-Diesel LPG'!B10</f>
        <v>21</v>
      </c>
      <c r="AA46" s="124">
        <f t="shared" si="3"/>
        <v>14379.202729331453</v>
      </c>
    </row>
    <row r="47" spans="1:27" ht="12.5">
      <c r="A47" s="48" t="s">
        <v>51</v>
      </c>
      <c r="B47" s="49" t="s">
        <v>23</v>
      </c>
      <c r="C47" s="49" t="s">
        <v>52</v>
      </c>
      <c r="D47" s="49" t="s">
        <v>53</v>
      </c>
      <c r="E47" s="50" t="s">
        <v>56</v>
      </c>
      <c r="F47" s="97">
        <v>2.6145780739158653E-6</v>
      </c>
      <c r="G47" s="99">
        <f t="shared" si="0"/>
        <v>7.003408828791037E-2</v>
      </c>
      <c r="H47" s="46"/>
      <c r="I47" s="46">
        <f>G47*'Eilat Car Data'!F$15</f>
        <v>1027.085909237961</v>
      </c>
      <c r="J47" s="46">
        <f>I47*'Tier 1 Coefficients'!I$5</f>
        <v>59057.439781182758</v>
      </c>
      <c r="K47" s="46">
        <f t="shared" si="1"/>
        <v>59.057439781182758</v>
      </c>
      <c r="L47" s="46">
        <f>K47*'Tier 1 Coefficients'!D$5</f>
        <v>178.58969789829666</v>
      </c>
      <c r="M47" s="46">
        <f>K47*'Tier 1 Coefficients'!C$18</f>
        <v>522.06776766565554</v>
      </c>
      <c r="N47" s="46">
        <f>K47*'Tier 1 Coefficients'!C$42</f>
        <v>5.2561121405252651</v>
      </c>
      <c r="O47" s="46">
        <f>I47*'Tier 2 FC'!D$15</f>
        <v>58543.896826563774</v>
      </c>
      <c r="P47" s="46">
        <f t="shared" si="2"/>
        <v>58.543896826563774</v>
      </c>
      <c r="Q47" s="46">
        <f>P47*'Tier 1 Coefficients'!D$5</f>
        <v>177.03674400352887</v>
      </c>
      <c r="R47" s="46">
        <f>$I47*'T2 PC'!C73</f>
        <v>8.2166872739036876</v>
      </c>
      <c r="S47" s="46">
        <f>$I47*'T2 PC'!D73</f>
        <v>544.35553189611937</v>
      </c>
      <c r="T47" s="46">
        <f>44.011*(P47/(12.011+1.008*'Tier 3 CO2 Tables'!B$5+16*'Tier 3 CO2 Tables'!C$5))</f>
        <v>177.00879647393543</v>
      </c>
      <c r="U47" s="46">
        <f>I47*'Tier 3 CO2 Tables'!H$3/10000</f>
        <v>0.14892745683950434</v>
      </c>
      <c r="V47" s="46">
        <f>44.011*(U47/(12.011+1.008*'Tier 3 CO2 Tables'!B$6+16*'Tier 3 CO2 Tables'!C$6))</f>
        <v>0.46460260560685029</v>
      </c>
      <c r="W47" s="46">
        <f>I47*'T3 Methane'!D$13</f>
        <v>82166.872739036888</v>
      </c>
      <c r="X47" s="46" cm="1">
        <f t="array" ref="X47">_xlfn.IFS(E47='Euro Age Table'!C$5,'Euro Age Table'!G$5,E47='Euro Age Table'!C$6,'Euro Age Table'!G$6,E47='Euro Age Table'!C$7,'Euro Age Table'!G$7,E47='Euro Age Table'!C$8,'Euro Age Table'!G$8,E47='Euro Age Table'!C$9,'Euro Age Table'!G$9,E47='Euro Age Table'!C$10,'Euro Age Table'!G$10,E47='Euro Age Table'!C$11,'Euro Age Table'!G$11)</f>
        <v>18</v>
      </c>
      <c r="Y47" s="46">
        <f>X47*'Eilat Car Data'!F$15</f>
        <v>263979.2537925379</v>
      </c>
      <c r="Z47" s="46">
        <f>'T3 N2O PC-Diesel LPG'!B11</f>
        <v>13</v>
      </c>
      <c r="AA47" s="124">
        <f t="shared" si="3"/>
        <v>13352.116820093494</v>
      </c>
    </row>
    <row r="48" spans="1:27" ht="12.5">
      <c r="A48" s="48" t="s">
        <v>51</v>
      </c>
      <c r="B48" s="49" t="s">
        <v>23</v>
      </c>
      <c r="C48" s="49" t="s">
        <v>52</v>
      </c>
      <c r="D48" s="49" t="s">
        <v>53</v>
      </c>
      <c r="E48" s="50" t="s">
        <v>57</v>
      </c>
      <c r="F48" s="97">
        <v>2.5564763389399571E-5</v>
      </c>
      <c r="G48" s="99">
        <f t="shared" si="0"/>
        <v>0.68477775214845693</v>
      </c>
      <c r="H48" s="46"/>
      <c r="I48" s="46">
        <f>G48*'Eilat Car Data'!F$15</f>
        <v>10042.61777921562</v>
      </c>
      <c r="J48" s="46">
        <f>I48*'Tier 1 Coefficients'!I$5</f>
        <v>577450.52230489813</v>
      </c>
      <c r="K48" s="46">
        <f t="shared" si="1"/>
        <v>577.45052230489807</v>
      </c>
      <c r="L48" s="46">
        <f>K48*'Tier 1 Coefficients'!D$5</f>
        <v>1746.2103794500117</v>
      </c>
      <c r="M48" s="46">
        <f>K48*'Tier 1 Coefficients'!C$18</f>
        <v>5104.6626171752987</v>
      </c>
      <c r="N48" s="46">
        <f>K48*'Tier 1 Coefficients'!C$42</f>
        <v>51.393096485135928</v>
      </c>
      <c r="O48" s="46">
        <f>I48*'Tier 2 FC'!D$15</f>
        <v>572429.21341529035</v>
      </c>
      <c r="P48" s="46">
        <f t="shared" si="2"/>
        <v>572.42921341529029</v>
      </c>
      <c r="Q48" s="46">
        <f>P48*'Tier 1 Coefficients'!D$5</f>
        <v>1731.025941367838</v>
      </c>
      <c r="R48" s="46">
        <f>$I48*'T2 PC'!C74</f>
        <v>40.17047111686248</v>
      </c>
      <c r="S48" s="46">
        <f>$I48*'T2 PC'!D74</f>
        <v>4659.7746495560477</v>
      </c>
      <c r="T48" s="46">
        <f>44.011*(P48/(12.011+1.008*'Tier 3 CO2 Tables'!B$5+16*'Tier 3 CO2 Tables'!C$5))</f>
        <v>1730.7526766340354</v>
      </c>
      <c r="U48" s="46">
        <f>I48*'Tier 3 CO2 Tables'!H$3/10000</f>
        <v>1.4561795779862647</v>
      </c>
      <c r="V48" s="46">
        <f>44.011*(U48/(12.011+1.008*'Tier 3 CO2 Tables'!B$6+16*'Tier 3 CO2 Tables'!C$6))</f>
        <v>4.5427810326003151</v>
      </c>
      <c r="W48" s="46">
        <f>I48*'T3 Methane'!D$13</f>
        <v>803409.42233724962</v>
      </c>
      <c r="X48" s="46" cm="1">
        <f t="array" ref="X48">_xlfn.IFS(E48='Euro Age Table'!C$5,'Euro Age Table'!G$5,E48='Euro Age Table'!C$6,'Euro Age Table'!G$6,E48='Euro Age Table'!C$7,'Euro Age Table'!G$7,E48='Euro Age Table'!C$8,'Euro Age Table'!G$8,E48='Euro Age Table'!C$9,'Euro Age Table'!G$9,E48='Euro Age Table'!C$10,'Euro Age Table'!G$10,E48='Euro Age Table'!C$11,'Euro Age Table'!G$11)</f>
        <v>16</v>
      </c>
      <c r="Y48" s="46">
        <f>X48*'Eilat Car Data'!F$15</f>
        <v>234648.22559336704</v>
      </c>
      <c r="Z48" s="46">
        <f>'T3 N2O PC-Diesel LPG'!B12</f>
        <v>5</v>
      </c>
      <c r="AA48" s="124">
        <f t="shared" si="3"/>
        <v>50213.088896078101</v>
      </c>
    </row>
    <row r="49" spans="1:27" ht="12.5">
      <c r="A49" s="48" t="s">
        <v>51</v>
      </c>
      <c r="B49" s="49" t="s">
        <v>23</v>
      </c>
      <c r="C49" s="49" t="s">
        <v>52</v>
      </c>
      <c r="D49" s="49" t="s">
        <v>53</v>
      </c>
      <c r="E49" s="50" t="s">
        <v>58</v>
      </c>
      <c r="F49" s="97">
        <v>1.3566755116874545E-4</v>
      </c>
      <c r="G49" s="99">
        <f t="shared" si="0"/>
        <v>3.6339910256060155</v>
      </c>
      <c r="H49" s="46"/>
      <c r="I49" s="46">
        <f>G49*'Eilat Car Data'!F$15</f>
        <v>53294.346623791971</v>
      </c>
      <c r="J49" s="46">
        <f>I49*'Tier 1 Coefficients'!I$5</f>
        <v>3064424.9308680384</v>
      </c>
      <c r="K49" s="46">
        <f t="shared" si="1"/>
        <v>3064.4249308680382</v>
      </c>
      <c r="L49" s="46">
        <f>K49*'Tier 1 Coefficients'!D$5</f>
        <v>9266.820990944947</v>
      </c>
      <c r="M49" s="46">
        <f>K49*'Tier 1 Coefficients'!C$18</f>
        <v>27089.516388873457</v>
      </c>
      <c r="N49" s="46">
        <f>K49*'Tier 1 Coefficients'!C$42</f>
        <v>272.73381884725541</v>
      </c>
      <c r="O49" s="46">
        <f>I49*'Tier 2 FC'!D$15</f>
        <v>3037777.7575561423</v>
      </c>
      <c r="P49" s="46">
        <f t="shared" si="2"/>
        <v>3037.7777575561422</v>
      </c>
      <c r="Q49" s="46">
        <f>P49*'Tier 1 Coefficients'!D$5</f>
        <v>9186.2399388497743</v>
      </c>
      <c r="R49" s="46">
        <f>$I49*'T2 PC'!C75</f>
        <v>213.17738649516789</v>
      </c>
      <c r="S49" s="46">
        <f>$I49*'T2 PC'!D75</f>
        <v>21211.149956269204</v>
      </c>
      <c r="T49" s="46">
        <f>44.011*(P49/(12.011+1.008*'Tier 3 CO2 Tables'!B$5+16*'Tier 3 CO2 Tables'!C$5))</f>
        <v>9184.7897725919811</v>
      </c>
      <c r="U49" s="46">
        <f>I49*'Tier 3 CO2 Tables'!H$3/10000</f>
        <v>7.7276802604498354</v>
      </c>
      <c r="V49" s="46">
        <f>44.011*(U49/(12.011+1.008*'Tier 3 CO2 Tables'!B$6+16*'Tier 3 CO2 Tables'!C$6))</f>
        <v>24.107712979822121</v>
      </c>
      <c r="W49" s="46">
        <f>I49*'T3 Methane'!D$13</f>
        <v>4263547.729903358</v>
      </c>
      <c r="X49" s="46" cm="1">
        <f t="array" ref="X49">_xlfn.IFS(E49='Euro Age Table'!C$5,'Euro Age Table'!G$5,E49='Euro Age Table'!C$6,'Euro Age Table'!G$6,E49='Euro Age Table'!C$7,'Euro Age Table'!G$7,E49='Euro Age Table'!C$8,'Euro Age Table'!G$8,E49='Euro Age Table'!C$9,'Euro Age Table'!G$9,E49='Euro Age Table'!C$10,'Euro Age Table'!G$10,E49='Euro Age Table'!C$11,'Euro Age Table'!G$11)</f>
        <v>13</v>
      </c>
      <c r="Y49" s="46">
        <f>X49*'Eilat Car Data'!F$15</f>
        <v>190651.68329461073</v>
      </c>
      <c r="Z49" s="46">
        <f>'T3 N2O PC-Diesel LPG'!B13</f>
        <v>5</v>
      </c>
      <c r="AA49" s="124">
        <f t="shared" si="3"/>
        <v>266471.73311895988</v>
      </c>
    </row>
    <row r="50" spans="1:27" ht="12.5">
      <c r="A50" s="48" t="s">
        <v>51</v>
      </c>
      <c r="B50" s="49" t="s">
        <v>23</v>
      </c>
      <c r="C50" s="49" t="s">
        <v>52</v>
      </c>
      <c r="D50" s="49" t="s">
        <v>53</v>
      </c>
      <c r="E50" s="50" t="s">
        <v>59</v>
      </c>
      <c r="F50" s="97">
        <v>2.4606084762297088E-4</v>
      </c>
      <c r="G50" s="99">
        <f t="shared" si="0"/>
        <v>6.5909858644288981</v>
      </c>
      <c r="H50" s="46"/>
      <c r="I50" s="46">
        <f>G50*'Eilat Car Data'!F$15</f>
        <v>96660.196124950337</v>
      </c>
      <c r="J50" s="46">
        <f>I50*'Tier 1 Coefficients'!I$5</f>
        <v>5557961.2771846447</v>
      </c>
      <c r="K50" s="46">
        <f t="shared" si="1"/>
        <v>5557.961277184645</v>
      </c>
      <c r="L50" s="46">
        <f>K50*'Tier 1 Coefficients'!D$5</f>
        <v>16807.274902206365</v>
      </c>
      <c r="M50" s="46">
        <f>K50*'Tier 1 Coefficients'!C$18</f>
        <v>49132.377690312263</v>
      </c>
      <c r="N50" s="46">
        <f>K50*'Tier 1 Coefficients'!C$42</f>
        <v>494.65855366943339</v>
      </c>
      <c r="O50" s="46">
        <f>I50*'Tier 2 FC'!D$15</f>
        <v>5509631.1791221695</v>
      </c>
      <c r="P50" s="46">
        <f t="shared" si="2"/>
        <v>5509.6311791221697</v>
      </c>
      <c r="Q50" s="46">
        <f>P50*'Tier 1 Coefficients'!D$5</f>
        <v>16661.12468566544</v>
      </c>
      <c r="R50" s="46">
        <f>$I50*'T2 PC'!C76</f>
        <v>386.64078449980133</v>
      </c>
      <c r="S50" s="46">
        <f>$I50*'T2 PC'!D76</f>
        <v>38470.758057730236</v>
      </c>
      <c r="T50" s="46">
        <f>44.011*(P50/(12.011+1.008*'Tier 3 CO2 Tables'!B$5+16*'Tier 3 CO2 Tables'!C$5))</f>
        <v>16658.494512602592</v>
      </c>
      <c r="U50" s="46">
        <f>I50*'Tier 3 CO2 Tables'!H$3/10000</f>
        <v>14.015728438117797</v>
      </c>
      <c r="V50" s="46">
        <f>44.011*(U50/(12.011+1.008*'Tier 3 CO2 Tables'!B$6+16*'Tier 3 CO2 Tables'!C$6))</f>
        <v>43.724267438778028</v>
      </c>
      <c r="W50" s="46">
        <f>I50*'T3 Methane'!D$13</f>
        <v>7732815.6899960265</v>
      </c>
      <c r="X50" s="46" cm="1">
        <f t="array" ref="X50">_xlfn.IFS(E50='Euro Age Table'!C$5,'Euro Age Table'!G$5,E50='Euro Age Table'!C$6,'Euro Age Table'!G$6,E50='Euro Age Table'!C$7,'Euro Age Table'!G$7,E50='Euro Age Table'!C$8,'Euro Age Table'!G$8,E50='Euro Age Table'!C$9,'Euro Age Table'!G$9,E50='Euro Age Table'!C$10,'Euro Age Table'!G$10,E50='Euro Age Table'!C$11,'Euro Age Table'!G$11)</f>
        <v>9</v>
      </c>
      <c r="Y50" s="46">
        <f>X50*'Eilat Car Data'!F$15</f>
        <v>131989.62689626895</v>
      </c>
      <c r="Z50" s="46">
        <f>'T3 N2O PC-Diesel LPG'!B14</f>
        <v>2.1</v>
      </c>
      <c r="AA50" s="124">
        <f t="shared" si="3"/>
        <v>202986.4118623957</v>
      </c>
    </row>
    <row r="51" spans="1:27" ht="12.5">
      <c r="A51" s="48" t="s">
        <v>51</v>
      </c>
      <c r="B51" s="49" t="s">
        <v>23</v>
      </c>
      <c r="C51" s="49" t="s">
        <v>52</v>
      </c>
      <c r="D51" s="49" t="s">
        <v>53</v>
      </c>
      <c r="E51" s="51" t="s">
        <v>60</v>
      </c>
      <c r="F51" s="97">
        <v>6.6816995222294338E-5</v>
      </c>
      <c r="G51" s="99">
        <f t="shared" si="0"/>
        <v>1.7897600340243762</v>
      </c>
      <c r="H51" s="46"/>
      <c r="I51" s="46">
        <f>G51*'Eilat Car Data'!F$15</f>
        <v>26247.751013859008</v>
      </c>
      <c r="J51" s="46">
        <f>I51*'Tier 1 Coefficients'!I$5</f>
        <v>1509245.683296893</v>
      </c>
      <c r="K51" s="46">
        <f t="shared" si="1"/>
        <v>1509.245683296893</v>
      </c>
      <c r="L51" s="46">
        <f>K51*'Tier 1 Coefficients'!D$5</f>
        <v>4563.9589462898048</v>
      </c>
      <c r="M51" s="46">
        <f>K51*'Tier 1 Coefficients'!C$18</f>
        <v>13341.731840344535</v>
      </c>
      <c r="N51" s="46">
        <f>K51*'Tier 1 Coefficients'!C$42</f>
        <v>134.32286581342348</v>
      </c>
      <c r="O51" s="46">
        <f>I51*'Tier 2 FC'!D$15</f>
        <v>1496121.8077899634</v>
      </c>
      <c r="P51" s="46">
        <f t="shared" si="2"/>
        <v>1496.1218077899634</v>
      </c>
      <c r="Q51" s="46">
        <f>P51*'Tier 1 Coefficients'!D$5</f>
        <v>4524.2723467568494</v>
      </c>
      <c r="R51" s="46">
        <f>$I51*'T2 PC'!C77</f>
        <v>104.99100405543604</v>
      </c>
      <c r="S51" s="46">
        <f>$I51*'T2 PC'!D77</f>
        <v>10446.604903515885</v>
      </c>
      <c r="T51" s="46">
        <f>44.011*(P51/(12.011+1.008*'Tier 3 CO2 Tables'!B$5+16*'Tier 3 CO2 Tables'!C$5))</f>
        <v>4523.5581321116842</v>
      </c>
      <c r="U51" s="46">
        <f>I51*'Tier 3 CO2 Tables'!H$4/10000</f>
        <v>3.3597121297739534</v>
      </c>
      <c r="V51" s="46">
        <f>44.011*(U51/(12.011+1.008*'Tier 3 CO2 Tables'!B$6+16*'Tier 3 CO2 Tables'!C$6))</f>
        <v>10.481149968632703</v>
      </c>
      <c r="W51" s="46">
        <f>I51*'T3 Methane'!D$13</f>
        <v>2099820.0811087205</v>
      </c>
      <c r="X51" s="46" cm="1">
        <f t="array" ref="X51">_xlfn.IFS(E51='Euro Age Table'!C$5,'Euro Age Table'!G$5,E51='Euro Age Table'!C$6,'Euro Age Table'!G$6,E51='Euro Age Table'!C$7,'Euro Age Table'!G$7,E51='Euro Age Table'!C$8,'Euro Age Table'!G$8,E51='Euro Age Table'!C$9,'Euro Age Table'!G$9,E51='Euro Age Table'!C$10,'Euro Age Table'!G$10,E51='Euro Age Table'!C$11,'Euro Age Table'!G$11)</f>
        <v>3</v>
      </c>
      <c r="Y51" s="46">
        <f>X51*'Eilat Car Data'!F$15</f>
        <v>43996.542298756322</v>
      </c>
      <c r="Z51" s="46">
        <f>'T3 N2O PC-Diesel LPG'!B15</f>
        <v>2.1</v>
      </c>
      <c r="AA51" s="124">
        <f t="shared" si="3"/>
        <v>55120.277129103917</v>
      </c>
    </row>
    <row r="52" spans="1:27" ht="12.5">
      <c r="A52" s="48" t="s">
        <v>51</v>
      </c>
      <c r="B52" s="49" t="s">
        <v>23</v>
      </c>
      <c r="C52" s="49" t="s">
        <v>52</v>
      </c>
      <c r="D52" s="52" t="s">
        <v>61</v>
      </c>
      <c r="E52" s="50" t="s">
        <v>55</v>
      </c>
      <c r="F52" s="97">
        <v>6.6816995222294329E-6</v>
      </c>
      <c r="G52" s="99">
        <f t="shared" si="0"/>
        <v>0.17897600340243758</v>
      </c>
      <c r="H52" s="46"/>
      <c r="I52" s="46">
        <f>G52*'Eilat Car Data'!F$15</f>
        <v>2624.7751013859001</v>
      </c>
      <c r="J52" s="46">
        <f>I52*'Tier 1 Coefficients'!I$5</f>
        <v>150924.56832968927</v>
      </c>
      <c r="K52" s="46">
        <f t="shared" si="1"/>
        <v>150.92456832968927</v>
      </c>
      <c r="L52" s="46">
        <f>K52*'Tier 1 Coefficients'!D$5</f>
        <v>456.39589462898033</v>
      </c>
      <c r="M52" s="46">
        <f>K52*'Tier 1 Coefficients'!C$18</f>
        <v>1334.173184034453</v>
      </c>
      <c r="N52" s="46">
        <f>K52*'Tier 1 Coefficients'!C$42</f>
        <v>13.432286581342344</v>
      </c>
      <c r="O52" s="46">
        <f>I52*'Tier 2 FC'!D$15</f>
        <v>149612.18077899632</v>
      </c>
      <c r="P52" s="46">
        <f t="shared" si="2"/>
        <v>149.61218077899633</v>
      </c>
      <c r="Q52" s="46">
        <f>P52*'Tier 1 Coefficients'!D$5</f>
        <v>452.42723467568493</v>
      </c>
      <c r="R52" s="46">
        <f>$I52*'T2 PC'!C72</f>
        <v>52.495502027718004</v>
      </c>
      <c r="S52" s="46">
        <f>$I52*'T2 PC'!D72</f>
        <v>1564.3659604259965</v>
      </c>
      <c r="T52" s="46">
        <f>44.011*(P52/(12.011+1.008*'Tier 3 CO2 Tables'!B$5+16*'Tier 3 CO2 Tables'!C$5))</f>
        <v>452.35581321116837</v>
      </c>
      <c r="U52" s="46">
        <f>I52*'Tier 3 CO2 Tables'!H$3/10000</f>
        <v>0.38059238970095555</v>
      </c>
      <c r="V52" s="46">
        <f>44.011*(U52/(12.011+1.008*'Tier 3 CO2 Tables'!B$6+16*'Tier 3 CO2 Tables'!C$6))</f>
        <v>1.187317769884173</v>
      </c>
      <c r="W52" s="46">
        <f>I52*'T3 Methane'!D$13</f>
        <v>209982.008110872</v>
      </c>
      <c r="X52" s="46" cm="1">
        <f t="array" ref="X52">_xlfn.IFS(E52='Euro Age Table'!C$5,'Euro Age Table'!G$5,E52='Euro Age Table'!C$6,'Euro Age Table'!G$6,E52='Euro Age Table'!C$7,'Euro Age Table'!G$7,E52='Euro Age Table'!C$8,'Euro Age Table'!G$8,E52='Euro Age Table'!C$9,'Euro Age Table'!G$9,E52='Euro Age Table'!C$10,'Euro Age Table'!G$10,E52='Euro Age Table'!C$11,'Euro Age Table'!G$11)</f>
        <v>23</v>
      </c>
      <c r="Y52" s="46">
        <f>X52*'Eilat Car Data'!F$15</f>
        <v>337306.8242904651</v>
      </c>
      <c r="Z52" s="121">
        <f>'T3 N2O PC-Diesel LPG'!B10</f>
        <v>21</v>
      </c>
      <c r="AA52" s="124">
        <f t="shared" si="3"/>
        <v>55120.277129103903</v>
      </c>
    </row>
    <row r="53" spans="1:27" ht="12.5">
      <c r="A53" s="48" t="s">
        <v>51</v>
      </c>
      <c r="B53" s="49" t="s">
        <v>23</v>
      </c>
      <c r="C53" s="49" t="s">
        <v>52</v>
      </c>
      <c r="D53" s="49" t="s">
        <v>61</v>
      </c>
      <c r="E53" s="50" t="s">
        <v>56</v>
      </c>
      <c r="F53" s="97">
        <v>5.2291561478317302E-5</v>
      </c>
      <c r="G53" s="99">
        <f t="shared" si="0"/>
        <v>1.4006817657582074</v>
      </c>
      <c r="H53" s="46"/>
      <c r="I53" s="46">
        <f>G53*'Eilat Car Data'!F$15</f>
        <v>20541.718184759222</v>
      </c>
      <c r="J53" s="46">
        <f>I53*'Tier 1 Coefficients'!I$5</f>
        <v>1181148.7956236552</v>
      </c>
      <c r="K53" s="46">
        <f t="shared" si="1"/>
        <v>1181.1487956236551</v>
      </c>
      <c r="L53" s="46">
        <f>K53*'Tier 1 Coefficients'!D$5</f>
        <v>3571.7939579659333</v>
      </c>
      <c r="M53" s="46">
        <f>K53*'Tier 1 Coefficients'!C$18</f>
        <v>10441.355353313111</v>
      </c>
      <c r="N53" s="46">
        <f>K53*'Tier 1 Coefficients'!C$42</f>
        <v>105.1222428105053</v>
      </c>
      <c r="O53" s="46">
        <f>I53*'Tier 2 FC'!D$15</f>
        <v>1170877.9365312757</v>
      </c>
      <c r="P53" s="46">
        <f t="shared" si="2"/>
        <v>1170.8779365312757</v>
      </c>
      <c r="Q53" s="46">
        <f>P53*'Tier 1 Coefficients'!D$5</f>
        <v>3540.7348800705777</v>
      </c>
      <c r="R53" s="46">
        <f>$I53*'T2 PC'!C73</f>
        <v>164.33374547807378</v>
      </c>
      <c r="S53" s="46">
        <f>$I53*'T2 PC'!D73</f>
        <v>10887.110637922387</v>
      </c>
      <c r="T53" s="46">
        <f>44.011*(P53/(12.011+1.008*'Tier 3 CO2 Tables'!B$5+16*'Tier 3 CO2 Tables'!C$5))</f>
        <v>3540.1759294787089</v>
      </c>
      <c r="U53" s="46">
        <f>I53*'Tier 3 CO2 Tables'!H$3/10000</f>
        <v>2.9785491367900869</v>
      </c>
      <c r="V53" s="46">
        <f>44.011*(U53/(12.011+1.008*'Tier 3 CO2 Tables'!B$6+16*'Tier 3 CO2 Tables'!C$6))</f>
        <v>9.2920521121370072</v>
      </c>
      <c r="W53" s="46">
        <f>I53*'T3 Methane'!D$13</f>
        <v>1643337.4547807379</v>
      </c>
      <c r="X53" s="46" cm="1">
        <f t="array" ref="X53">_xlfn.IFS(E53='Euro Age Table'!C$5,'Euro Age Table'!G$5,E53='Euro Age Table'!C$6,'Euro Age Table'!G$6,E53='Euro Age Table'!C$7,'Euro Age Table'!G$7,E53='Euro Age Table'!C$8,'Euro Age Table'!G$8,E53='Euro Age Table'!C$9,'Euro Age Table'!G$9,E53='Euro Age Table'!C$10,'Euro Age Table'!G$10,E53='Euro Age Table'!C$11,'Euro Age Table'!G$11)</f>
        <v>18</v>
      </c>
      <c r="Y53" s="46">
        <f>X53*'Eilat Car Data'!F$15</f>
        <v>263979.2537925379</v>
      </c>
      <c r="Z53" s="121">
        <f>'T3 N2O PC-Diesel LPG'!B11</f>
        <v>13</v>
      </c>
      <c r="AA53" s="124">
        <f t="shared" si="3"/>
        <v>267042.33640186989</v>
      </c>
    </row>
    <row r="54" spans="1:27" ht="12.5">
      <c r="A54" s="48" t="s">
        <v>51</v>
      </c>
      <c r="B54" s="49" t="s">
        <v>23</v>
      </c>
      <c r="C54" s="49" t="s">
        <v>52</v>
      </c>
      <c r="D54" s="49" t="s">
        <v>61</v>
      </c>
      <c r="E54" s="50" t="s">
        <v>57</v>
      </c>
      <c r="F54" s="97">
        <v>3.2275513779116957E-4</v>
      </c>
      <c r="G54" s="99">
        <f t="shared" si="0"/>
        <v>8.6453191208742677</v>
      </c>
      <c r="H54" s="46"/>
      <c r="I54" s="46">
        <f>G54*'Eilat Car Data'!F$15</f>
        <v>126788.04946259718</v>
      </c>
      <c r="J54" s="46">
        <f>I54*'Tier 1 Coefficients'!I$5</f>
        <v>7290312.8440993372</v>
      </c>
      <c r="K54" s="46">
        <f t="shared" si="1"/>
        <v>7290.3128440993369</v>
      </c>
      <c r="L54" s="46">
        <f>K54*'Tier 1 Coefficients'!D$5</f>
        <v>22045.906040556394</v>
      </c>
      <c r="M54" s="46">
        <f>K54*'Tier 1 Coefficients'!C$18</f>
        <v>64446.365541838139</v>
      </c>
      <c r="N54" s="46">
        <f>K54*'Tier 1 Coefficients'!C$42</f>
        <v>648.8378431248409</v>
      </c>
      <c r="O54" s="46">
        <f>I54*'Tier 2 FC'!D$15</f>
        <v>7226918.8193680393</v>
      </c>
      <c r="P54" s="46">
        <f t="shared" si="2"/>
        <v>7226.9188193680393</v>
      </c>
      <c r="Q54" s="46">
        <f>P54*'Tier 1 Coefficients'!D$5</f>
        <v>21854.202509768951</v>
      </c>
      <c r="R54" s="46">
        <f>$I54*'T2 PC'!C74</f>
        <v>507.15219785038875</v>
      </c>
      <c r="S54" s="46">
        <f>$I54*'T2 PC'!D74</f>
        <v>58829.65495064509</v>
      </c>
      <c r="T54" s="46">
        <f>44.011*(P54/(12.011+1.008*'Tier 3 CO2 Tables'!B$5+16*'Tier 3 CO2 Tables'!C$5))</f>
        <v>21850.752542504692</v>
      </c>
      <c r="U54" s="46">
        <f>I54*'Tier 3 CO2 Tables'!H$3/10000</f>
        <v>18.384267172076591</v>
      </c>
      <c r="V54" s="46">
        <f>44.011*(U54/(12.011+1.008*'Tier 3 CO2 Tables'!B$6+16*'Tier 3 CO2 Tables'!C$6))</f>
        <v>57.352610536578972</v>
      </c>
      <c r="W54" s="46">
        <f>I54*'T3 Methane'!D$13</f>
        <v>10143043.957007773</v>
      </c>
      <c r="X54" s="46" cm="1">
        <f t="array" ref="X54">_xlfn.IFS(E54='Euro Age Table'!C$5,'Euro Age Table'!G$5,E54='Euro Age Table'!C$6,'Euro Age Table'!G$6,E54='Euro Age Table'!C$7,'Euro Age Table'!G$7,E54='Euro Age Table'!C$8,'Euro Age Table'!G$8,E54='Euro Age Table'!C$9,'Euro Age Table'!G$9,E54='Euro Age Table'!C$10,'Euro Age Table'!G$10,E54='Euro Age Table'!C$11,'Euro Age Table'!G$11)</f>
        <v>16</v>
      </c>
      <c r="Y54" s="46">
        <f>X54*'Eilat Car Data'!F$15</f>
        <v>234648.22559336704</v>
      </c>
      <c r="Z54" s="121">
        <f>'T3 N2O PC-Diesel LPG'!B12</f>
        <v>5</v>
      </c>
      <c r="AA54" s="124">
        <f t="shared" si="3"/>
        <v>633940.24731298583</v>
      </c>
    </row>
    <row r="55" spans="1:27" ht="12.5">
      <c r="A55" s="48" t="s">
        <v>51</v>
      </c>
      <c r="B55" s="49" t="s">
        <v>23</v>
      </c>
      <c r="C55" s="49" t="s">
        <v>52</v>
      </c>
      <c r="D55" s="49" t="s">
        <v>61</v>
      </c>
      <c r="E55" s="50" t="s">
        <v>58</v>
      </c>
      <c r="F55" s="97">
        <v>1.4040284256928196E-3</v>
      </c>
      <c r="G55" s="99">
        <f t="shared" si="0"/>
        <v>37.608305410607869</v>
      </c>
      <c r="H55" s="46"/>
      <c r="I55" s="46">
        <f>G55*'Eilat Car Data'!F$15</f>
        <v>551545.13326078514</v>
      </c>
      <c r="J55" s="46">
        <f>I55*'Tier 1 Coefficients'!I$5</f>
        <v>31713845.162495144</v>
      </c>
      <c r="K55" s="46">
        <f t="shared" si="1"/>
        <v>31713.845162495145</v>
      </c>
      <c r="L55" s="46">
        <f>K55*'Tier 1 Coefficients'!D$5</f>
        <v>95902.667771385313</v>
      </c>
      <c r="M55" s="46">
        <f>K55*'Tier 1 Coefficients'!C$18</f>
        <v>280350.3912364571</v>
      </c>
      <c r="N55" s="46">
        <f>K55*'Tier 1 Coefficients'!C$42</f>
        <v>2822.5322194620676</v>
      </c>
      <c r="O55" s="46">
        <f>I55*'Tier 2 FC'!D$15</f>
        <v>31438072.595864754</v>
      </c>
      <c r="P55" s="46">
        <f t="shared" si="2"/>
        <v>31438.072595864753</v>
      </c>
      <c r="Q55" s="46">
        <f>P55*'Tier 1 Coefficients'!D$5</f>
        <v>95068.731529895012</v>
      </c>
      <c r="R55" s="46">
        <f>$I55*'T2 PC'!C75</f>
        <v>2206.1805330431407</v>
      </c>
      <c r="S55" s="46">
        <f>$I55*'T2 PC'!D75</f>
        <v>219514.96303779251</v>
      </c>
      <c r="T55" s="46">
        <f>44.011*(P55/(12.011+1.008*'Tier 3 CO2 Tables'!B$5+16*'Tier 3 CO2 Tables'!C$5))</f>
        <v>95053.723706503341</v>
      </c>
      <c r="U55" s="46">
        <f>I55*'Tier 3 CO2 Tables'!H$3/10000</f>
        <v>79.974044322813839</v>
      </c>
      <c r="V55" s="46">
        <f>44.011*(U55/(12.011+1.008*'Tier 3 CO2 Tables'!B$6+16*'Tier 3 CO2 Tables'!C$6))</f>
        <v>249.49159921087866</v>
      </c>
      <c r="W55" s="46">
        <f>I55*'T3 Methane'!D$13</f>
        <v>44123610.660862811</v>
      </c>
      <c r="X55" s="46" cm="1">
        <f t="array" ref="X55">_xlfn.IFS(E55='Euro Age Table'!C$5,'Euro Age Table'!G$5,E55='Euro Age Table'!C$6,'Euro Age Table'!G$6,E55='Euro Age Table'!C$7,'Euro Age Table'!G$7,E55='Euro Age Table'!C$8,'Euro Age Table'!G$8,E55='Euro Age Table'!C$9,'Euro Age Table'!G$9,E55='Euro Age Table'!C$10,'Euro Age Table'!G$10,E55='Euro Age Table'!C$11,'Euro Age Table'!G$11)</f>
        <v>13</v>
      </c>
      <c r="Y55" s="46">
        <f>X55*'Eilat Car Data'!F$15</f>
        <v>190651.68329461073</v>
      </c>
      <c r="Z55" s="121">
        <f>'T3 N2O PC-Diesel LPG'!B13</f>
        <v>5</v>
      </c>
      <c r="AA55" s="124">
        <f t="shared" si="3"/>
        <v>2757725.6663039257</v>
      </c>
    </row>
    <row r="56" spans="1:27" ht="12.5">
      <c r="A56" s="48" t="s">
        <v>51</v>
      </c>
      <c r="B56" s="49" t="s">
        <v>23</v>
      </c>
      <c r="C56" s="49" t="s">
        <v>52</v>
      </c>
      <c r="D56" s="49" t="s">
        <v>61</v>
      </c>
      <c r="E56" s="50" t="s">
        <v>59</v>
      </c>
      <c r="F56" s="97">
        <v>8.0529004676608651E-4</v>
      </c>
      <c r="G56" s="99">
        <f t="shared" si="0"/>
        <v>21.570499192676394</v>
      </c>
      <c r="H56" s="46"/>
      <c r="I56" s="46">
        <f>G56*'Eilat Car Data'!F$15</f>
        <v>316342.46004529198</v>
      </c>
      <c r="J56" s="46">
        <f>I56*'Tier 1 Coefficients'!I$5</f>
        <v>18189691.45260429</v>
      </c>
      <c r="K56" s="46">
        <f t="shared" si="1"/>
        <v>18189.691452604289</v>
      </c>
      <c r="L56" s="46">
        <f>K56*'Tier 1 Coefficients'!D$5</f>
        <v>55005.626952675368</v>
      </c>
      <c r="M56" s="46">
        <f>K56*'Tier 1 Coefficients'!C$18</f>
        <v>160796.8724410219</v>
      </c>
      <c r="N56" s="46">
        <f>K56*'Tier 1 Coefficients'!C$42</f>
        <v>1618.8825392817816</v>
      </c>
      <c r="O56" s="46">
        <f>I56*'Tier 2 FC'!D$15</f>
        <v>18031520.222581644</v>
      </c>
      <c r="P56" s="46">
        <f t="shared" si="2"/>
        <v>18031.520222581643</v>
      </c>
      <c r="Q56" s="46">
        <f>P56*'Tier 1 Coefficients'!D$5</f>
        <v>54527.317153086886</v>
      </c>
      <c r="R56" s="46">
        <f>$I56*'T2 PC'!C76</f>
        <v>1265.369840181168</v>
      </c>
      <c r="S56" s="46">
        <f>$I56*'T2 PC'!D76</f>
        <v>125904.29909802621</v>
      </c>
      <c r="T56" s="46">
        <f>44.011*(P56/(12.011+1.008*'Tier 3 CO2 Tables'!B$5+16*'Tier 3 CO2 Tables'!C$5))</f>
        <v>54518.709313972104</v>
      </c>
      <c r="U56" s="46">
        <f>I56*'Tier 3 CO2 Tables'!H$3/10000</f>
        <v>45.869656706567334</v>
      </c>
      <c r="V56" s="46">
        <f>44.011*(U56/(12.011+1.008*'Tier 3 CO2 Tables'!B$6+16*'Tier 3 CO2 Tables'!C$6))</f>
        <v>143.0976025269099</v>
      </c>
      <c r="W56" s="46">
        <f>I56*'T3 Methane'!D$13</f>
        <v>25307396.80362336</v>
      </c>
      <c r="X56" s="46" cm="1">
        <f t="array" ref="X56">_xlfn.IFS(E56='Euro Age Table'!C$5,'Euro Age Table'!G$5,E56='Euro Age Table'!C$6,'Euro Age Table'!G$6,E56='Euro Age Table'!C$7,'Euro Age Table'!G$7,E56='Euro Age Table'!C$8,'Euro Age Table'!G$8,E56='Euro Age Table'!C$9,'Euro Age Table'!G$9,E56='Euro Age Table'!C$10,'Euro Age Table'!G$10,E56='Euro Age Table'!C$11,'Euro Age Table'!G$11)</f>
        <v>9</v>
      </c>
      <c r="Y56" s="46">
        <f>X56*'Eilat Car Data'!F$15</f>
        <v>131989.62689626895</v>
      </c>
      <c r="Z56" s="121">
        <f>'T3 N2O PC-Diesel LPG'!B14</f>
        <v>2.1</v>
      </c>
      <c r="AA56" s="124">
        <f t="shared" si="3"/>
        <v>664319.16609511315</v>
      </c>
    </row>
    <row r="57" spans="1:27" ht="12.5">
      <c r="A57" s="48" t="s">
        <v>51</v>
      </c>
      <c r="B57" s="49" t="s">
        <v>23</v>
      </c>
      <c r="C57" s="49" t="s">
        <v>52</v>
      </c>
      <c r="D57" s="51" t="s">
        <v>61</v>
      </c>
      <c r="E57" s="51" t="s">
        <v>60</v>
      </c>
      <c r="F57" s="97">
        <v>2.0626115916447382E-4</v>
      </c>
      <c r="G57" s="99">
        <f t="shared" si="0"/>
        <v>5.5249114093795955</v>
      </c>
      <c r="H57" s="46"/>
      <c r="I57" s="46">
        <f>G57*'Eilat Car Data'!F$15</f>
        <v>81025.666173216916</v>
      </c>
      <c r="J57" s="46">
        <f>I57*'Tier 1 Coefficients'!I$5</f>
        <v>4658975.8049599724</v>
      </c>
      <c r="K57" s="46">
        <f t="shared" si="1"/>
        <v>4658.9758049599723</v>
      </c>
      <c r="L57" s="46">
        <f>K57*'Tier 1 Coefficients'!D$5</f>
        <v>14088.742834198956</v>
      </c>
      <c r="M57" s="46">
        <f>K57*'Tier 1 Coefficients'!C$18</f>
        <v>41185.346115846158</v>
      </c>
      <c r="N57" s="46">
        <f>K57*'Tier 1 Coefficients'!C$42</f>
        <v>414.6488466414375</v>
      </c>
      <c r="O57" s="46">
        <f>I57*'Tier 2 FC'!D$15</f>
        <v>4618462.9718733644</v>
      </c>
      <c r="P57" s="46">
        <f t="shared" si="2"/>
        <v>4618.462971873364</v>
      </c>
      <c r="Q57" s="46">
        <f>P57*'Tier 1 Coefficients'!D$5</f>
        <v>13966.232026945054</v>
      </c>
      <c r="R57" s="46">
        <f>$I57*'T2 PC'!C77</f>
        <v>324.10266469286768</v>
      </c>
      <c r="S57" s="46">
        <f>$I57*'T2 PC'!D77</f>
        <v>32248.215136940333</v>
      </c>
      <c r="T57" s="46">
        <f>44.011*(P57/(12.011+1.008*'Tier 3 CO2 Tables'!B$5+16*'Tier 3 CO2 Tables'!C$5))</f>
        <v>13964.027277388237</v>
      </c>
      <c r="U57" s="46">
        <f>I57*'Tier 3 CO2 Tables'!H$4/10000</f>
        <v>10.371285270171766</v>
      </c>
      <c r="V57" s="46">
        <f>44.011*(U57/(12.011+1.008*'Tier 3 CO2 Tables'!B$6+16*'Tier 3 CO2 Tables'!C$6))</f>
        <v>32.354854250996596</v>
      </c>
      <c r="W57" s="46">
        <f>I57*'T3 Methane'!D$13</f>
        <v>6482053.2938573528</v>
      </c>
      <c r="X57" s="46" cm="1">
        <f t="array" ref="X57">_xlfn.IFS(E57='Euro Age Table'!C$5,'Euro Age Table'!G$5,E57='Euro Age Table'!C$6,'Euro Age Table'!G$6,E57='Euro Age Table'!C$7,'Euro Age Table'!G$7,E57='Euro Age Table'!C$8,'Euro Age Table'!G$8,E57='Euro Age Table'!C$9,'Euro Age Table'!G$9,E57='Euro Age Table'!C$10,'Euro Age Table'!G$10,E57='Euro Age Table'!C$11,'Euro Age Table'!G$11)</f>
        <v>3</v>
      </c>
      <c r="Y57" s="46">
        <f>X57*'Eilat Car Data'!F$15</f>
        <v>43996.542298756322</v>
      </c>
      <c r="Z57" s="121">
        <f>'T3 N2O PC-Diesel LPG'!B15</f>
        <v>2.1</v>
      </c>
      <c r="AA57" s="124">
        <f t="shared" si="3"/>
        <v>170153.89896375552</v>
      </c>
    </row>
    <row r="58" spans="1:27" ht="12.5">
      <c r="A58" s="48" t="s">
        <v>51</v>
      </c>
      <c r="B58" s="49" t="s">
        <v>23</v>
      </c>
      <c r="C58" s="49" t="s">
        <v>52</v>
      </c>
      <c r="D58" s="49" t="s">
        <v>62</v>
      </c>
      <c r="E58" s="50" t="s">
        <v>54</v>
      </c>
      <c r="F58" s="97">
        <v>5.2291561478317306E-6</v>
      </c>
      <c r="G58" s="99">
        <f t="shared" si="0"/>
        <v>0.14006817657582074</v>
      </c>
      <c r="H58" s="46"/>
      <c r="I58" s="46">
        <f>G58*'Eilat Car Data'!F$15</f>
        <v>2054.171818475922</v>
      </c>
      <c r="J58" s="46">
        <f>I58*'Tier 1 Coefficients'!I$5</f>
        <v>118114.87956236552</v>
      </c>
      <c r="K58" s="46">
        <f t="shared" si="1"/>
        <v>118.11487956236552</v>
      </c>
      <c r="L58" s="46">
        <f>K58*'Tier 1 Coefficients'!D$5</f>
        <v>357.17939579659333</v>
      </c>
      <c r="M58" s="46">
        <f>K58*'Tier 1 Coefficients'!C$18</f>
        <v>1044.1355353313111</v>
      </c>
      <c r="N58" s="46">
        <f>K58*'Tier 1 Coefficients'!C$42</f>
        <v>10.51222428105053</v>
      </c>
      <c r="O58" s="46">
        <f>I58*'Tier 2 FC'!D$14</f>
        <v>121196.13729007939</v>
      </c>
      <c r="P58" s="46">
        <f t="shared" si="2"/>
        <v>121.19613729007939</v>
      </c>
      <c r="Q58" s="46">
        <f>P58*'Tier 1 Coefficients'!D$5</f>
        <v>366.4971191652001</v>
      </c>
      <c r="R58" s="46">
        <f>$I58*'T2 PC'!C71</f>
        <v>0</v>
      </c>
      <c r="S58" s="46">
        <f>$I58*'T2 PC'!D71</f>
        <v>1361.9159156495364</v>
      </c>
      <c r="T58" s="46">
        <f>44.011*(P58/(12.011+1.008*'Tier 3 CO2 Tables'!B$5+16*'Tier 3 CO2 Tables'!C$5))</f>
        <v>366.43926287586629</v>
      </c>
      <c r="U58" s="46">
        <f>I58*'Tier 3 CO2 Tables'!H$3/10000</f>
        <v>0.29785491367900868</v>
      </c>
      <c r="V58" s="46">
        <f>44.011*(U58/(12.011+1.008*'Tier 3 CO2 Tables'!B$6+16*'Tier 3 CO2 Tables'!C$6))</f>
        <v>0.92920521121370059</v>
      </c>
      <c r="W58" s="46">
        <f>I58*'T3 Methane'!D$13</f>
        <v>164333.74547807378</v>
      </c>
      <c r="X58" s="46" cm="1">
        <f t="array" ref="X58">_xlfn.IFS(E58='Euro Age Table'!C$5,'Euro Age Table'!G$5,E58='Euro Age Table'!C$6,'Euro Age Table'!G$6,E58='Euro Age Table'!C$7,'Euro Age Table'!G$7,E58='Euro Age Table'!C$8,'Euro Age Table'!G$8,E58='Euro Age Table'!C$9,'Euro Age Table'!G$9,E58='Euro Age Table'!C$10,'Euro Age Table'!G$10,E58='Euro Age Table'!C$11,'Euro Age Table'!G$11)</f>
        <v>27</v>
      </c>
      <c r="Y58" s="46">
        <f>X58*'Eilat Car Data'!F$15</f>
        <v>395968.88068880688</v>
      </c>
      <c r="Z58" s="46">
        <f>'T3 N2O PC-Diesel LPG'!B9</f>
        <v>0</v>
      </c>
      <c r="AA58" s="124">
        <f t="shared" si="3"/>
        <v>0</v>
      </c>
    </row>
    <row r="59" spans="1:27" ht="12.5">
      <c r="A59" s="48" t="s">
        <v>51</v>
      </c>
      <c r="B59" s="49" t="s">
        <v>23</v>
      </c>
      <c r="C59" s="49" t="s">
        <v>52</v>
      </c>
      <c r="D59" s="49" t="s">
        <v>62</v>
      </c>
      <c r="E59" s="50" t="s">
        <v>55</v>
      </c>
      <c r="F59" s="97">
        <v>6.914106462133066E-5</v>
      </c>
      <c r="G59" s="99">
        <f t="shared" si="0"/>
        <v>1.852012556946963</v>
      </c>
      <c r="H59" s="46"/>
      <c r="I59" s="46">
        <f>G59*'Eilat Car Data'!F$15</f>
        <v>27160.71626651497</v>
      </c>
      <c r="J59" s="46">
        <f>I59*'Tier 1 Coefficients'!I$5</f>
        <v>1561741.1853246107</v>
      </c>
      <c r="K59" s="46">
        <f t="shared" si="1"/>
        <v>1561.7411853246106</v>
      </c>
      <c r="L59" s="46">
        <f>K59*'Tier 1 Coefficients'!D$5</f>
        <v>4722.7053444216226</v>
      </c>
      <c r="M59" s="46">
        <f>K59*'Tier 1 Coefficients'!C$18</f>
        <v>13805.792078269556</v>
      </c>
      <c r="N59" s="46">
        <f>K59*'Tier 1 Coefficients'!C$42</f>
        <v>138.99496549389033</v>
      </c>
      <c r="O59" s="46">
        <f>I59*'Tier 2 FC'!D$15</f>
        <v>1548160.8271913533</v>
      </c>
      <c r="P59" s="46">
        <f t="shared" si="2"/>
        <v>1548.1608271913533</v>
      </c>
      <c r="Q59" s="46">
        <f>P59*'Tier 1 Coefficients'!D$5</f>
        <v>4681.638341426652</v>
      </c>
      <c r="R59" s="46">
        <f>$I59*'T2 PC'!C72</f>
        <v>543.2143253302994</v>
      </c>
      <c r="S59" s="46">
        <f>$I59*'T2 PC'!D72</f>
        <v>16187.786894842922</v>
      </c>
      <c r="T59" s="46">
        <f>44.011*(P59/(12.011+1.008*'Tier 3 CO2 Tables'!B$5+16*'Tier 3 CO2 Tables'!C$5))</f>
        <v>4680.8992845329594</v>
      </c>
      <c r="U59" s="46">
        <f>I59*'Tier 3 CO2 Tables'!H$3/10000</f>
        <v>3.9383038586446704</v>
      </c>
      <c r="V59" s="46">
        <f>44.011*(U59/(12.011+1.008*'Tier 3 CO2 Tables'!B$6+16*'Tier 3 CO2 Tables'!C$6))</f>
        <v>12.286157792714487</v>
      </c>
      <c r="W59" s="46">
        <f>I59*'T3 Methane'!D$13</f>
        <v>2172857.3013211978</v>
      </c>
      <c r="X59" s="46" cm="1">
        <f t="array" ref="X59">_xlfn.IFS(E59='Euro Age Table'!C$5,'Euro Age Table'!G$5,E59='Euro Age Table'!C$6,'Euro Age Table'!G$6,E59='Euro Age Table'!C$7,'Euro Age Table'!G$7,E59='Euro Age Table'!C$8,'Euro Age Table'!G$8,E59='Euro Age Table'!C$9,'Euro Age Table'!G$9,E59='Euro Age Table'!C$10,'Euro Age Table'!G$10,E59='Euro Age Table'!C$11,'Euro Age Table'!G$11)</f>
        <v>23</v>
      </c>
      <c r="Y59" s="46">
        <f>X59*'Eilat Car Data'!F$15</f>
        <v>337306.8242904651</v>
      </c>
      <c r="Z59" s="46">
        <f>'T3 N2O PC-Diesel LPG'!B10</f>
        <v>21</v>
      </c>
      <c r="AA59" s="124">
        <f t="shared" si="3"/>
        <v>570375.04159681441</v>
      </c>
    </row>
    <row r="60" spans="1:27" ht="12.5">
      <c r="A60" s="48" t="s">
        <v>51</v>
      </c>
      <c r="B60" s="49" t="s">
        <v>23</v>
      </c>
      <c r="C60" s="49" t="s">
        <v>52</v>
      </c>
      <c r="D60" s="49" t="s">
        <v>62</v>
      </c>
      <c r="E60" s="50" t="s">
        <v>56</v>
      </c>
      <c r="F60" s="97">
        <v>8.5700059089464464E-5</v>
      </c>
      <c r="G60" s="99">
        <f t="shared" si="0"/>
        <v>2.2955617827703954</v>
      </c>
      <c r="H60" s="46"/>
      <c r="I60" s="46">
        <f>G60*'Eilat Car Data'!F$15</f>
        <v>33665.593691688722</v>
      </c>
      <c r="J60" s="46">
        <f>I60*'Tier 1 Coefficients'!I$5</f>
        <v>1935771.6372721016</v>
      </c>
      <c r="K60" s="46">
        <f t="shared" si="1"/>
        <v>1935.7716372721015</v>
      </c>
      <c r="L60" s="46">
        <f>K60*'Tier 1 Coefficients'!D$5</f>
        <v>5853.7734311108352</v>
      </c>
      <c r="M60" s="46">
        <f>K60*'Tier 1 Coefficients'!C$18</f>
        <v>17112.221273485378</v>
      </c>
      <c r="N60" s="46">
        <f>K60*'Tier 1 Coefficients'!C$42</f>
        <v>172.28367571721702</v>
      </c>
      <c r="O60" s="46">
        <f>I60*'Tier 2 FC'!D$15</f>
        <v>1918938.8404262571</v>
      </c>
      <c r="P60" s="46">
        <f t="shared" si="2"/>
        <v>1918.938840426257</v>
      </c>
      <c r="Q60" s="46">
        <f>P60*'Tier 1 Coefficients'!D$5</f>
        <v>5802.871053449001</v>
      </c>
      <c r="R60" s="46">
        <f>$I60*'T2 PC'!C73</f>
        <v>269.32474953350976</v>
      </c>
      <c r="S60" s="46">
        <f>$I60*'T2 PC'!D73</f>
        <v>17842.764656595024</v>
      </c>
      <c r="T60" s="46">
        <f>44.011*(P60/(12.011+1.008*'Tier 3 CO2 Tables'!B$5+16*'Tier 3 CO2 Tables'!C$5))</f>
        <v>5801.9549955345492</v>
      </c>
      <c r="U60" s="46">
        <f>I60*'Tier 3 CO2 Tables'!H$3/10000</f>
        <v>4.8815110852948642</v>
      </c>
      <c r="V60" s="46">
        <f>44.011*(U60/(12.011+1.008*'Tier 3 CO2 Tables'!B$6+16*'Tier 3 CO2 Tables'!C$6))</f>
        <v>15.228640961557872</v>
      </c>
      <c r="W60" s="46">
        <f>I60*'T3 Methane'!D$13</f>
        <v>2693247.4953350979</v>
      </c>
      <c r="X60" s="46" cm="1">
        <f t="array" ref="X60">_xlfn.IFS(E60='Euro Age Table'!C$5,'Euro Age Table'!G$5,E60='Euro Age Table'!C$6,'Euro Age Table'!G$6,E60='Euro Age Table'!C$7,'Euro Age Table'!G$7,E60='Euro Age Table'!C$8,'Euro Age Table'!G$8,E60='Euro Age Table'!C$9,'Euro Age Table'!G$9,E60='Euro Age Table'!C$10,'Euro Age Table'!G$10,E60='Euro Age Table'!C$11,'Euro Age Table'!G$11)</f>
        <v>18</v>
      </c>
      <c r="Y60" s="46">
        <f>X60*'Eilat Car Data'!F$15</f>
        <v>263979.2537925379</v>
      </c>
      <c r="Z60" s="46">
        <f>'T3 N2O PC-Diesel LPG'!B11</f>
        <v>13</v>
      </c>
      <c r="AA60" s="124">
        <f t="shared" si="3"/>
        <v>437652.71799195337</v>
      </c>
    </row>
    <row r="61" spans="1:27" ht="12.5">
      <c r="A61" s="48" t="s">
        <v>51</v>
      </c>
      <c r="B61" s="49" t="s">
        <v>23</v>
      </c>
      <c r="C61" s="49" t="s">
        <v>52</v>
      </c>
      <c r="D61" s="49" t="s">
        <v>62</v>
      </c>
      <c r="E61" s="50" t="s">
        <v>57</v>
      </c>
      <c r="F61" s="97">
        <v>4.2617622604828605E-4</v>
      </c>
      <c r="G61" s="99">
        <f t="shared" si="0"/>
        <v>11.415556390929391</v>
      </c>
      <c r="H61" s="46"/>
      <c r="I61" s="46">
        <f>G61*'Eilat Car Data'!F$15</f>
        <v>167415.00320578765</v>
      </c>
      <c r="J61" s="46">
        <f>I61*'Tier 1 Coefficients'!I$5</f>
        <v>9626362.6843327899</v>
      </c>
      <c r="K61" s="46">
        <f t="shared" si="1"/>
        <v>9626.3626843327893</v>
      </c>
      <c r="L61" s="46">
        <f>K61*'Tier 1 Coefficients'!D$5</f>
        <v>29110.120757422355</v>
      </c>
      <c r="M61" s="46">
        <f>K61*'Tier 1 Coefficients'!C$18</f>
        <v>85097.046129501861</v>
      </c>
      <c r="N61" s="46">
        <f>K61*'Tier 1 Coefficients'!C$42</f>
        <v>856.74627890561817</v>
      </c>
      <c r="O61" s="46">
        <f>I61*'Tier 2 FC'!D$15</f>
        <v>9542655.1827298962</v>
      </c>
      <c r="P61" s="46">
        <f t="shared" si="2"/>
        <v>9542.6551827298954</v>
      </c>
      <c r="Q61" s="46">
        <f>P61*'Tier 1 Coefficients'!D$5</f>
        <v>28856.989272575203</v>
      </c>
      <c r="R61" s="46">
        <f>$I61*'T2 PC'!C74</f>
        <v>669.66001282315062</v>
      </c>
      <c r="S61" s="46">
        <f>$I61*'T2 PC'!D74</f>
        <v>77680.56148748548</v>
      </c>
      <c r="T61" s="46">
        <f>44.011*(P61/(12.011+1.008*'Tier 3 CO2 Tables'!B$5+16*'Tier 3 CO2 Tables'!C$5))</f>
        <v>28852.433825251472</v>
      </c>
      <c r="U61" s="46">
        <f>I61*'Tier 3 CO2 Tables'!H$3/10000</f>
        <v>24.275175464839208</v>
      </c>
      <c r="V61" s="46">
        <f>44.011*(U61/(12.011+1.008*'Tier 3 CO2 Tables'!B$6+16*'Tier 3 CO2 Tables'!C$6))</f>
        <v>75.730224713916613</v>
      </c>
      <c r="W61" s="46">
        <f>I61*'T3 Methane'!D$13</f>
        <v>13393200.256463012</v>
      </c>
      <c r="X61" s="46" cm="1">
        <f t="array" ref="X61">_xlfn.IFS(E61='Euro Age Table'!C$5,'Euro Age Table'!G$5,E61='Euro Age Table'!C$6,'Euro Age Table'!G$6,E61='Euro Age Table'!C$7,'Euro Age Table'!G$7,E61='Euro Age Table'!C$8,'Euro Age Table'!G$8,E61='Euro Age Table'!C$9,'Euro Age Table'!G$9,E61='Euro Age Table'!C$10,'Euro Age Table'!G$10,E61='Euro Age Table'!C$11,'Euro Age Table'!G$11)</f>
        <v>16</v>
      </c>
      <c r="Y61" s="46">
        <f>X61*'Eilat Car Data'!F$15</f>
        <v>234648.22559336704</v>
      </c>
      <c r="Z61" s="46">
        <f>'T3 N2O PC-Diesel LPG'!B12</f>
        <v>5</v>
      </c>
      <c r="AA61" s="124">
        <f t="shared" si="3"/>
        <v>837075.01602893823</v>
      </c>
    </row>
    <row r="62" spans="1:27" ht="12.5">
      <c r="A62" s="48" t="s">
        <v>51</v>
      </c>
      <c r="B62" s="49" t="s">
        <v>23</v>
      </c>
      <c r="C62" s="49" t="s">
        <v>52</v>
      </c>
      <c r="D62" s="49" t="s">
        <v>62</v>
      </c>
      <c r="E62" s="50" t="s">
        <v>58</v>
      </c>
      <c r="F62" s="97">
        <v>1.9420504915697288E-3</v>
      </c>
      <c r="G62" s="99">
        <f t="shared" si="0"/>
        <v>52.019764467186754</v>
      </c>
      <c r="H62" s="46"/>
      <c r="I62" s="46">
        <f>G62*'Eilat Car Data'!F$15</f>
        <v>762896.58925064106</v>
      </c>
      <c r="J62" s="46">
        <f>I62*'Tier 1 Coefficients'!I$5</f>
        <v>43866553.881911859</v>
      </c>
      <c r="K62" s="46">
        <f t="shared" si="1"/>
        <v>43866.553881911859</v>
      </c>
      <c r="L62" s="46">
        <f>K62*'Tier 1 Coefficients'!D$5</f>
        <v>132652.45893890146</v>
      </c>
      <c r="M62" s="46">
        <f>K62*'Tier 1 Coefficients'!C$18</f>
        <v>387780.33631610085</v>
      </c>
      <c r="N62" s="46">
        <f>K62*'Tier 1 Coefficients'!C$42</f>
        <v>3904.1232954901552</v>
      </c>
      <c r="O62" s="46">
        <f>I62*'Tier 2 FC'!D$15</f>
        <v>43485105.587286539</v>
      </c>
      <c r="P62" s="46">
        <f t="shared" si="2"/>
        <v>43485.10558728654</v>
      </c>
      <c r="Q62" s="46">
        <f>P62*'Tier 1 Coefficients'!D$5</f>
        <v>131498.9592959545</v>
      </c>
      <c r="R62" s="46">
        <f>$I62*'T2 PC'!C75</f>
        <v>3051.5863570025645</v>
      </c>
      <c r="S62" s="46">
        <f>$I62*'T2 PC'!D75</f>
        <v>303632.84252175514</v>
      </c>
      <c r="T62" s="46">
        <f>44.011*(P62/(12.011+1.008*'Tier 3 CO2 Tables'!B$5+16*'Tier 3 CO2 Tables'!C$5))</f>
        <v>131478.2004920287</v>
      </c>
      <c r="U62" s="46">
        <f>I62*'Tier 3 CO2 Tables'!H$3/10000</f>
        <v>110.62000544134294</v>
      </c>
      <c r="V62" s="46">
        <f>44.011*(U62/(12.011+1.008*'Tier 3 CO2 Tables'!B$6+16*'Tier 3 CO2 Tables'!C$6))</f>
        <v>345.09649094242161</v>
      </c>
      <c r="W62" s="46">
        <f>I62*'T3 Methane'!D$13</f>
        <v>61031727.140051283</v>
      </c>
      <c r="X62" s="46" cm="1">
        <f t="array" ref="X62">_xlfn.IFS(E62='Euro Age Table'!C$5,'Euro Age Table'!G$5,E62='Euro Age Table'!C$6,'Euro Age Table'!G$6,E62='Euro Age Table'!C$7,'Euro Age Table'!G$7,E62='Euro Age Table'!C$8,'Euro Age Table'!G$8,E62='Euro Age Table'!C$9,'Euro Age Table'!G$9,E62='Euro Age Table'!C$10,'Euro Age Table'!G$10,E62='Euro Age Table'!C$11,'Euro Age Table'!G$11)</f>
        <v>13</v>
      </c>
      <c r="Y62" s="46">
        <f>X62*'Eilat Car Data'!F$15</f>
        <v>190651.68329461073</v>
      </c>
      <c r="Z62" s="46">
        <f>'T3 N2O PC-Diesel LPG'!B13</f>
        <v>5</v>
      </c>
      <c r="AA62" s="124">
        <f t="shared" si="3"/>
        <v>3814482.9462532052</v>
      </c>
    </row>
    <row r="63" spans="1:27" ht="12.5">
      <c r="A63" s="48" t="s">
        <v>51</v>
      </c>
      <c r="B63" s="49" t="s">
        <v>23</v>
      </c>
      <c r="C63" s="49" t="s">
        <v>52</v>
      </c>
      <c r="D63" s="49" t="s">
        <v>62</v>
      </c>
      <c r="E63" s="50" t="s">
        <v>59</v>
      </c>
      <c r="F63" s="97">
        <v>5.1652442393582316E-4</v>
      </c>
      <c r="G63" s="99">
        <f t="shared" si="0"/>
        <v>13.83562321954496</v>
      </c>
      <c r="H63" s="46"/>
      <c r="I63" s="46">
        <f>G63*'Eilat Car Data'!F$15</f>
        <v>202906.52740278831</v>
      </c>
      <c r="J63" s="46">
        <f>I63*'Tier 1 Coefficients'!I$5</f>
        <v>11667125.325660327</v>
      </c>
      <c r="K63" s="46">
        <f t="shared" si="1"/>
        <v>11667.125325660327</v>
      </c>
      <c r="L63" s="46">
        <f>K63*'Tier 1 Coefficients'!D$5</f>
        <v>35281.386984796831</v>
      </c>
      <c r="M63" s="46">
        <f>K63*'Tier 1 Coefficients'!C$18</f>
        <v>103137.38787883728</v>
      </c>
      <c r="N63" s="46">
        <f>K63*'Tier 1 Coefficients'!C$42</f>
        <v>1038.374153983769</v>
      </c>
      <c r="O63" s="46">
        <f>I63*'Tier 2 FC'!D$15</f>
        <v>11565672.061958933</v>
      </c>
      <c r="P63" s="46">
        <f t="shared" si="2"/>
        <v>11565.672061958934</v>
      </c>
      <c r="Q63" s="46">
        <f>P63*'Tier 1 Coefficients'!D$5</f>
        <v>34974.592315363814</v>
      </c>
      <c r="R63" s="46">
        <f>$I63*'T2 PC'!C76</f>
        <v>811.62610961115331</v>
      </c>
      <c r="S63" s="46">
        <f>$I63*'T2 PC'!D76</f>
        <v>80756.797906309759</v>
      </c>
      <c r="T63" s="46">
        <f>44.011*(P63/(12.011+1.008*'Tier 3 CO2 Tables'!B$5+16*'Tier 3 CO2 Tables'!C$5))</f>
        <v>34969.071125628579</v>
      </c>
      <c r="U63" s="46">
        <f>I63*'Tier 3 CO2 Tables'!H$3/10000</f>
        <v>29.421446473404306</v>
      </c>
      <c r="V63" s="46">
        <f>44.011*(U63/(12.011+1.008*'Tier 3 CO2 Tables'!B$6+16*'Tier 3 CO2 Tables'!C$6))</f>
        <v>91.784825863220007</v>
      </c>
      <c r="W63" s="46">
        <f>I63*'T3 Methane'!D$13</f>
        <v>16232522.192223065</v>
      </c>
      <c r="X63" s="46" cm="1">
        <f t="array" ref="X63">_xlfn.IFS(E63='Euro Age Table'!C$5,'Euro Age Table'!G$5,E63='Euro Age Table'!C$6,'Euro Age Table'!G$6,E63='Euro Age Table'!C$7,'Euro Age Table'!G$7,E63='Euro Age Table'!C$8,'Euro Age Table'!G$8,E63='Euro Age Table'!C$9,'Euro Age Table'!G$9,E63='Euro Age Table'!C$10,'Euro Age Table'!G$10,E63='Euro Age Table'!C$11,'Euro Age Table'!G$11)</f>
        <v>9</v>
      </c>
      <c r="Y63" s="46">
        <f>X63*'Eilat Car Data'!F$15</f>
        <v>131989.62689626895</v>
      </c>
      <c r="Z63" s="46">
        <f>'T3 N2O PC-Diesel LPG'!B14</f>
        <v>2.1</v>
      </c>
      <c r="AA63" s="124">
        <f t="shared" si="3"/>
        <v>426103.70754585549</v>
      </c>
    </row>
    <row r="64" spans="1:27" ht="12.5">
      <c r="A64" s="48" t="s">
        <v>51</v>
      </c>
      <c r="B64" s="51" t="s">
        <v>23</v>
      </c>
      <c r="C64" s="49" t="s">
        <v>52</v>
      </c>
      <c r="D64" s="49" t="s">
        <v>62</v>
      </c>
      <c r="E64" s="51" t="s">
        <v>60</v>
      </c>
      <c r="F64" s="97">
        <v>3.2827480261388088E-5</v>
      </c>
      <c r="G64" s="99">
        <f t="shared" si="0"/>
        <v>0.87931688628154137</v>
      </c>
      <c r="H64" s="46"/>
      <c r="I64" s="46">
        <f>G64*'Eilat Car Data'!F$15</f>
        <v>12895.634193765512</v>
      </c>
      <c r="J64" s="46">
        <f>I64*'Tier 1 Coefficients'!I$5</f>
        <v>741498.96614151692</v>
      </c>
      <c r="K64" s="46">
        <f t="shared" si="1"/>
        <v>741.49896614151692</v>
      </c>
      <c r="L64" s="46">
        <f>K64*'Tier 1 Coefficients'!D$5</f>
        <v>2242.292873611947</v>
      </c>
      <c r="M64" s="46">
        <f>K64*'Tier 1 Coefficients'!C$18</f>
        <v>6554.8508606910091</v>
      </c>
      <c r="N64" s="46">
        <f>K64*'Tier 1 Coefficients'!C$42</f>
        <v>65.993407986595003</v>
      </c>
      <c r="O64" s="46">
        <f>I64*'Tier 2 FC'!D$15</f>
        <v>735051.14904463419</v>
      </c>
      <c r="P64" s="46">
        <f t="shared" si="2"/>
        <v>735.05114904463414</v>
      </c>
      <c r="Q64" s="46">
        <f>P64*'Tier 1 Coefficients'!D$5</f>
        <v>2222.7946747109736</v>
      </c>
      <c r="R64" s="46">
        <f>$I64*'T2 PC'!C77</f>
        <v>51.582536775062053</v>
      </c>
      <c r="S64" s="46">
        <f>$I64*'T2 PC'!D77</f>
        <v>5132.4624091186743</v>
      </c>
      <c r="T64" s="46">
        <f>44.011*(P64/(12.011+1.008*'Tier 3 CO2 Tables'!B$5+16*'Tier 3 CO2 Tables'!C$5))</f>
        <v>2222.4437779505229</v>
      </c>
      <c r="U64" s="46">
        <f>I64*'Tier 3 CO2 Tables'!H$4/10000</f>
        <v>1.6506411768019857</v>
      </c>
      <c r="V64" s="46">
        <f>44.011*(U64/(12.011+1.008*'Tier 3 CO2 Tables'!B$6+16*'Tier 3 CO2 Tables'!C$6))</f>
        <v>5.1494345498065019</v>
      </c>
      <c r="W64" s="46">
        <f>I64*'T3 Methane'!D$13</f>
        <v>1031650.7355012409</v>
      </c>
      <c r="X64" s="46" cm="1">
        <f t="array" ref="X64">_xlfn.IFS(E64='Euro Age Table'!C$5,'Euro Age Table'!G$5,E64='Euro Age Table'!C$6,'Euro Age Table'!G$6,E64='Euro Age Table'!C$7,'Euro Age Table'!G$7,E64='Euro Age Table'!C$8,'Euro Age Table'!G$8,E64='Euro Age Table'!C$9,'Euro Age Table'!G$9,E64='Euro Age Table'!C$10,'Euro Age Table'!G$10,E64='Euro Age Table'!C$11,'Euro Age Table'!G$11)</f>
        <v>3</v>
      </c>
      <c r="Y64" s="46">
        <f>X64*'Eilat Car Data'!F$15</f>
        <v>43996.542298756322</v>
      </c>
      <c r="Z64" s="46">
        <f>'T3 N2O PC-Diesel LPG'!B15</f>
        <v>2.1</v>
      </c>
      <c r="AA64" s="124">
        <f t="shared" si="3"/>
        <v>27080.831806907576</v>
      </c>
    </row>
    <row r="65" spans="1:27" ht="12.5">
      <c r="A65" s="48" t="s">
        <v>51</v>
      </c>
      <c r="B65" s="49" t="s">
        <v>63</v>
      </c>
      <c r="C65" s="49" t="s">
        <v>52</v>
      </c>
      <c r="D65" s="52" t="s">
        <v>53</v>
      </c>
      <c r="E65" s="50" t="s">
        <v>57</v>
      </c>
      <c r="F65" s="97">
        <v>0</v>
      </c>
      <c r="G65" s="99">
        <f t="shared" si="0"/>
        <v>0</v>
      </c>
      <c r="H65" s="76" t="s">
        <v>167</v>
      </c>
      <c r="I65" s="46">
        <f>G65*'Eilat Car Data'!F$15</f>
        <v>0</v>
      </c>
      <c r="J65" s="46">
        <f>I65*'Tier 1 Coefficients'!I$3</f>
        <v>0</v>
      </c>
      <c r="K65" s="46">
        <f t="shared" si="1"/>
        <v>0</v>
      </c>
      <c r="L65" s="46">
        <f>K65*'Tier 1 Coefficients'!D$3</f>
        <v>0</v>
      </c>
      <c r="M65" s="46">
        <f>K65*'Tier 1 Coefficients'!C$16</f>
        <v>0</v>
      </c>
      <c r="N65" s="46">
        <f>K65*'Tier 1 Coefficients'!C$40</f>
        <v>0</v>
      </c>
      <c r="O65" s="46">
        <f>I65*'Tier 2 FC'!D$17</f>
        <v>0</v>
      </c>
      <c r="P65" s="46">
        <f t="shared" si="2"/>
        <v>0</v>
      </c>
      <c r="Q65" s="46">
        <f>P65*'Tier 1 Coefficients'!D$3</f>
        <v>0</v>
      </c>
      <c r="R65" s="46">
        <f>$I65*'T2 PC'!C$79</f>
        <v>0</v>
      </c>
      <c r="S65" s="46">
        <f>$I65*'T2 PC'!D$79</f>
        <v>0</v>
      </c>
      <c r="T65" s="46">
        <f>44.011*(P65/(12.011+1.008*'Tier 3 CO2 Tables'!B$3+16*'Tier 3 CO2 Tables'!C$3))</f>
        <v>0</v>
      </c>
      <c r="U65" s="46">
        <f>I65*'Tier 3 CO2 Tables'!H$3/10000</f>
        <v>0</v>
      </c>
      <c r="V65" s="46">
        <f>44.011*(U65/(12.011+1.008*'Tier 3 CO2 Tables'!B$6+16*'Tier 3 CO2 Tables'!C$6))</f>
        <v>0</v>
      </c>
      <c r="W65" s="46">
        <f>I65*'T3 Methane'!D5</f>
        <v>0</v>
      </c>
      <c r="X65" s="46" cm="1">
        <f t="array" ref="X65">_xlfn.IFS(E65='Euro Age Table'!C$5,'Euro Age Table'!G$5,E65='Euro Age Table'!C$6,'Euro Age Table'!G$6,E65='Euro Age Table'!C$7,'Euro Age Table'!G$7,E65='Euro Age Table'!C$8,'Euro Age Table'!G$8,E65='Euro Age Table'!C$9,'Euro Age Table'!G$9,E65='Euro Age Table'!C$10,'Euro Age Table'!G$10,E65='Euro Age Table'!C$11,'Euro Age Table'!G$11)</f>
        <v>16</v>
      </c>
      <c r="Y65" s="46">
        <f>X65*'Eilat Car Data'!F$15</f>
        <v>234648.22559336704</v>
      </c>
      <c r="Z65" s="121">
        <f>('T3 N2O PC-Petrol'!D5*Y65+'T3 N2O PC-Petrol'!E5)*'T3 N2O PC-Petrol'!C5</f>
        <v>1.642028982552048</v>
      </c>
      <c r="AA65" s="124">
        <f t="shared" si="3"/>
        <v>0</v>
      </c>
    </row>
    <row r="66" spans="1:27" ht="12.5">
      <c r="A66" s="48" t="s">
        <v>51</v>
      </c>
      <c r="B66" s="49" t="s">
        <v>63</v>
      </c>
      <c r="C66" s="49" t="s">
        <v>52</v>
      </c>
      <c r="D66" s="49" t="s">
        <v>53</v>
      </c>
      <c r="E66" s="50" t="s">
        <v>58</v>
      </c>
      <c r="F66" s="97">
        <v>8.3201684485500419E-4</v>
      </c>
      <c r="G66" s="99">
        <f t="shared" si="0"/>
        <v>22.286403206286142</v>
      </c>
      <c r="H66" s="46"/>
      <c r="I66" s="46">
        <f>G66*'Eilat Car Data'!F$15</f>
        <v>326841.56045083556</v>
      </c>
      <c r="J66" s="46">
        <f>I66*'Tier 1 Coefficients'!I$3</f>
        <v>22878909.231558491</v>
      </c>
      <c r="K66" s="46">
        <f t="shared" si="1"/>
        <v>22878.909231558489</v>
      </c>
      <c r="L66" s="46">
        <f>K66*'Tier 1 Coefficients'!D$3</f>
        <v>72503.263354808849</v>
      </c>
      <c r="M66" s="46">
        <f>K66*'Tier 1 Coefficients'!C$16</f>
        <v>202249.55760697703</v>
      </c>
      <c r="N66" s="46">
        <f>K66*'Tier 1 Coefficients'!C$40</f>
        <v>4713.0553017010488</v>
      </c>
      <c r="O66" s="46">
        <f>I66*'Tier 2 FC'!D$17</f>
        <v>11112613.055328408</v>
      </c>
      <c r="P66" s="46">
        <f t="shared" si="2"/>
        <v>11112.613055328407</v>
      </c>
      <c r="Q66" s="46">
        <f>P66*'Tier 1 Coefficients'!D$3</f>
        <v>35215.870772335722</v>
      </c>
      <c r="R66" s="46">
        <f>$I66*'T2 PC'!C$79</f>
        <v>65.368312090167109</v>
      </c>
      <c r="S66" s="46">
        <f>$I66*'T2 PC'!D$79</f>
        <v>130082.94105943256</v>
      </c>
      <c r="T66" s="46">
        <f>44.011*(P66/(12.011+1.008*'Tier 3 CO2 Tables'!B$3+16*'Tier 3 CO2 Tables'!C$3))</f>
        <v>35221.189667349754</v>
      </c>
      <c r="U66" s="46">
        <f>I66*'Tier 3 CO2 Tables'!H$3/10000</f>
        <v>47.392026265371157</v>
      </c>
      <c r="V66" s="46">
        <f>44.011*(U66/(12.011+1.008*'Tier 3 CO2 Tables'!B$6+16*'Tier 3 CO2 Tables'!C$6))</f>
        <v>147.84687360644659</v>
      </c>
      <c r="W66" s="46">
        <f>I66*'T3 Methane'!D$6</f>
        <v>938035.27849389811</v>
      </c>
      <c r="X66" s="46" cm="1">
        <f t="array" ref="X66">_xlfn.IFS(E66='Euro Age Table'!C$5,'Euro Age Table'!G$5,E66='Euro Age Table'!C$6,'Euro Age Table'!G$6,E66='Euro Age Table'!C$7,'Euro Age Table'!G$7,E66='Euro Age Table'!C$8,'Euro Age Table'!G$8,E66='Euro Age Table'!C$9,'Euro Age Table'!G$9,E66='Euro Age Table'!C$10,'Euro Age Table'!G$10,E66='Euro Age Table'!C$11,'Euro Age Table'!G$11)</f>
        <v>13</v>
      </c>
      <c r="Y66" s="46">
        <f>X66*'Eilat Car Data'!F$15</f>
        <v>190651.68329461073</v>
      </c>
      <c r="Z66" s="121">
        <f>('T3 N2O PC-Petrol'!D6*Y66+'T3 N2O PC-Petrol'!E6)*'T3 N2O PC-Petrol'!C6</f>
        <v>2.0083394490497017</v>
      </c>
      <c r="AA66" s="124">
        <f t="shared" si="3"/>
        <v>656408.79944237589</v>
      </c>
    </row>
    <row r="67" spans="1:27" ht="12.5">
      <c r="A67" s="48" t="s">
        <v>51</v>
      </c>
      <c r="B67" s="49" t="s">
        <v>63</v>
      </c>
      <c r="C67" s="49" t="s">
        <v>52</v>
      </c>
      <c r="D67" s="49" t="s">
        <v>53</v>
      </c>
      <c r="E67" s="50" t="s">
        <v>59</v>
      </c>
      <c r="F67" s="97">
        <v>2.7319435785671995E-3</v>
      </c>
      <c r="G67" s="99">
        <f t="shared" si="0"/>
        <v>73.177840695501004</v>
      </c>
      <c r="H67" s="46"/>
      <c r="I67" s="46">
        <f>G67*'Eilat Car Data'!F$15</f>
        <v>1073190.6544970872</v>
      </c>
      <c r="J67" s="46">
        <f>I67*'Tier 1 Coefficients'!I$3</f>
        <v>75123345.814796105</v>
      </c>
      <c r="K67" s="46">
        <f t="shared" si="1"/>
        <v>75123.345814796106</v>
      </c>
      <c r="L67" s="46">
        <f>K67*'Tier 1 Coefficients'!D$3</f>
        <v>238065.88288708887</v>
      </c>
      <c r="M67" s="46">
        <f>K67*'Tier 1 Coefficients'!C$16</f>
        <v>664090.37700279756</v>
      </c>
      <c r="N67" s="46">
        <f>K67*'Tier 1 Coefficients'!C$40</f>
        <v>15475.409237847996</v>
      </c>
      <c r="O67" s="46">
        <f>I67*'Tier 2 FC'!D$17</f>
        <v>36488482.252900966</v>
      </c>
      <c r="P67" s="46">
        <f t="shared" si="2"/>
        <v>36488.482252900969</v>
      </c>
      <c r="Q67" s="46">
        <f>P67*'Tier 1 Coefficients'!D$3</f>
        <v>115632.00025944317</v>
      </c>
      <c r="R67" s="46">
        <f>$I67*'T2 PC'!C$79</f>
        <v>214.63813089941746</v>
      </c>
      <c r="S67" s="46">
        <f>$I67*'T2 PC'!D$79</f>
        <v>427129.88048984075</v>
      </c>
      <c r="T67" s="46">
        <f>44.011*(P67/(12.011+1.008*'Tier 3 CO2 Tables'!B$3+16*'Tier 3 CO2 Tables'!C$3))</f>
        <v>115649.46495522247</v>
      </c>
      <c r="U67" s="46">
        <f>I67*'Tier 3 CO2 Tables'!H$3/10000</f>
        <v>155.61264490207765</v>
      </c>
      <c r="V67" s="46">
        <f>44.011*(U67/(12.011+1.008*'Tier 3 CO2 Tables'!B$6+16*'Tier 3 CO2 Tables'!C$6))</f>
        <v>485.45810034742453</v>
      </c>
      <c r="W67" s="46">
        <f>I67*'T3 Methane'!D$6</f>
        <v>3080057.1784066404</v>
      </c>
      <c r="X67" s="46" cm="1">
        <f t="array" ref="X67">_xlfn.IFS(E67='Euro Age Table'!C$5,'Euro Age Table'!G$5,E67='Euro Age Table'!C$6,'Euro Age Table'!G$6,E67='Euro Age Table'!C$7,'Euro Age Table'!G$7,E67='Euro Age Table'!C$8,'Euro Age Table'!G$8,E67='Euro Age Table'!C$9,'Euro Age Table'!G$9,E67='Euro Age Table'!C$10,'Euro Age Table'!G$10,E67='Euro Age Table'!C$11,'Euro Age Table'!G$11)</f>
        <v>9</v>
      </c>
      <c r="Y67" s="46">
        <f>X67*'Eilat Car Data'!F$15</f>
        <v>131989.62689626895</v>
      </c>
      <c r="Z67" s="121">
        <f>('T3 N2O PC-Petrol'!D7*Y67+'T3 N2O PC-Petrol'!E7)*'T3 N2O PC-Petrol'!C7</f>
        <v>2.3144349068634686</v>
      </c>
      <c r="AA67" s="124">
        <f t="shared" si="3"/>
        <v>2483829.9124877108</v>
      </c>
    </row>
    <row r="68" spans="1:27" ht="12.5">
      <c r="A68" s="48" t="s">
        <v>51</v>
      </c>
      <c r="B68" s="49" t="s">
        <v>63</v>
      </c>
      <c r="C68" s="49" t="s">
        <v>52</v>
      </c>
      <c r="D68" s="51" t="s">
        <v>53</v>
      </c>
      <c r="E68" s="51" t="s">
        <v>60</v>
      </c>
      <c r="F68" s="97">
        <v>8.5206194342169253E-4</v>
      </c>
      <c r="G68" s="99">
        <f t="shared" si="0"/>
        <v>22.823331216493457</v>
      </c>
      <c r="H68" s="46"/>
      <c r="I68" s="46">
        <f>G68*'Eilat Car Data'!F$15</f>
        <v>334715.8857549933</v>
      </c>
      <c r="J68" s="46">
        <f>I68*'Tier 1 Coefficients'!I$3</f>
        <v>23430112.00284953</v>
      </c>
      <c r="K68" s="46">
        <f t="shared" ref="K68:K131" si="4">J68/1000</f>
        <v>23430.112002849532</v>
      </c>
      <c r="L68" s="46">
        <f>K68*'Tier 1 Coefficients'!D$3</f>
        <v>74250.024937030161</v>
      </c>
      <c r="M68" s="46">
        <f>K68*'Tier 1 Coefficients'!C$16</f>
        <v>207122.19010518986</v>
      </c>
      <c r="N68" s="46">
        <f>K68*'Tier 1 Coefficients'!C$40</f>
        <v>4826.6030725870032</v>
      </c>
      <c r="O68" s="46">
        <f>I68*'Tier 2 FC'!D$17</f>
        <v>11380340.115669772</v>
      </c>
      <c r="P68" s="46">
        <f t="shared" ref="P68:P131" si="5">O68/1000</f>
        <v>11380.340115669773</v>
      </c>
      <c r="Q68" s="46">
        <f>P68*'Tier 1 Coefficients'!D$3</f>
        <v>36064.297826557508</v>
      </c>
      <c r="R68" s="46">
        <f>$I68*'T2 PC'!C$79</f>
        <v>66.943177150998665</v>
      </c>
      <c r="S68" s="46">
        <f>$I68*'T2 PC'!D$79</f>
        <v>133216.92253048735</v>
      </c>
      <c r="T68" s="46">
        <f>44.011*(P68/(12.011+1.008*'Tier 3 CO2 Tables'!B$3+16*'Tier 3 CO2 Tables'!C$3))</f>
        <v>36069.744865341083</v>
      </c>
      <c r="U68" s="46">
        <f>I68*'Tier 3 CO2 Tables'!H$4/10000</f>
        <v>42.843633376639147</v>
      </c>
      <c r="V68" s="46">
        <f>44.011*(U68/(12.011+1.008*'Tier 3 CO2 Tables'!B$6+16*'Tier 3 CO2 Tables'!C$6))</f>
        <v>133.65744720869441</v>
      </c>
      <c r="W68" s="46">
        <f>I68*'T3 Methane'!D$6</f>
        <v>960634.59211683075</v>
      </c>
      <c r="X68" s="46" cm="1">
        <f t="array" ref="X68">_xlfn.IFS(E68='Euro Age Table'!C$5,'Euro Age Table'!G$5,E68='Euro Age Table'!C$6,'Euro Age Table'!G$6,E68='Euro Age Table'!C$7,'Euro Age Table'!G$7,E68='Euro Age Table'!C$8,'Euro Age Table'!G$8,E68='Euro Age Table'!C$9,'Euro Age Table'!G$9,E68='Euro Age Table'!C$10,'Euro Age Table'!G$10,E68='Euro Age Table'!C$11,'Euro Age Table'!G$11)</f>
        <v>3</v>
      </c>
      <c r="Y68" s="46">
        <f>X68*'Eilat Car Data'!F$15</f>
        <v>43996.542298756322</v>
      </c>
      <c r="Z68" s="121">
        <f>('T3 N2O PC-Petrol'!D8*Y68+'T3 N2O PC-Petrol'!E8)*'T3 N2O PC-Petrol'!C8</f>
        <v>2.149078302287823</v>
      </c>
      <c r="AA68" s="124">
        <f t="shared" ref="AA68:AA131" si="6">Z68*I68</f>
        <v>719330.64750710595</v>
      </c>
    </row>
    <row r="69" spans="1:27" ht="12.5">
      <c r="A69" s="48" t="s">
        <v>51</v>
      </c>
      <c r="B69" s="49" t="s">
        <v>63</v>
      </c>
      <c r="C69" s="49" t="s">
        <v>52</v>
      </c>
      <c r="D69" s="49" t="s">
        <v>61</v>
      </c>
      <c r="E69" s="50" t="s">
        <v>57</v>
      </c>
      <c r="F69" s="97">
        <v>1.0458312295663461E-5</v>
      </c>
      <c r="G69" s="99">
        <f t="shared" si="0"/>
        <v>0.28013635315164148</v>
      </c>
      <c r="H69" s="76" t="s">
        <v>167</v>
      </c>
      <c r="I69" s="46">
        <f>G69*'Eilat Car Data'!F$15</f>
        <v>4108.343636951844</v>
      </c>
      <c r="J69" s="46">
        <f>I69*'Tier 1 Coefficients'!I$3</f>
        <v>287584.05458662909</v>
      </c>
      <c r="K69" s="46">
        <f t="shared" si="4"/>
        <v>287.58405458662907</v>
      </c>
      <c r="L69" s="46">
        <f>K69*'Tier 1 Coefficients'!D$3</f>
        <v>911.35386898502747</v>
      </c>
      <c r="M69" s="46">
        <f>K69*'Tier 1 Coefficients'!C$16</f>
        <v>2542.243042545801</v>
      </c>
      <c r="N69" s="46">
        <f>K69*'Tier 1 Coefficients'!C$40</f>
        <v>59.242315244845585</v>
      </c>
      <c r="O69" s="46">
        <f>I69*'Tier 2 FC'!D$18</f>
        <v>139683.6836563627</v>
      </c>
      <c r="P69" s="46">
        <f t="shared" si="5"/>
        <v>139.68368365636269</v>
      </c>
      <c r="Q69" s="46">
        <f>P69*'Tier 1 Coefficients'!D$3</f>
        <v>442.65759350701336</v>
      </c>
      <c r="R69" s="46">
        <f>$I69*'T2 PC'!C$80</f>
        <v>0.82166872739036889</v>
      </c>
      <c r="S69" s="46">
        <f>$I69*'T2 PC'!D$80</f>
        <v>1635.120767506834</v>
      </c>
      <c r="T69" s="46">
        <f>44.011*(P69/(12.011+1.008*'Tier 3 CO2 Tables'!B$3+16*'Tier 3 CO2 Tables'!C$3))</f>
        <v>442.72445112590481</v>
      </c>
      <c r="U69" s="46">
        <f>I69*'Tier 3 CO2 Tables'!H$3/10000</f>
        <v>0.59570982735801736</v>
      </c>
      <c r="V69" s="46">
        <f>44.011*(U69/(12.011+1.008*'Tier 3 CO2 Tables'!B$6+16*'Tier 3 CO2 Tables'!C$6))</f>
        <v>1.8584104224274012</v>
      </c>
      <c r="W69" s="46">
        <f>I69*'T3 Methane'!D$5</f>
        <v>12325.030910855532</v>
      </c>
      <c r="X69" s="46" cm="1">
        <f t="array" ref="X69">_xlfn.IFS(E69='Euro Age Table'!C$5,'Euro Age Table'!G$5,E69='Euro Age Table'!C$6,'Euro Age Table'!G$6,E69='Euro Age Table'!C$7,'Euro Age Table'!G$7,E69='Euro Age Table'!C$8,'Euro Age Table'!G$8,E69='Euro Age Table'!C$9,'Euro Age Table'!G$9,E69='Euro Age Table'!C$10,'Euro Age Table'!G$10,E69='Euro Age Table'!C$11,'Euro Age Table'!G$11)</f>
        <v>16</v>
      </c>
      <c r="Y69" s="46">
        <f>X69*'Eilat Car Data'!F$15</f>
        <v>234648.22559336704</v>
      </c>
      <c r="Z69" s="121">
        <f>('T3 N2O PC-Petrol'!D5*Y69+'T3 N2O PC-Petrol'!E5)*'T3 N2O PC-Petrol'!C5</f>
        <v>1.642028982552048</v>
      </c>
      <c r="AA69" s="124">
        <f t="shared" si="6"/>
        <v>6746.0193221582167</v>
      </c>
    </row>
    <row r="70" spans="1:27" ht="12.5">
      <c r="A70" s="48" t="s">
        <v>51</v>
      </c>
      <c r="B70" s="49" t="s">
        <v>63</v>
      </c>
      <c r="C70" s="49" t="s">
        <v>52</v>
      </c>
      <c r="D70" s="49" t="s">
        <v>61</v>
      </c>
      <c r="E70" s="50" t="s">
        <v>58</v>
      </c>
      <c r="F70" s="97">
        <v>1.7372418757796526E-3</v>
      </c>
      <c r="G70" s="99">
        <f t="shared" si="0"/>
        <v>46.533760884633772</v>
      </c>
      <c r="H70" s="46"/>
      <c r="I70" s="46">
        <f>G70*'Eilat Car Data'!F$15</f>
        <v>682441.52636033401</v>
      </c>
      <c r="J70" s="46">
        <f>I70*'Tier 1 Coefficients'!I$3</f>
        <v>47770906.845223382</v>
      </c>
      <c r="K70" s="46">
        <f t="shared" si="4"/>
        <v>47770.906845223384</v>
      </c>
      <c r="L70" s="46">
        <f>K70*'Tier 1 Coefficients'!D$3</f>
        <v>151386.0037925129</v>
      </c>
      <c r="M70" s="46">
        <f>K70*'Tier 1 Coefficients'!C$16</f>
        <v>422294.81651177473</v>
      </c>
      <c r="N70" s="46">
        <f>K70*'Tier 1 Coefficients'!C$40</f>
        <v>9840.806810116017</v>
      </c>
      <c r="O70" s="46">
        <f>I70*'Tier 2 FC'!D$18</f>
        <v>23203011.896251358</v>
      </c>
      <c r="P70" s="46">
        <f t="shared" si="5"/>
        <v>23203.011896251359</v>
      </c>
      <c r="Q70" s="46">
        <f>P70*'Tier 1 Coefficients'!D$3</f>
        <v>73530.344699220557</v>
      </c>
      <c r="R70" s="46">
        <f>$I70*'T2 PC'!C$80</f>
        <v>136.48830527206681</v>
      </c>
      <c r="S70" s="46">
        <f>$I70*'T2 PC'!D$80</f>
        <v>271611.72749141295</v>
      </c>
      <c r="T70" s="46">
        <f>44.011*(P70/(12.011+1.008*'Tier 3 CO2 Tables'!B$3+16*'Tier 3 CO2 Tables'!C$3))</f>
        <v>73541.450492580843</v>
      </c>
      <c r="U70" s="46">
        <f>I70*'Tier 3 CO2 Tables'!H$3/10000</f>
        <v>98.954021322248437</v>
      </c>
      <c r="V70" s="46">
        <f>44.011*(U70/(12.011+1.008*'Tier 3 CO2 Tables'!B$6+16*'Tier 3 CO2 Tables'!C$6))</f>
        <v>308.70262016988499</v>
      </c>
      <c r="W70" s="46">
        <f>I70*'T3 Methane'!D$6</f>
        <v>1958607.1806541586</v>
      </c>
      <c r="X70" s="46" cm="1">
        <f t="array" ref="X70">_xlfn.IFS(E70='Euro Age Table'!C$5,'Euro Age Table'!G$5,E70='Euro Age Table'!C$6,'Euro Age Table'!G$6,E70='Euro Age Table'!C$7,'Euro Age Table'!G$7,E70='Euro Age Table'!C$8,'Euro Age Table'!G$8,E70='Euro Age Table'!C$9,'Euro Age Table'!G$9,E70='Euro Age Table'!C$10,'Euro Age Table'!G$10,E70='Euro Age Table'!C$11,'Euro Age Table'!G$11)</f>
        <v>13</v>
      </c>
      <c r="Y70" s="46">
        <f>X70*'Eilat Car Data'!F$15</f>
        <v>190651.68329461073</v>
      </c>
      <c r="Z70" s="121">
        <f>('T3 N2O PC-Petrol'!D6*Y70+'T3 N2O PC-Petrol'!E6)*'T3 N2O PC-Petrol'!C6</f>
        <v>2.0083394490497017</v>
      </c>
      <c r="AA70" s="124">
        <f t="shared" si="6"/>
        <v>1370574.2390591507</v>
      </c>
    </row>
    <row r="71" spans="1:27" ht="12.5">
      <c r="A71" s="48" t="s">
        <v>51</v>
      </c>
      <c r="B71" s="49" t="s">
        <v>63</v>
      </c>
      <c r="C71" s="49" t="s">
        <v>52</v>
      </c>
      <c r="D71" s="49" t="s">
        <v>61</v>
      </c>
      <c r="E71" s="50" t="s">
        <v>59</v>
      </c>
      <c r="F71" s="97">
        <v>7.800448429190544E-3</v>
      </c>
      <c r="G71" s="99">
        <f t="shared" si="0"/>
        <v>208.94281162429792</v>
      </c>
      <c r="H71" s="46"/>
      <c r="I71" s="46">
        <f>G71*'Eilat Car Data'!F$15</f>
        <v>3064253.7498831656</v>
      </c>
      <c r="J71" s="46">
        <f>I71*'Tier 1 Coefficients'!I$3</f>
        <v>214497762.49182159</v>
      </c>
      <c r="K71" s="46">
        <f t="shared" si="4"/>
        <v>214497.76249182157</v>
      </c>
      <c r="L71" s="46">
        <f>K71*'Tier 1 Coefficients'!D$3</f>
        <v>679743.40933658252</v>
      </c>
      <c r="M71" s="46">
        <f>K71*'Tier 1 Coefficients'!C$16</f>
        <v>1896160.2204277026</v>
      </c>
      <c r="N71" s="46">
        <f>K71*'Tier 1 Coefficients'!C$40</f>
        <v>44186.539073315238</v>
      </c>
      <c r="O71" s="46">
        <f>I71*'Tier 2 FC'!D$18</f>
        <v>104184627.49602763</v>
      </c>
      <c r="P71" s="46">
        <f t="shared" si="5"/>
        <v>104184.62749602764</v>
      </c>
      <c r="Q71" s="46">
        <f>P71*'Tier 1 Coefficients'!D$3</f>
        <v>330161.08453491156</v>
      </c>
      <c r="R71" s="46">
        <f>$I71*'T2 PC'!C$80</f>
        <v>612.8507499766331</v>
      </c>
      <c r="S71" s="46">
        <f>$I71*'T2 PC'!D$80</f>
        <v>1219572.9924534999</v>
      </c>
      <c r="T71" s="46">
        <f>44.011*(P71/(12.011+1.008*'Tier 3 CO2 Tables'!B$3+16*'Tier 3 CO2 Tables'!C$3))</f>
        <v>330210.95103282417</v>
      </c>
      <c r="U71" s="46">
        <f>I71*'Tier 3 CO2 Tables'!H$3/10000</f>
        <v>444.31679373305894</v>
      </c>
      <c r="V71" s="46">
        <f>44.011*(U71/(12.011+1.008*'Tier 3 CO2 Tables'!B$6+16*'Tier 3 CO2 Tables'!C$6))</f>
        <v>1386.1160625721707</v>
      </c>
      <c r="W71" s="46">
        <f>I71*'T3 Methane'!D$6</f>
        <v>8794408.2621646859</v>
      </c>
      <c r="X71" s="46" cm="1">
        <f t="array" ref="X71">_xlfn.IFS(E71='Euro Age Table'!C$5,'Euro Age Table'!G$5,E71='Euro Age Table'!C$6,'Euro Age Table'!G$6,E71='Euro Age Table'!C$7,'Euro Age Table'!G$7,E71='Euro Age Table'!C$8,'Euro Age Table'!G$8,E71='Euro Age Table'!C$9,'Euro Age Table'!G$9,E71='Euro Age Table'!C$10,'Euro Age Table'!G$10,E71='Euro Age Table'!C$11,'Euro Age Table'!G$11)</f>
        <v>9</v>
      </c>
      <c r="Y71" s="46">
        <f>X71*'Eilat Car Data'!F$15</f>
        <v>131989.62689626895</v>
      </c>
      <c r="Z71" s="121">
        <f>('T3 N2O PC-Petrol'!D7*Y71+'T3 N2O PC-Petrol'!E7)*'T3 N2O PC-Petrol'!C7</f>
        <v>2.3144349068634686</v>
      </c>
      <c r="AA71" s="124">
        <f t="shared" si="6"/>
        <v>7092015.8422168791</v>
      </c>
    </row>
    <row r="72" spans="1:27" ht="12.5">
      <c r="A72" s="48" t="s">
        <v>51</v>
      </c>
      <c r="B72" s="49" t="s">
        <v>63</v>
      </c>
      <c r="C72" s="49" t="s">
        <v>52</v>
      </c>
      <c r="D72" s="49" t="s">
        <v>61</v>
      </c>
      <c r="E72" s="51" t="s">
        <v>60</v>
      </c>
      <c r="F72" s="97">
        <v>5.5539157954795686E-2</v>
      </c>
      <c r="G72" s="99">
        <f t="shared" si="0"/>
        <v>1487.6718849771573</v>
      </c>
      <c r="H72" s="46"/>
      <c r="I72" s="46">
        <f>G72*'Eilat Car Data'!F$15</f>
        <v>21817473.004689351</v>
      </c>
      <c r="J72" s="46">
        <f>I72*'Tier 1 Coefficients'!I$3</f>
        <v>1527223110.3282545</v>
      </c>
      <c r="K72" s="46">
        <f t="shared" si="4"/>
        <v>1527223.1103282545</v>
      </c>
      <c r="L72" s="46">
        <f>K72*'Tier 1 Coefficients'!D$3</f>
        <v>4839770.0366302384</v>
      </c>
      <c r="M72" s="46">
        <f>K72*'Tier 1 Coefficients'!C$16</f>
        <v>13500652.295301769</v>
      </c>
      <c r="N72" s="46">
        <f>K72*'Tier 1 Coefficients'!C$40</f>
        <v>314607.9607276204</v>
      </c>
      <c r="O72" s="46">
        <f>I72*'Tier 2 FC'!D$18</f>
        <v>741794082.15943789</v>
      </c>
      <c r="P72" s="46">
        <f t="shared" si="5"/>
        <v>741794.08215943794</v>
      </c>
      <c r="Q72" s="46">
        <f>P72*'Tier 1 Coefficients'!D$3</f>
        <v>2350745.4463632586</v>
      </c>
      <c r="R72" s="46">
        <f>$I72*'T2 PC'!C$80</f>
        <v>4363.49460093787</v>
      </c>
      <c r="S72" s="46">
        <f>$I72*'T2 PC'!D$80</f>
        <v>8683354.2558663618</v>
      </c>
      <c r="T72" s="46">
        <f>44.011*(P72/(12.011+1.008*'Tier 3 CO2 Tables'!B$3+16*'Tier 3 CO2 Tables'!C$3))</f>
        <v>2351100.4956055377</v>
      </c>
      <c r="U72" s="46">
        <f>I72*'Tier 3 CO2 Tables'!H$4/10000</f>
        <v>2792.6365446002369</v>
      </c>
      <c r="V72" s="46">
        <f>44.011*(U72/(12.011+1.008*'Tier 3 CO2 Tables'!B$6+16*'Tier 3 CO2 Tables'!C$6))</f>
        <v>8712.0685645792655</v>
      </c>
      <c r="W72" s="46">
        <f>I72*'T3 Methane'!D$6</f>
        <v>62616147.523458436</v>
      </c>
      <c r="X72" s="46" cm="1">
        <f t="array" ref="X72">_xlfn.IFS(E72='Euro Age Table'!C$5,'Euro Age Table'!G$5,E72='Euro Age Table'!C$6,'Euro Age Table'!G$6,E72='Euro Age Table'!C$7,'Euro Age Table'!G$7,E72='Euro Age Table'!C$8,'Euro Age Table'!G$8,E72='Euro Age Table'!C$9,'Euro Age Table'!G$9,E72='Euro Age Table'!C$10,'Euro Age Table'!G$10,E72='Euro Age Table'!C$11,'Euro Age Table'!G$11)</f>
        <v>3</v>
      </c>
      <c r="Y72" s="46">
        <f>X72*'Eilat Car Data'!F$15</f>
        <v>43996.542298756322</v>
      </c>
      <c r="Z72" s="121">
        <f>('T3 N2O PC-Petrol'!D8*Y72+'T3 N2O PC-Petrol'!E8)*'T3 N2O PC-Petrol'!C8</f>
        <v>2.149078302287823</v>
      </c>
      <c r="AA72" s="124">
        <f t="shared" si="6"/>
        <v>46887457.845128201</v>
      </c>
    </row>
    <row r="73" spans="1:27" ht="12.5">
      <c r="A73" s="48" t="s">
        <v>51</v>
      </c>
      <c r="B73" s="49" t="s">
        <v>63</v>
      </c>
      <c r="C73" s="49" t="s">
        <v>52</v>
      </c>
      <c r="D73" s="52" t="s">
        <v>62</v>
      </c>
      <c r="E73" s="50" t="s">
        <v>58</v>
      </c>
      <c r="F73" s="97">
        <v>7.9018359567235031E-5</v>
      </c>
      <c r="G73" s="99">
        <f t="shared" si="0"/>
        <v>2.1165857793679574</v>
      </c>
      <c r="H73" s="46"/>
      <c r="I73" s="46">
        <f>G73*'Eilat Car Data'!F$15</f>
        <v>31040.818590302817</v>
      </c>
      <c r="J73" s="46">
        <f>I73*'Tier 1 Coefficients'!I$3</f>
        <v>2172857.3013211973</v>
      </c>
      <c r="K73" s="46">
        <f t="shared" si="4"/>
        <v>2172.8573013211972</v>
      </c>
      <c r="L73" s="46">
        <f>K73*'Tier 1 Coefficients'!D$3</f>
        <v>6885.7847878868743</v>
      </c>
      <c r="M73" s="46">
        <f>K73*'Tier 1 Coefficients'!C$16</f>
        <v>19208.058543679381</v>
      </c>
      <c r="N73" s="46">
        <f>K73*'Tier 1 Coefficients'!C$40</f>
        <v>447.6086040721666</v>
      </c>
      <c r="O73" s="46">
        <f>I73*'Tier 2 FC'!D$19</f>
        <v>1055387.8320702957</v>
      </c>
      <c r="P73" s="46">
        <f t="shared" si="5"/>
        <v>1055.3878320702956</v>
      </c>
      <c r="Q73" s="46">
        <f>P73*'Tier 1 Coefficients'!D$3</f>
        <v>3344.5240398307669</v>
      </c>
      <c r="R73" s="46">
        <f>$I73*'T2 PC'!C$81</f>
        <v>6.2081637180605638</v>
      </c>
      <c r="S73" s="46">
        <f>$I73*'T2 PC'!D$81</f>
        <v>12354.245798940521</v>
      </c>
      <c r="T73" s="46">
        <f>44.011*(P73/(12.011+1.008*'Tier 3 CO2 Tables'!B$3+16*'Tier 3 CO2 Tables'!C$3))</f>
        <v>3345.0291862846129</v>
      </c>
      <c r="U73" s="46">
        <f>I73*'Tier 3 CO2 Tables'!H$3/10000</f>
        <v>4.5009186955939082</v>
      </c>
      <c r="V73" s="46">
        <f>44.011*(U73/(12.011+1.008*'Tier 3 CO2 Tables'!B$6+16*'Tier 3 CO2 Tables'!C$6))</f>
        <v>14.041323191673698</v>
      </c>
      <c r="W73" s="46">
        <f>I73*'T3 Methane'!D$6</f>
        <v>89087.149354169087</v>
      </c>
      <c r="X73" s="46" cm="1">
        <f t="array" ref="X73">_xlfn.IFS(E73='Euro Age Table'!C$5,'Euro Age Table'!G$5,E73='Euro Age Table'!C$6,'Euro Age Table'!G$6,E73='Euro Age Table'!C$7,'Euro Age Table'!G$7,E73='Euro Age Table'!C$8,'Euro Age Table'!G$8,E73='Euro Age Table'!C$9,'Euro Age Table'!G$9,E73='Euro Age Table'!C$10,'Euro Age Table'!G$10,E73='Euro Age Table'!C$11,'Euro Age Table'!G$11)</f>
        <v>13</v>
      </c>
      <c r="Y73" s="46">
        <f>X73*'Eilat Car Data'!F$15</f>
        <v>190651.68329461073</v>
      </c>
      <c r="Z73" s="121">
        <f>('T3 N2O PC-Petrol'!D6*Y73+'T3 N2O PC-Petrol'!E6)*'T3 N2O PC-Petrol'!C6</f>
        <v>2.0083394490497017</v>
      </c>
      <c r="AA73" s="124">
        <f t="shared" si="6"/>
        <v>62340.500505700496</v>
      </c>
    </row>
    <row r="74" spans="1:27" ht="12.5">
      <c r="A74" s="48" t="s">
        <v>51</v>
      </c>
      <c r="B74" s="49" t="s">
        <v>63</v>
      </c>
      <c r="C74" s="49" t="s">
        <v>52</v>
      </c>
      <c r="D74" s="49" t="s">
        <v>62</v>
      </c>
      <c r="E74" s="50" t="s">
        <v>59</v>
      </c>
      <c r="F74" s="97">
        <v>1.6698438632075992E-3</v>
      </c>
      <c r="G74" s="99">
        <f t="shared" si="0"/>
        <v>44.728437719878755</v>
      </c>
      <c r="H74" s="46"/>
      <c r="I74" s="46">
        <f>G74*'Eilat Car Data'!F$15</f>
        <v>655965.53403331107</v>
      </c>
      <c r="J74" s="46">
        <f>I74*'Tier 1 Coefficients'!I$3</f>
        <v>45917587.382331774</v>
      </c>
      <c r="K74" s="46">
        <f t="shared" si="4"/>
        <v>45917.587382331774</v>
      </c>
      <c r="L74" s="46">
        <f>K74*'Tier 1 Coefficients'!D$3</f>
        <v>145512.83441460939</v>
      </c>
      <c r="M74" s="46">
        <f>K74*'Tier 1 Coefficients'!C$16</f>
        <v>405911.47245981288</v>
      </c>
      <c r="N74" s="46">
        <f>K74*'Tier 1 Coefficients'!C$40</f>
        <v>9459.0230007603441</v>
      </c>
      <c r="O74" s="46">
        <f>I74*'Tier 2 FC'!D$19</f>
        <v>22302828.157132577</v>
      </c>
      <c r="P74" s="46">
        <f t="shared" si="5"/>
        <v>22302.828157132579</v>
      </c>
      <c r="Q74" s="46">
        <f>P74*'Tier 1 Coefficients'!D$3</f>
        <v>70677.66242995314</v>
      </c>
      <c r="R74" s="46">
        <f>$I74*'T2 PC'!C$81</f>
        <v>131.19310680666223</v>
      </c>
      <c r="S74" s="46">
        <f>$I74*'T2 PC'!D$81</f>
        <v>261074.28254525783</v>
      </c>
      <c r="T74" s="46">
        <f>44.011*(P74/(12.011+1.008*'Tier 3 CO2 Tables'!B$3+16*'Tier 3 CO2 Tables'!C$3))</f>
        <v>70688.337363102793</v>
      </c>
      <c r="U74" s="46">
        <f>I74*'Tier 3 CO2 Tables'!H$3/10000</f>
        <v>95.115002434830103</v>
      </c>
      <c r="V74" s="46">
        <f>44.011*(U74/(12.011+1.008*'Tier 3 CO2 Tables'!B$6+16*'Tier 3 CO2 Tables'!C$6))</f>
        <v>296.72619744757509</v>
      </c>
      <c r="W74" s="46">
        <f>I74*'T3 Methane'!D$6</f>
        <v>1882621.0826756028</v>
      </c>
      <c r="X74" s="46" cm="1">
        <f t="array" ref="X74">_xlfn.IFS(E74='Euro Age Table'!C$5,'Euro Age Table'!G$5,E74='Euro Age Table'!C$6,'Euro Age Table'!G$6,E74='Euro Age Table'!C$7,'Euro Age Table'!G$7,E74='Euro Age Table'!C$8,'Euro Age Table'!G$8,E74='Euro Age Table'!C$9,'Euro Age Table'!G$9,E74='Euro Age Table'!C$10,'Euro Age Table'!G$10,E74='Euro Age Table'!C$11,'Euro Age Table'!G$11)</f>
        <v>9</v>
      </c>
      <c r="Y74" s="46">
        <f>X74*'Eilat Car Data'!F$15</f>
        <v>131989.62689626895</v>
      </c>
      <c r="Z74" s="121">
        <f>('T3 N2O PC-Petrol'!D7*Y74+'T3 N2O PC-Petrol'!E7)*'T3 N2O PC-Petrol'!C7</f>
        <v>2.3144349068634686</v>
      </c>
      <c r="AA74" s="124">
        <f t="shared" si="6"/>
        <v>1518189.5296660317</v>
      </c>
    </row>
    <row r="75" spans="1:27" ht="12.5">
      <c r="A75" s="48" t="s">
        <v>51</v>
      </c>
      <c r="B75" s="51" t="s">
        <v>63</v>
      </c>
      <c r="C75" s="49" t="s">
        <v>52</v>
      </c>
      <c r="D75" s="49" t="s">
        <v>62</v>
      </c>
      <c r="E75" s="51" t="s">
        <v>60</v>
      </c>
      <c r="F75" s="97">
        <v>7.6897646240614388E-3</v>
      </c>
      <c r="G75" s="99">
        <f t="shared" si="0"/>
        <v>205.97803522010969</v>
      </c>
      <c r="H75" s="46"/>
      <c r="I75" s="46">
        <f>G75*'Eilat Car Data'!F$15</f>
        <v>3020773.7797254249</v>
      </c>
      <c r="J75" s="46">
        <f>I75*'Tier 1 Coefficients'!I$3</f>
        <v>211454164.58077973</v>
      </c>
      <c r="K75" s="46">
        <f t="shared" si="4"/>
        <v>211454.16458077973</v>
      </c>
      <c r="L75" s="46">
        <f>K75*'Tier 1 Coefficients'!D$3</f>
        <v>670098.24755649094</v>
      </c>
      <c r="M75" s="46">
        <f>K75*'Tier 1 Coefficients'!C$16</f>
        <v>1869254.8148940927</v>
      </c>
      <c r="N75" s="46">
        <f>K75*'Tier 1 Coefficients'!C$40</f>
        <v>43559.55790364062</v>
      </c>
      <c r="O75" s="46">
        <f>I75*'Tier 2 FC'!D$19</f>
        <v>102706308.51066445</v>
      </c>
      <c r="P75" s="46">
        <f t="shared" si="5"/>
        <v>102706.30851066444</v>
      </c>
      <c r="Q75" s="46">
        <f>P75*'Tier 1 Coefficients'!D$3</f>
        <v>325476.29167029564</v>
      </c>
      <c r="R75" s="46">
        <f>$I75*'T2 PC'!C$81</f>
        <v>604.15475594508507</v>
      </c>
      <c r="S75" s="46">
        <f>$I75*'T2 PC'!D$81</f>
        <v>1202267.9643307191</v>
      </c>
      <c r="T75" s="46">
        <f>44.011*(P75/(12.011+1.008*'Tier 3 CO2 Tables'!B$3+16*'Tier 3 CO2 Tables'!C$3))</f>
        <v>325525.45059174165</v>
      </c>
      <c r="U75" s="46">
        <f>I75*'Tier 3 CO2 Tables'!H$4/10000</f>
        <v>386.65904380485438</v>
      </c>
      <c r="V75" s="46">
        <f>44.011*(U75/(12.011+1.008*'Tier 3 CO2 Tables'!B$6+16*'Tier 3 CO2 Tables'!C$6))</f>
        <v>1206.2436507378588</v>
      </c>
      <c r="W75" s="46">
        <f>I75*'T3 Methane'!D$6</f>
        <v>8669620.7478119694</v>
      </c>
      <c r="X75" s="46" cm="1">
        <f t="array" ref="X75">_xlfn.IFS(E75='Euro Age Table'!C$5,'Euro Age Table'!G$5,E75='Euro Age Table'!C$6,'Euro Age Table'!G$6,E75='Euro Age Table'!C$7,'Euro Age Table'!G$7,E75='Euro Age Table'!C$8,'Euro Age Table'!G$8,E75='Euro Age Table'!C$9,'Euro Age Table'!G$9,E75='Euro Age Table'!C$10,'Euro Age Table'!G$10,E75='Euro Age Table'!C$11,'Euro Age Table'!G$11)</f>
        <v>3</v>
      </c>
      <c r="Y75" s="46">
        <f>X75*'Eilat Car Data'!F$15</f>
        <v>43996.542298756322</v>
      </c>
      <c r="Z75" s="121">
        <f>('T3 N2O PC-Petrol'!D8*Y75+'T3 N2O PC-Petrol'!E8)*'T3 N2O PC-Petrol'!C8</f>
        <v>2.149078302287823</v>
      </c>
      <c r="AA75" s="124">
        <f t="shared" si="6"/>
        <v>6491879.3861278864</v>
      </c>
    </row>
    <row r="76" spans="1:27" ht="12.5">
      <c r="A76" s="48" t="s">
        <v>51</v>
      </c>
      <c r="B76" s="49" t="s">
        <v>64</v>
      </c>
      <c r="C76" s="49" t="s">
        <v>52</v>
      </c>
      <c r="D76" s="52" t="s">
        <v>53</v>
      </c>
      <c r="E76" s="50" t="s">
        <v>59</v>
      </c>
      <c r="F76" s="97">
        <v>4.180419831516589E-4</v>
      </c>
      <c r="G76" s="99">
        <f t="shared" si="0"/>
        <v>11.197672560700335</v>
      </c>
      <c r="H76" s="46"/>
      <c r="I76" s="46">
        <f>G76*'Eilat Car Data'!F$15</f>
        <v>164219.62482149177</v>
      </c>
      <c r="J76" s="46">
        <f>I76*0</f>
        <v>0</v>
      </c>
      <c r="K76" s="46">
        <f t="shared" si="4"/>
        <v>0</v>
      </c>
      <c r="L76" s="46">
        <f>K76*0</f>
        <v>0</v>
      </c>
      <c r="M76" s="46">
        <f>K76*0</f>
        <v>0</v>
      </c>
      <c r="N76" s="46">
        <f>K76*0</f>
        <v>0</v>
      </c>
      <c r="O76" s="46">
        <f>I76*0</f>
        <v>0</v>
      </c>
      <c r="P76" s="46">
        <f t="shared" si="5"/>
        <v>0</v>
      </c>
      <c r="Q76" s="46">
        <f>P76*0</f>
        <v>0</v>
      </c>
      <c r="R76" s="46">
        <f>I76*0</f>
        <v>0</v>
      </c>
      <c r="S76" s="46">
        <f>I76*0</f>
        <v>0</v>
      </c>
      <c r="T76" s="46">
        <f>P76*0</f>
        <v>0</v>
      </c>
      <c r="U76" s="46">
        <f>I76*0/10000</f>
        <v>0</v>
      </c>
      <c r="V76" s="46">
        <f>44.011*(U76/(12.011+1.008*'Tier 3 CO2 Tables'!B$6+16*'Tier 3 CO2 Tables'!C$6))</f>
        <v>0</v>
      </c>
      <c r="W76" s="46">
        <f>I76*0</f>
        <v>0</v>
      </c>
      <c r="X76" s="46" cm="1">
        <f t="array" ref="X76">_xlfn.IFS(E76='Euro Age Table'!C$5,'Euro Age Table'!G$5,E76='Euro Age Table'!C$6,'Euro Age Table'!G$6,E76='Euro Age Table'!C$7,'Euro Age Table'!G$7,E76='Euro Age Table'!C$8,'Euro Age Table'!G$8,E76='Euro Age Table'!C$9,'Euro Age Table'!G$9,E76='Euro Age Table'!C$10,'Euro Age Table'!G$10,E76='Euro Age Table'!C$11,'Euro Age Table'!G$11)</f>
        <v>9</v>
      </c>
      <c r="Y76" s="46">
        <f>X76*'Eilat Car Data'!F$15</f>
        <v>131989.62689626895</v>
      </c>
      <c r="Z76" s="46">
        <v>0</v>
      </c>
      <c r="AA76" s="124">
        <f t="shared" si="6"/>
        <v>0</v>
      </c>
    </row>
    <row r="77" spans="1:27" ht="12.5">
      <c r="A77" s="48" t="s">
        <v>51</v>
      </c>
      <c r="B77" s="51" t="s">
        <v>64</v>
      </c>
      <c r="C77" s="51" t="s">
        <v>52</v>
      </c>
      <c r="D77" s="51" t="s">
        <v>53</v>
      </c>
      <c r="E77" s="51" t="s">
        <v>60</v>
      </c>
      <c r="F77" s="97">
        <v>1.7837232637603791E-3</v>
      </c>
      <c r="G77" s="99">
        <f t="shared" si="0"/>
        <v>47.778811343085515</v>
      </c>
      <c r="H77" s="46"/>
      <c r="I77" s="46">
        <f>G77*'Eilat Car Data'!F$15</f>
        <v>700700.83141345333</v>
      </c>
      <c r="J77" s="46">
        <f>I77*0</f>
        <v>0</v>
      </c>
      <c r="K77" s="46">
        <f t="shared" si="4"/>
        <v>0</v>
      </c>
      <c r="L77" s="46">
        <f>K77*0</f>
        <v>0</v>
      </c>
      <c r="M77" s="46">
        <f>K77*0</f>
        <v>0</v>
      </c>
      <c r="N77" s="46">
        <f>K77*0</f>
        <v>0</v>
      </c>
      <c r="O77" s="46">
        <f>I77*0</f>
        <v>0</v>
      </c>
      <c r="P77" s="46">
        <f t="shared" si="5"/>
        <v>0</v>
      </c>
      <c r="Q77" s="46">
        <f>P77*0</f>
        <v>0</v>
      </c>
      <c r="R77" s="46">
        <f>I77*0</f>
        <v>0</v>
      </c>
      <c r="S77" s="46">
        <f>I77*0</f>
        <v>0</v>
      </c>
      <c r="T77" s="46">
        <f>P77*0</f>
        <v>0</v>
      </c>
      <c r="U77" s="46">
        <f>I77*0/10000</f>
        <v>0</v>
      </c>
      <c r="V77" s="46">
        <f>44.011*(U77/(12.011+1.008*'Tier 3 CO2 Tables'!B$6+16*'Tier 3 CO2 Tables'!C$6))</f>
        <v>0</v>
      </c>
      <c r="W77" s="46">
        <f>I77*0</f>
        <v>0</v>
      </c>
      <c r="X77" s="46" cm="1">
        <f t="array" ref="X77">_xlfn.IFS(E77='Euro Age Table'!C$5,'Euro Age Table'!G$5,E77='Euro Age Table'!C$6,'Euro Age Table'!G$6,E77='Euro Age Table'!C$7,'Euro Age Table'!G$7,E77='Euro Age Table'!C$8,'Euro Age Table'!G$8,E77='Euro Age Table'!C$9,'Euro Age Table'!G$9,E77='Euro Age Table'!C$10,'Euro Age Table'!G$10,E77='Euro Age Table'!C$11,'Euro Age Table'!G$11)</f>
        <v>3</v>
      </c>
      <c r="Y77" s="46">
        <f>X77*'Eilat Car Data'!F$15</f>
        <v>43996.542298756322</v>
      </c>
      <c r="Z77" s="46">
        <v>0</v>
      </c>
      <c r="AA77" s="124">
        <f t="shared" si="6"/>
        <v>0</v>
      </c>
    </row>
    <row r="78" spans="1:27" ht="12.5">
      <c r="A78" s="48" t="s">
        <v>51</v>
      </c>
      <c r="B78" s="49" t="s">
        <v>20</v>
      </c>
      <c r="C78" s="49" t="s">
        <v>65</v>
      </c>
      <c r="D78" s="49" t="s">
        <v>66</v>
      </c>
      <c r="E78" s="50" t="s">
        <v>54</v>
      </c>
      <c r="F78" s="97">
        <v>2.5855272064279111E-5</v>
      </c>
      <c r="G78" s="99">
        <f t="shared" si="0"/>
        <v>0.6925593175137803</v>
      </c>
      <c r="H78" s="76" t="s">
        <v>167</v>
      </c>
      <c r="I78" s="46">
        <f>G78*'Eilat Car Data'!F$15</f>
        <v>10156.738435797615</v>
      </c>
      <c r="J78" s="46">
        <f>I78*'Tier 1 Coefficients'!I$3</f>
        <v>710971.69050583302</v>
      </c>
      <c r="K78" s="46">
        <f t="shared" si="4"/>
        <v>710.97169050583307</v>
      </c>
      <c r="L78" s="46">
        <f>K78*'Tier 1 Coefficients'!D$3</f>
        <v>2253.0692872129848</v>
      </c>
      <c r="M78" s="46">
        <f>K78*'Tier 1 Coefficients'!C$16</f>
        <v>6284.989744071564</v>
      </c>
      <c r="N78" s="46">
        <f>K78*'Tier 1 Coefficients'!C$40</f>
        <v>146.46016824420161</v>
      </c>
      <c r="O78" s="46">
        <f>I78*'Tier 2 FC'!D$7</f>
        <v>964890.15140077344</v>
      </c>
      <c r="P78" s="46">
        <f t="shared" si="5"/>
        <v>964.89015140077345</v>
      </c>
      <c r="Q78" s="46">
        <f>P78*'Tier 1 Coefficients'!D$3</f>
        <v>3057.736889789051</v>
      </c>
      <c r="R78" s="46">
        <f>$I78*'T2 PC'!C39</f>
        <v>101.56738435797615</v>
      </c>
      <c r="S78" s="46">
        <f>$I78*'T2 PC'!D39</f>
        <v>6733.9175829338192</v>
      </c>
      <c r="T78" s="46">
        <f>44.011*(P78/(12.011+1.008*'Tier 3 CO2 Tables'!B$3+16*'Tier 3 CO2 Tables'!C$3))</f>
        <v>3058.1987208084361</v>
      </c>
      <c r="U78" s="46">
        <f>I78*'Tier 3 CO2 Tables'!H$3/10000</f>
        <v>1.4727270731906541</v>
      </c>
      <c r="V78" s="46">
        <f>44.011*(U78/(12.011+1.008*'Tier 3 CO2 Tables'!B$6+16*'Tier 3 CO2 Tables'!C$6))</f>
        <v>4.5944035443344093</v>
      </c>
      <c r="W78" s="46">
        <f>I78*'T3 Methane'!D2</f>
        <v>1330532.7350894876</v>
      </c>
      <c r="X78" s="46" cm="1">
        <f t="array" ref="X78">_xlfn.IFS(E78='Euro Age Table'!C$5,'Euro Age Table'!G$5,E78='Euro Age Table'!C$6,'Euro Age Table'!G$6,E78='Euro Age Table'!C$7,'Euro Age Table'!G$7,E78='Euro Age Table'!C$8,'Euro Age Table'!G$8,E78='Euro Age Table'!C$9,'Euro Age Table'!G$9,E78='Euro Age Table'!C$10,'Euro Age Table'!G$10,E78='Euro Age Table'!C$11,'Euro Age Table'!G$11)</f>
        <v>27</v>
      </c>
      <c r="Y78" s="46">
        <f>X78*'Eilat Car Data'!F$15</f>
        <v>395968.88068880688</v>
      </c>
      <c r="Z78" s="46">
        <f>('T3 N2O PC-Petrol'!D2*Y78+'T3 N2O PC-Petrol'!E2)*'T3 N2O PC-Petrol'!C2</f>
        <v>10</v>
      </c>
      <c r="AA78" s="124">
        <f t="shared" si="6"/>
        <v>101567.38435797615</v>
      </c>
    </row>
    <row r="79" spans="1:27" ht="12.5">
      <c r="A79" s="48" t="s">
        <v>51</v>
      </c>
      <c r="B79" s="49" t="s">
        <v>20</v>
      </c>
      <c r="C79" s="49" t="s">
        <v>65</v>
      </c>
      <c r="D79" s="49" t="s">
        <v>66</v>
      </c>
      <c r="E79" s="50" t="s">
        <v>55</v>
      </c>
      <c r="F79" s="97">
        <v>8.7152602463862176E-7</v>
      </c>
      <c r="G79" s="99">
        <f t="shared" si="0"/>
        <v>2.3344696095970122E-2</v>
      </c>
      <c r="H79" s="76" t="s">
        <v>167</v>
      </c>
      <c r="I79" s="46">
        <f>G79*'Eilat Car Data'!F$15</f>
        <v>342.36196974598698</v>
      </c>
      <c r="J79" s="46">
        <f>I79*'Tier 1 Coefficients'!I$3</f>
        <v>23965.33788221909</v>
      </c>
      <c r="K79" s="46">
        <f t="shared" si="4"/>
        <v>23.965337882219089</v>
      </c>
      <c r="L79" s="46">
        <f>K79*'Tier 1 Coefficients'!D$3</f>
        <v>75.94615574875229</v>
      </c>
      <c r="M79" s="46">
        <f>K79*'Tier 1 Coefficients'!C$16</f>
        <v>211.85358687881674</v>
      </c>
      <c r="N79" s="46">
        <f>K79*'Tier 1 Coefficients'!C$40</f>
        <v>4.9368596037371324</v>
      </c>
      <c r="O79" s="46">
        <f>I79*'Tier 2 FC'!D$8</f>
        <v>29443.129398154881</v>
      </c>
      <c r="P79" s="46">
        <f t="shared" si="5"/>
        <v>29.443129398154881</v>
      </c>
      <c r="Q79" s="46">
        <f>P79*'Tier 1 Coefficients'!D$3</f>
        <v>93.305277062752822</v>
      </c>
      <c r="R79" s="46">
        <f>$I79*'T2 PC'!C40</f>
        <v>3.7659816672058568</v>
      </c>
      <c r="S79" s="46">
        <f>$I79*'T2 PC'!D40</f>
        <v>204.04773396860824</v>
      </c>
      <c r="T79" s="46">
        <f>44.011*(P79/(12.011+1.008*'Tier 3 CO2 Tables'!B$3+16*'Tier 3 CO2 Tables'!C$3))</f>
        <v>93.319369600068171</v>
      </c>
      <c r="U79" s="46">
        <f>I79*'Tier 3 CO2 Tables'!H$3/10000</f>
        <v>4.9642485613168114E-2</v>
      </c>
      <c r="V79" s="46">
        <f>44.011*(U79/(12.011+1.008*'Tier 3 CO2 Tables'!B$6+16*'Tier 3 CO2 Tables'!C$6))</f>
        <v>0.15486753520228344</v>
      </c>
      <c r="W79" s="46">
        <f>I79*'T3 Methane'!D3</f>
        <v>8901.4112133956623</v>
      </c>
      <c r="X79" s="46" cm="1">
        <f t="array" ref="X79">_xlfn.IFS(E79='Euro Age Table'!C$5,'Euro Age Table'!G$5,E79='Euro Age Table'!C$6,'Euro Age Table'!G$6,E79='Euro Age Table'!C$7,'Euro Age Table'!G$7,E79='Euro Age Table'!C$8,'Euro Age Table'!G$8,E79='Euro Age Table'!C$9,'Euro Age Table'!G$9,E79='Euro Age Table'!C$10,'Euro Age Table'!G$10,E79='Euro Age Table'!C$11,'Euro Age Table'!G$11)</f>
        <v>23</v>
      </c>
      <c r="Y79" s="46">
        <f>X79*'Eilat Car Data'!F$15</f>
        <v>337306.8242904651</v>
      </c>
      <c r="Z79" s="46">
        <f>('T3 N2O PC-Petrol'!D3*Y79+'T3 N2O PC-Petrol'!E3)*'T3 N2O PC-Petrol'!C3</f>
        <v>28.238281643037674</v>
      </c>
      <c r="AA79" s="124">
        <f t="shared" si="6"/>
        <v>9667.713725552323</v>
      </c>
    </row>
    <row r="80" spans="1:27" ht="12.5">
      <c r="A80" s="48" t="s">
        <v>51</v>
      </c>
      <c r="B80" s="49" t="s">
        <v>20</v>
      </c>
      <c r="C80" s="49" t="s">
        <v>65</v>
      </c>
      <c r="D80" s="49" t="s">
        <v>66</v>
      </c>
      <c r="E80" s="50" t="s">
        <v>57</v>
      </c>
      <c r="F80" s="97">
        <v>1.7430520492772435E-6</v>
      </c>
      <c r="G80" s="99">
        <f t="shared" si="0"/>
        <v>4.6689392191940245E-2</v>
      </c>
      <c r="H80" s="76" t="s">
        <v>167</v>
      </c>
      <c r="I80" s="46">
        <f>G80*'Eilat Car Data'!F$15</f>
        <v>684.72393949197397</v>
      </c>
      <c r="J80" s="46">
        <f>I80*'Tier 1 Coefficients'!I$3</f>
        <v>47930.67576443818</v>
      </c>
      <c r="K80" s="46">
        <f t="shared" si="4"/>
        <v>47.930675764438178</v>
      </c>
      <c r="L80" s="46">
        <f>K80*'Tier 1 Coefficients'!D$3</f>
        <v>151.89231149750458</v>
      </c>
      <c r="M80" s="46">
        <f>K80*'Tier 1 Coefficients'!C$16</f>
        <v>423.70717375763348</v>
      </c>
      <c r="N80" s="46">
        <f>K80*'Tier 1 Coefficients'!C$40</f>
        <v>9.8737192074742648</v>
      </c>
      <c r="O80" s="46">
        <f>I80*'Tier 2 FC'!D$8</f>
        <v>58886.258796309761</v>
      </c>
      <c r="P80" s="46">
        <f t="shared" si="5"/>
        <v>58.886258796309761</v>
      </c>
      <c r="Q80" s="46">
        <f>P80*'Tier 1 Coefficients'!D$3</f>
        <v>186.61055412550564</v>
      </c>
      <c r="R80" s="46">
        <f>$I80*'T2 PC'!C41</f>
        <v>4.1083436369518438</v>
      </c>
      <c r="S80" s="46">
        <f>$I80*'T2 PC'!D41</f>
        <v>362.90368793074623</v>
      </c>
      <c r="T80" s="46">
        <f>44.011*(P80/(12.011+1.008*'Tier 3 CO2 Tables'!B$3+16*'Tier 3 CO2 Tables'!C$3))</f>
        <v>186.63873920013634</v>
      </c>
      <c r="U80" s="46">
        <f>I80*'Tier 3 CO2 Tables'!H$3/10000</f>
        <v>9.9284971226336227E-2</v>
      </c>
      <c r="V80" s="46">
        <f>44.011*(U80/(12.011+1.008*'Tier 3 CO2 Tables'!B$6+16*'Tier 3 CO2 Tables'!C$6))</f>
        <v>0.30973507040456688</v>
      </c>
      <c r="W80" s="46">
        <f>I80*'T3 Methane'!D4</f>
        <v>11640.306971363558</v>
      </c>
      <c r="X80" s="46" cm="1">
        <f t="array" ref="X80">_xlfn.IFS(E80='Euro Age Table'!C$5,'Euro Age Table'!G$5,E80='Euro Age Table'!C$6,'Euro Age Table'!G$6,E80='Euro Age Table'!C$7,'Euro Age Table'!G$7,E80='Euro Age Table'!C$8,'Euro Age Table'!G$8,E80='Euro Age Table'!C$9,'Euro Age Table'!G$9,E80='Euro Age Table'!C$10,'Euro Age Table'!G$10,E80='Euro Age Table'!C$11,'Euro Age Table'!G$11)</f>
        <v>16</v>
      </c>
      <c r="Y80" s="46">
        <f>X80*'Eilat Car Data'!F$15</f>
        <v>234648.22559336704</v>
      </c>
      <c r="Z80" s="121">
        <f>('T3 N2O PC-Petrol'!D3*Y80+'T3 N2O PC-Petrol'!E3)*'T3 N2O PC-Petrol'!C3</f>
        <v>26.140022012547949</v>
      </c>
      <c r="AA80" s="124">
        <f t="shared" si="6"/>
        <v>17898.698850838748</v>
      </c>
    </row>
    <row r="81" spans="1:27" ht="12.5">
      <c r="A81" s="48" t="s">
        <v>51</v>
      </c>
      <c r="B81" s="49" t="s">
        <v>20</v>
      </c>
      <c r="C81" s="49" t="s">
        <v>65</v>
      </c>
      <c r="D81" s="49" t="s">
        <v>66</v>
      </c>
      <c r="E81" s="50" t="s">
        <v>58</v>
      </c>
      <c r="F81" s="97">
        <v>2.0335607241567842E-6</v>
      </c>
      <c r="G81" s="99">
        <f t="shared" si="0"/>
        <v>5.4470957557263625E-2</v>
      </c>
      <c r="H81" s="76" t="s">
        <v>167</v>
      </c>
      <c r="I81" s="46">
        <f>G81*'Eilat Car Data'!F$15</f>
        <v>798.8445960739698</v>
      </c>
      <c r="J81" s="46">
        <f>I81*'Tier 1 Coefficients'!I$3</f>
        <v>55919.121725177887</v>
      </c>
      <c r="K81" s="46">
        <f t="shared" si="4"/>
        <v>55.919121725177888</v>
      </c>
      <c r="L81" s="46">
        <f>K81*'Tier 1 Coefficients'!D$3</f>
        <v>177.20769674708873</v>
      </c>
      <c r="M81" s="46">
        <f>K81*'Tier 1 Coefficients'!C$16</f>
        <v>494.32503605057252</v>
      </c>
      <c r="N81" s="46">
        <f>K81*'Tier 1 Coefficients'!C$40</f>
        <v>11.519339075386645</v>
      </c>
      <c r="O81" s="46">
        <f>I81*'Tier 2 FC'!D$8</f>
        <v>68700.635262361408</v>
      </c>
      <c r="P81" s="46">
        <f t="shared" si="5"/>
        <v>68.700635262361402</v>
      </c>
      <c r="Q81" s="46">
        <f>P81*'Tier 1 Coefficients'!D$3</f>
        <v>217.7123131464233</v>
      </c>
      <c r="R81" s="46">
        <f>$I81*'T2 PC'!C42</f>
        <v>1.5976891921479397</v>
      </c>
      <c r="S81" s="46">
        <f>$I81*'T2 PC'!D42</f>
        <v>370.66389257832202</v>
      </c>
      <c r="T81" s="46">
        <f>44.011*(P81/(12.011+1.008*'Tier 3 CO2 Tables'!B$3+16*'Tier 3 CO2 Tables'!C$3))</f>
        <v>217.74519573349244</v>
      </c>
      <c r="U81" s="46">
        <f>I81*'Tier 3 CO2 Tables'!H$3/10000</f>
        <v>0.11583246643072562</v>
      </c>
      <c r="V81" s="46">
        <f>44.011*(U81/(12.011+1.008*'Tier 3 CO2 Tables'!B$6+16*'Tier 3 CO2 Tables'!C$6))</f>
        <v>0.36135758213866143</v>
      </c>
      <c r="W81" s="46">
        <f>I81*'T3 Methane'!D$5</f>
        <v>2396.5337882219092</v>
      </c>
      <c r="X81" s="46" cm="1">
        <f t="array" ref="X81">_xlfn.IFS(E81='Euro Age Table'!C$5,'Euro Age Table'!G$5,E81='Euro Age Table'!C$6,'Euro Age Table'!G$6,E81='Euro Age Table'!C$7,'Euro Age Table'!G$7,E81='Euro Age Table'!C$8,'Euro Age Table'!G$8,E81='Euro Age Table'!C$9,'Euro Age Table'!G$9,E81='Euro Age Table'!C$10,'Euro Age Table'!G$10,E81='Euro Age Table'!C$11,'Euro Age Table'!G$11)</f>
        <v>13</v>
      </c>
      <c r="Y81" s="46">
        <f>X81*'Eilat Car Data'!F$15</f>
        <v>190651.68329461073</v>
      </c>
      <c r="Z81" s="121">
        <f>('T3 N2O PC-Petrol'!D4*Y81+'T3 N2O PC-Petrol'!E4)*'T3 N2O PC-Petrol'!C4</f>
        <v>12.627251223489136</v>
      </c>
      <c r="AA81" s="124">
        <f t="shared" si="6"/>
        <v>10087.21140315272</v>
      </c>
    </row>
    <row r="82" spans="1:27" ht="12.5">
      <c r="A82" s="48" t="s">
        <v>51</v>
      </c>
      <c r="B82" s="49" t="s">
        <v>20</v>
      </c>
      <c r="C82" s="49" t="s">
        <v>65</v>
      </c>
      <c r="D82" s="49" t="s">
        <v>66</v>
      </c>
      <c r="E82" s="50" t="s">
        <v>59</v>
      </c>
      <c r="F82" s="97">
        <v>1.1910855670061164E-5</v>
      </c>
      <c r="G82" s="99">
        <f t="shared" si="0"/>
        <v>0.31904417997825835</v>
      </c>
      <c r="H82" s="76" t="s">
        <v>167</v>
      </c>
      <c r="I82" s="46">
        <f>G82*'Eilat Car Data'!F$15</f>
        <v>4678.9469198618226</v>
      </c>
      <c r="J82" s="46">
        <f>I82*'Tier 1 Coefficients'!I$3</f>
        <v>327526.28439032758</v>
      </c>
      <c r="K82" s="46">
        <f t="shared" si="4"/>
        <v>327.52628439032759</v>
      </c>
      <c r="L82" s="46">
        <f>K82*'Tier 1 Coefficients'!D$3</f>
        <v>1037.9307952329482</v>
      </c>
      <c r="M82" s="46">
        <f>K82*'Tier 1 Coefficients'!C$16</f>
        <v>2895.3323540104957</v>
      </c>
      <c r="N82" s="46">
        <f>K82*'Tier 1 Coefficients'!C$40</f>
        <v>67.470414584407479</v>
      </c>
      <c r="O82" s="46">
        <f>I82*'Tier 2 FC'!D$8</f>
        <v>402389.43510811677</v>
      </c>
      <c r="P82" s="46">
        <f t="shared" si="5"/>
        <v>402.38943510811674</v>
      </c>
      <c r="Q82" s="46">
        <f>P82*'Tier 1 Coefficients'!D$3</f>
        <v>1275.172119857622</v>
      </c>
      <c r="R82" s="46">
        <f>$I82*'T2 PC'!C43</f>
        <v>9.357893839723646</v>
      </c>
      <c r="S82" s="46">
        <f>$I82*'T2 PC'!D43</f>
        <v>1862.2208741050056</v>
      </c>
      <c r="T82" s="46">
        <f>44.011*(P82/(12.011+1.008*'Tier 3 CO2 Tables'!B$3+16*'Tier 3 CO2 Tables'!C$3))</f>
        <v>1275.3647178675983</v>
      </c>
      <c r="U82" s="46">
        <f>I82*'Tier 3 CO2 Tables'!H$3/10000</f>
        <v>0.67844730337996428</v>
      </c>
      <c r="V82" s="46">
        <f>44.011*(U82/(12.011+1.008*'Tier 3 CO2 Tables'!B$6+16*'Tier 3 CO2 Tables'!C$6))</f>
        <v>2.1165229810978738</v>
      </c>
      <c r="W82" s="46">
        <f>I82*'T3 Methane'!D$5</f>
        <v>14036.840759585468</v>
      </c>
      <c r="X82" s="46" cm="1">
        <f t="array" ref="X82">_xlfn.IFS(E82='Euro Age Table'!C$5,'Euro Age Table'!G$5,E82='Euro Age Table'!C$6,'Euro Age Table'!G$6,E82='Euro Age Table'!C$7,'Euro Age Table'!G$7,E82='Euro Age Table'!C$8,'Euro Age Table'!G$8,E82='Euro Age Table'!C$9,'Euro Age Table'!G$9,E82='Euro Age Table'!C$10,'Euro Age Table'!G$10,E82='Euro Age Table'!C$11,'Euro Age Table'!G$11)</f>
        <v>9</v>
      </c>
      <c r="Y82" s="46">
        <f>X82*'Eilat Car Data'!F$15</f>
        <v>131989.62689626895</v>
      </c>
      <c r="Z82" s="121">
        <f>('T3 N2O PC-Petrol'!D5*Y82+'T3 N2O PC-Petrol'!E5)*'T3 N2O PC-Petrol'!C5</f>
        <v>1.3951350526855268</v>
      </c>
      <c r="AA82" s="124">
        <f t="shared" si="6"/>
        <v>6527.7628575542076</v>
      </c>
    </row>
    <row r="83" spans="1:27" ht="12.5">
      <c r="A83" s="48" t="s">
        <v>51</v>
      </c>
      <c r="B83" s="49" t="s">
        <v>20</v>
      </c>
      <c r="C83" s="49" t="s">
        <v>65</v>
      </c>
      <c r="D83" s="49" t="s">
        <v>66</v>
      </c>
      <c r="E83" s="50" t="s">
        <v>60</v>
      </c>
      <c r="F83" s="97">
        <v>1.2491873019820245E-5</v>
      </c>
      <c r="G83" s="99">
        <f t="shared" si="0"/>
        <v>0.33460731070890509</v>
      </c>
      <c r="H83" s="76" t="s">
        <v>167</v>
      </c>
      <c r="I83" s="46">
        <f>G83*'Eilat Car Data'!F$15</f>
        <v>4907.188233025814</v>
      </c>
      <c r="J83" s="46">
        <f>I83*'Tier 1 Coefficients'!I$3</f>
        <v>343503.17631180701</v>
      </c>
      <c r="K83" s="46">
        <f t="shared" si="4"/>
        <v>343.50317631180701</v>
      </c>
      <c r="L83" s="46">
        <f>K83*'Tier 1 Coefficients'!D$3</f>
        <v>1088.5615657321164</v>
      </c>
      <c r="M83" s="46">
        <f>K83*'Tier 1 Coefficients'!C$16</f>
        <v>3036.5680785963741</v>
      </c>
      <c r="N83" s="46">
        <f>K83*'Tier 1 Coefficients'!C$40</f>
        <v>70.761654320232239</v>
      </c>
      <c r="O83" s="46">
        <f>I83*'Tier 2 FC'!D$8</f>
        <v>422018.18804022</v>
      </c>
      <c r="P83" s="46">
        <f t="shared" si="5"/>
        <v>422.01818804022002</v>
      </c>
      <c r="Q83" s="46">
        <f>P83*'Tier 1 Coefficients'!D$3</f>
        <v>1337.3756378994574</v>
      </c>
      <c r="R83" s="46">
        <f>$I83*'T2 PC'!C44</f>
        <v>6.3793447029335582</v>
      </c>
      <c r="S83" s="46">
        <f>$I83*'T2 PC'!D44</f>
        <v>1953.060916744274</v>
      </c>
      <c r="T83" s="46">
        <f>44.011*(P83/(12.011+1.008*'Tier 3 CO2 Tables'!B$3+16*'Tier 3 CO2 Tables'!C$3))</f>
        <v>1337.5776309343107</v>
      </c>
      <c r="U83" s="46">
        <f>I83*'Tier 3 CO2 Tables'!H$4/10000</f>
        <v>0.62812009382730416</v>
      </c>
      <c r="V83" s="46">
        <f>44.011*(U83/(12.011+1.008*'Tier 3 CO2 Tables'!B$6+16*'Tier 3 CO2 Tables'!C$6))</f>
        <v>1.9595193419617658</v>
      </c>
      <c r="W83" s="46">
        <f>I83*'T3 Methane'!D$5</f>
        <v>14721.564699077442</v>
      </c>
      <c r="X83" s="46" cm="1">
        <f t="array" ref="X83">_xlfn.IFS(E83='Euro Age Table'!C$5,'Euro Age Table'!G$5,E83='Euro Age Table'!C$6,'Euro Age Table'!G$6,E83='Euro Age Table'!C$7,'Euro Age Table'!G$7,E83='Euro Age Table'!C$8,'Euro Age Table'!G$8,E83='Euro Age Table'!C$9,'Euro Age Table'!G$9,E83='Euro Age Table'!C$10,'Euro Age Table'!G$10,E83='Euro Age Table'!C$11,'Euro Age Table'!G$11)</f>
        <v>3</v>
      </c>
      <c r="Y83" s="46">
        <f>X83*'Eilat Car Data'!F$15</f>
        <v>43996.542298756322</v>
      </c>
      <c r="Z83" s="121">
        <f>('T3 N2O PC-Petrol'!D6*Y83+'T3 N2O PC-Petrol'!E6)*'T3 N2O PC-Petrol'!C6</f>
        <v>1.824155257473008</v>
      </c>
      <c r="AA83" s="124">
        <f t="shared" si="6"/>
        <v>8951.4732146837196</v>
      </c>
    </row>
    <row r="84" spans="1:27" ht="12.5">
      <c r="A84" s="48" t="s">
        <v>51</v>
      </c>
      <c r="B84" s="52" t="s">
        <v>22</v>
      </c>
      <c r="C84" s="49" t="s">
        <v>65</v>
      </c>
      <c r="D84" s="49" t="s">
        <v>66</v>
      </c>
      <c r="E84" s="50" t="s">
        <v>54</v>
      </c>
      <c r="F84" s="97">
        <v>8.7152602463862176E-7</v>
      </c>
      <c r="G84" s="99">
        <f t="shared" si="0"/>
        <v>2.3344696095970122E-2</v>
      </c>
      <c r="H84" s="76" t="s">
        <v>167</v>
      </c>
      <c r="I84" s="46">
        <f>G84*'Eilat Car Data'!F$15</f>
        <v>342.36196974598698</v>
      </c>
      <c r="J84" s="46">
        <f>I84*'Tier 1 Coefficients'!I$4</f>
        <v>20541.718184759218</v>
      </c>
      <c r="K84" s="46">
        <f t="shared" si="4"/>
        <v>20.541718184759219</v>
      </c>
      <c r="L84" s="46">
        <f>K84*'Tier 1 Coefficients'!D$4</f>
        <v>65.09670492750196</v>
      </c>
      <c r="M84" s="46">
        <f>K84*'Tier 1 Coefficients'!C$17</f>
        <v>179.53461693479557</v>
      </c>
      <c r="N84" s="46">
        <f>K84*'Tier 1 Coefficients'!C$41</f>
        <v>1.787129482074052</v>
      </c>
      <c r="O84" s="46">
        <f>I84*'Tier 2 FC'!D$12</f>
        <v>25677.147730949022</v>
      </c>
      <c r="P84" s="46">
        <f t="shared" si="5"/>
        <v>25.677147730949024</v>
      </c>
      <c r="Q84" s="46">
        <f>P84*'Tier 1 Coefficients'!D$4</f>
        <v>81.370881159377461</v>
      </c>
      <c r="R84" s="46">
        <f>$I84*'T2 PC'!C62</f>
        <v>0</v>
      </c>
      <c r="S84" s="46">
        <f>$I84*'T2 PC'!D62</f>
        <v>226.98598594158938</v>
      </c>
      <c r="T84" s="46">
        <f>44.011*(P84/(12.011+1.008*'Tier 3 CO2 Tables'!B$4+16*'Tier 3 CO2 Tables'!C$4))</f>
        <v>81.383171162850147</v>
      </c>
      <c r="U84" s="46">
        <f>I84*'Tier 3 CO2 Tables'!H$5/10000</f>
        <v>5.1011933492152058E-2</v>
      </c>
      <c r="V84" s="46">
        <f>44.011*(U84/(12.011+1.008*'Tier 3 CO2 Tables'!B$6+16*'Tier 3 CO2 Tables'!C$6))</f>
        <v>0.15913974306993264</v>
      </c>
      <c r="W84" s="46">
        <f>I84*'T3 Methane'!D7</f>
        <v>9586.1351528876348</v>
      </c>
      <c r="X84" s="46" cm="1">
        <f t="array" ref="X84">_xlfn.IFS(E84='Euro Age Table'!C$5,'Euro Age Table'!G$5,E84='Euro Age Table'!C$6,'Euro Age Table'!G$6,E84='Euro Age Table'!C$7,'Euro Age Table'!G$7,E84='Euro Age Table'!C$8,'Euro Age Table'!G$8,E84='Euro Age Table'!C$9,'Euro Age Table'!G$9,E84='Euro Age Table'!C$10,'Euro Age Table'!G$10,E84='Euro Age Table'!C$11,'Euro Age Table'!G$11)</f>
        <v>27</v>
      </c>
      <c r="Y84" s="46">
        <f>X84*'Eilat Car Data'!F$15</f>
        <v>395968.88068880688</v>
      </c>
      <c r="Z84" s="46">
        <f>'T3 N2O PC-Diesel LPG'!B3</f>
        <v>0</v>
      </c>
      <c r="AA84" s="124">
        <f t="shared" si="6"/>
        <v>0</v>
      </c>
    </row>
    <row r="85" spans="1:27" ht="12.5">
      <c r="A85" s="48" t="s">
        <v>51</v>
      </c>
      <c r="B85" s="49" t="s">
        <v>22</v>
      </c>
      <c r="C85" s="49" t="s">
        <v>65</v>
      </c>
      <c r="D85" s="49" t="s">
        <v>66</v>
      </c>
      <c r="E85" s="50" t="s">
        <v>55</v>
      </c>
      <c r="F85" s="97">
        <v>3.7766127734340273E-6</v>
      </c>
      <c r="G85" s="99">
        <f t="shared" si="0"/>
        <v>0.10116034974920386</v>
      </c>
      <c r="H85" s="76" t="s">
        <v>167</v>
      </c>
      <c r="I85" s="46">
        <f>G85*'Eilat Car Data'!F$15</f>
        <v>1483.5685355659436</v>
      </c>
      <c r="J85" s="46">
        <f>I85*'Tier 1 Coefficients'!I$4</f>
        <v>89014.112133956616</v>
      </c>
      <c r="K85" s="46">
        <f t="shared" si="4"/>
        <v>89.014112133956615</v>
      </c>
      <c r="L85" s="46">
        <f>K85*'Tier 1 Coefficients'!D$4</f>
        <v>282.08572135250853</v>
      </c>
      <c r="M85" s="46">
        <f>K85*'Tier 1 Coefficients'!C$17</f>
        <v>777.98334005078084</v>
      </c>
      <c r="N85" s="46">
        <f>K85*'Tier 1 Coefficients'!C$41</f>
        <v>7.7442277556542249</v>
      </c>
      <c r="O85" s="46">
        <f>I85*'Tier 2 FC'!D$13</f>
        <v>108300.50309631389</v>
      </c>
      <c r="P85" s="46">
        <f t="shared" si="5"/>
        <v>108.30050309631389</v>
      </c>
      <c r="Q85" s="46">
        <f>P85*'Tier 1 Coefficients'!D$4</f>
        <v>343.20429431221874</v>
      </c>
      <c r="R85" s="46">
        <f>$I85*'T2 PC'!C63</f>
        <v>4.4507056066978308</v>
      </c>
      <c r="S85" s="46">
        <f>$I85*'T2 PC'!D63</f>
        <v>884.20684719730241</v>
      </c>
      <c r="T85" s="46">
        <f>44.011*(P85/(12.011+1.008*'Tier 3 CO2 Tables'!B$4+16*'Tier 3 CO2 Tables'!C$4))</f>
        <v>343.2561308157546</v>
      </c>
      <c r="U85" s="46">
        <f>I85*'Tier 3 CO2 Tables'!H$5/10000</f>
        <v>0.22105171179932559</v>
      </c>
      <c r="V85" s="46">
        <f>44.011*(U85/(12.011+1.008*'Tier 3 CO2 Tables'!B$6+16*'Tier 3 CO2 Tables'!C$6))</f>
        <v>0.68960555330304141</v>
      </c>
      <c r="W85" s="46">
        <f>I85*'T3 Methane'!D8</f>
        <v>16319.25389122538</v>
      </c>
      <c r="X85" s="46" cm="1">
        <f t="array" ref="X85">_xlfn.IFS(E85='Euro Age Table'!C$5,'Euro Age Table'!G$5,E85='Euro Age Table'!C$6,'Euro Age Table'!G$6,E85='Euro Age Table'!C$7,'Euro Age Table'!G$7,E85='Euro Age Table'!C$8,'Euro Age Table'!G$8,E85='Euro Age Table'!C$9,'Euro Age Table'!G$9,E85='Euro Age Table'!C$10,'Euro Age Table'!G$10,E85='Euro Age Table'!C$11,'Euro Age Table'!G$11)</f>
        <v>23</v>
      </c>
      <c r="Y85" s="46">
        <f>X85*'Eilat Car Data'!F$15</f>
        <v>337306.8242904651</v>
      </c>
      <c r="Z85" s="46">
        <f>'T3 N2O PC-Diesel LPG'!B4</f>
        <v>2</v>
      </c>
      <c r="AA85" s="124">
        <f t="shared" si="6"/>
        <v>2967.1370711318873</v>
      </c>
    </row>
    <row r="86" spans="1:27" ht="12.5">
      <c r="A86" s="48" t="s">
        <v>51</v>
      </c>
      <c r="B86" s="49" t="s">
        <v>22</v>
      </c>
      <c r="C86" s="49" t="s">
        <v>65</v>
      </c>
      <c r="D86" s="49" t="s">
        <v>66</v>
      </c>
      <c r="E86" s="50" t="s">
        <v>56</v>
      </c>
      <c r="F86" s="97">
        <v>1.6268485793254274E-5</v>
      </c>
      <c r="G86" s="99">
        <f t="shared" si="0"/>
        <v>0.435767660458109</v>
      </c>
      <c r="H86" s="76" t="s">
        <v>167</v>
      </c>
      <c r="I86" s="46">
        <f>G86*'Eilat Car Data'!F$15</f>
        <v>6390.7567685917584</v>
      </c>
      <c r="J86" s="46">
        <f>I86*'Tier 1 Coefficients'!I$4</f>
        <v>383445.4061155055</v>
      </c>
      <c r="K86" s="46">
        <f t="shared" si="4"/>
        <v>383.44540611550548</v>
      </c>
      <c r="L86" s="46">
        <f>K86*'Tier 1 Coefficients'!D$4</f>
        <v>1215.1384919800369</v>
      </c>
      <c r="M86" s="46">
        <f>K86*'Tier 1 Coefficients'!C$17</f>
        <v>3351.3128494495181</v>
      </c>
      <c r="N86" s="46">
        <f>K86*'Tier 1 Coefficients'!C$41</f>
        <v>33.359750332048975</v>
      </c>
      <c r="O86" s="46">
        <f>I86*'Tier 2 FC'!D$13</f>
        <v>466525.24410719838</v>
      </c>
      <c r="P86" s="46">
        <f t="shared" si="5"/>
        <v>466.52524410719838</v>
      </c>
      <c r="Q86" s="46">
        <f>P86*'Tier 1 Coefficients'!D$4</f>
        <v>1478.4184985757117</v>
      </c>
      <c r="R86" s="46">
        <f>$I86*'T2 PC'!C64</f>
        <v>31.953783842958792</v>
      </c>
      <c r="S86" s="46">
        <f>$I86*'T2 PC'!D64</f>
        <v>3387.101087353632</v>
      </c>
      <c r="T86" s="46">
        <f>44.011*(P86/(12.011+1.008*'Tier 3 CO2 Tables'!B$4+16*'Tier 3 CO2 Tables'!C$4))</f>
        <v>1478.6417942832511</v>
      </c>
      <c r="U86" s="46">
        <f>I86*'Tier 3 CO2 Tables'!H$5/10000</f>
        <v>0.95222275852017191</v>
      </c>
      <c r="V86" s="46">
        <f>44.011*(U86/(12.011+1.008*'Tier 3 CO2 Tables'!B$6+16*'Tier 3 CO2 Tables'!C$6))</f>
        <v>2.9706085373054099</v>
      </c>
      <c r="W86" s="46">
        <f>I86*'T3 Methane'!D9</f>
        <v>44735.297380142307</v>
      </c>
      <c r="X86" s="46" cm="1">
        <f t="array" ref="X86">_xlfn.IFS(E86='Euro Age Table'!C$5,'Euro Age Table'!G$5,E86='Euro Age Table'!C$6,'Euro Age Table'!G$6,E86='Euro Age Table'!C$7,'Euro Age Table'!G$7,E86='Euro Age Table'!C$8,'Euro Age Table'!G$8,E86='Euro Age Table'!C$9,'Euro Age Table'!G$9,E86='Euro Age Table'!C$10,'Euro Age Table'!G$10,E86='Euro Age Table'!C$11,'Euro Age Table'!G$11)</f>
        <v>18</v>
      </c>
      <c r="Y86" s="46">
        <f>X86*'Eilat Car Data'!F$15</f>
        <v>263979.2537925379</v>
      </c>
      <c r="Z86" s="46">
        <f>'T3 N2O PC-Diesel LPG'!B5</f>
        <v>4</v>
      </c>
      <c r="AA86" s="124">
        <f t="shared" si="6"/>
        <v>25563.027074367033</v>
      </c>
    </row>
    <row r="87" spans="1:27" ht="12.5">
      <c r="A87" s="48" t="s">
        <v>51</v>
      </c>
      <c r="B87" s="49" t="s">
        <v>22</v>
      </c>
      <c r="C87" s="49" t="s">
        <v>65</v>
      </c>
      <c r="D87" s="49" t="s">
        <v>66</v>
      </c>
      <c r="E87" s="50" t="s">
        <v>57</v>
      </c>
      <c r="F87" s="97">
        <v>4.2995283882172006E-5</v>
      </c>
      <c r="G87" s="99">
        <f t="shared" si="0"/>
        <v>1.1516716740678594</v>
      </c>
      <c r="H87" s="76" t="s">
        <v>167</v>
      </c>
      <c r="I87" s="46">
        <f>G87*'Eilat Car Data'!F$15</f>
        <v>16889.857174135359</v>
      </c>
      <c r="J87" s="46">
        <f>I87*'Tier 1 Coefficients'!I$4</f>
        <v>1013391.4304481215</v>
      </c>
      <c r="K87" s="46">
        <f t="shared" si="4"/>
        <v>1013.3914304481215</v>
      </c>
      <c r="L87" s="46">
        <f>K87*'Tier 1 Coefficients'!D$4</f>
        <v>3211.4374430900971</v>
      </c>
      <c r="M87" s="46">
        <f>K87*'Tier 1 Coefficients'!C$17</f>
        <v>8857.0411021165819</v>
      </c>
      <c r="N87" s="46">
        <f>K87*'Tier 1 Coefficients'!C$41</f>
        <v>88.165054448986567</v>
      </c>
      <c r="O87" s="46">
        <f>I87*'Tier 2 FC'!D$13</f>
        <v>1232959.5737118812</v>
      </c>
      <c r="P87" s="46">
        <f t="shared" si="5"/>
        <v>1232.9595737118811</v>
      </c>
      <c r="Q87" s="46">
        <f>P87*'Tier 1 Coefficients'!D$4</f>
        <v>3907.2488890929512</v>
      </c>
      <c r="R87" s="46">
        <f>$I87*'T2 PC'!C65</f>
        <v>168.89857174135361</v>
      </c>
      <c r="S87" s="46">
        <f>$I87*'T2 PC'!D65</f>
        <v>7836.8937287988074</v>
      </c>
      <c r="T87" s="46">
        <f>44.011*(P87/(12.011+1.008*'Tier 3 CO2 Tables'!B$4+16*'Tier 3 CO2 Tables'!C$4))</f>
        <v>3907.839027748591</v>
      </c>
      <c r="U87" s="46">
        <f>I87*'Tier 3 CO2 Tables'!H$5/10000</f>
        <v>2.5165887189461684</v>
      </c>
      <c r="V87" s="46">
        <f>44.011*(U87/(12.011+1.008*'Tier 3 CO2 Tables'!B$6+16*'Tier 3 CO2 Tables'!C$6))</f>
        <v>7.8508939914500102</v>
      </c>
      <c r="W87" s="46">
        <f>I87*'T3 Methane'!D10</f>
        <v>50669.571522406077</v>
      </c>
      <c r="X87" s="46" cm="1">
        <f t="array" ref="X87">_xlfn.IFS(E87='Euro Age Table'!C$5,'Euro Age Table'!G$5,E87='Euro Age Table'!C$6,'Euro Age Table'!G$6,E87='Euro Age Table'!C$7,'Euro Age Table'!G$7,E87='Euro Age Table'!C$8,'Euro Age Table'!G$8,E87='Euro Age Table'!C$9,'Euro Age Table'!G$9,E87='Euro Age Table'!C$10,'Euro Age Table'!G$10,E87='Euro Age Table'!C$11,'Euro Age Table'!G$11)</f>
        <v>16</v>
      </c>
      <c r="Y87" s="46">
        <f>X87*'Eilat Car Data'!F$15</f>
        <v>234648.22559336704</v>
      </c>
      <c r="Z87" s="46">
        <f>'T3 N2O PC-Diesel LPG'!B6</f>
        <v>9</v>
      </c>
      <c r="AA87" s="124">
        <f t="shared" si="6"/>
        <v>152008.71456721824</v>
      </c>
    </row>
    <row r="88" spans="1:27" ht="12.5">
      <c r="A88" s="48" t="s">
        <v>51</v>
      </c>
      <c r="B88" s="49" t="s">
        <v>22</v>
      </c>
      <c r="C88" s="49" t="s">
        <v>65</v>
      </c>
      <c r="D88" s="49" t="s">
        <v>66</v>
      </c>
      <c r="E88" s="50" t="s">
        <v>58</v>
      </c>
      <c r="F88" s="97">
        <v>5.4325122202474091E-5</v>
      </c>
      <c r="G88" s="99">
        <f t="shared" si="0"/>
        <v>1.4551527233154711</v>
      </c>
      <c r="H88" s="76" t="s">
        <v>167</v>
      </c>
      <c r="I88" s="46">
        <f>G88*'Eilat Car Data'!F$15</f>
        <v>21340.562780833192</v>
      </c>
      <c r="J88" s="46">
        <f>I88*'Tier 1 Coefficients'!I$4</f>
        <v>1280433.7668499914</v>
      </c>
      <c r="K88" s="46">
        <f t="shared" si="4"/>
        <v>1280.4337668499913</v>
      </c>
      <c r="L88" s="46">
        <f>K88*'Tier 1 Coefficients'!D$4</f>
        <v>4057.6946071476227</v>
      </c>
      <c r="M88" s="46">
        <f>K88*'Tier 1 Coefficients'!C$17</f>
        <v>11190.991122268924</v>
      </c>
      <c r="N88" s="46">
        <f>K88*'Tier 1 Coefficients'!C$41</f>
        <v>111.39773771594923</v>
      </c>
      <c r="O88" s="46">
        <f>I88*'Tier 2 FC'!D$13</f>
        <v>1557861.0830008229</v>
      </c>
      <c r="P88" s="46">
        <f t="shared" si="5"/>
        <v>1557.8610830008229</v>
      </c>
      <c r="Q88" s="46">
        <f>P88*'Tier 1 Coefficients'!D$4</f>
        <v>4936.8617720296079</v>
      </c>
      <c r="R88" s="46">
        <f>$I88*'T2 PC'!C66</f>
        <v>213.40562780833193</v>
      </c>
      <c r="S88" s="46">
        <f>$I88*'T2 PC'!D66</f>
        <v>8493.5439867716104</v>
      </c>
      <c r="T88" s="46">
        <f>44.011*(P88/(12.011+1.008*'Tier 3 CO2 Tables'!B$4+16*'Tier 3 CO2 Tables'!C$4))</f>
        <v>4937.6074201958545</v>
      </c>
      <c r="U88" s="46">
        <f>I88*'Tier 3 CO2 Tables'!H$5/10000</f>
        <v>3.1797438543441454</v>
      </c>
      <c r="V88" s="46">
        <f>44.011*(U88/(12.011+1.008*'Tier 3 CO2 Tables'!B$6+16*'Tier 3 CO2 Tables'!C$6))</f>
        <v>9.919710651359134</v>
      </c>
      <c r="W88" s="46">
        <f>I88*'T3 Methane'!D11</f>
        <v>23474.619058916513</v>
      </c>
      <c r="X88" s="46" cm="1">
        <f t="array" ref="X88">_xlfn.IFS(E88='Euro Age Table'!C$5,'Euro Age Table'!G$5,E88='Euro Age Table'!C$6,'Euro Age Table'!G$6,E88='Euro Age Table'!C$7,'Euro Age Table'!G$7,E88='Euro Age Table'!C$8,'Euro Age Table'!G$8,E88='Euro Age Table'!C$9,'Euro Age Table'!G$9,E88='Euro Age Table'!C$10,'Euro Age Table'!G$10,E88='Euro Age Table'!C$11,'Euro Age Table'!G$11)</f>
        <v>13</v>
      </c>
      <c r="Y88" s="46">
        <f>X88*'Eilat Car Data'!F$15</f>
        <v>190651.68329461073</v>
      </c>
      <c r="Z88" s="46">
        <f>'T3 N2O PC-Diesel LPG'!B6</f>
        <v>9</v>
      </c>
      <c r="AA88" s="124">
        <f t="shared" si="6"/>
        <v>192065.06502749873</v>
      </c>
    </row>
    <row r="89" spans="1:27" ht="12.5">
      <c r="A89" s="48" t="s">
        <v>51</v>
      </c>
      <c r="B89" s="49" t="s">
        <v>22</v>
      </c>
      <c r="C89" s="49" t="s">
        <v>65</v>
      </c>
      <c r="D89" s="49" t="s">
        <v>66</v>
      </c>
      <c r="E89" s="50" t="s">
        <v>59</v>
      </c>
      <c r="F89" s="97">
        <v>2.077137025388715E-4</v>
      </c>
      <c r="G89" s="99">
        <f t="shared" si="0"/>
        <v>5.5638192362062124</v>
      </c>
      <c r="H89" s="76" t="s">
        <v>167</v>
      </c>
      <c r="I89" s="46">
        <f>G89*'Eilat Car Data'!F$15</f>
        <v>81596.269456126902</v>
      </c>
      <c r="J89" s="46">
        <f>I89*'Tier 1 Coefficients'!I$4</f>
        <v>4895776.1673676139</v>
      </c>
      <c r="K89" s="46">
        <f t="shared" si="4"/>
        <v>4895.7761673676141</v>
      </c>
      <c r="L89" s="46">
        <f>K89*'Tier 1 Coefficients'!D$4</f>
        <v>15514.714674387969</v>
      </c>
      <c r="M89" s="46">
        <f>K89*'Tier 1 Coefficients'!C$17</f>
        <v>42789.083702792952</v>
      </c>
      <c r="N89" s="46">
        <f>K89*'Tier 1 Coefficients'!C$41</f>
        <v>425.93252656098241</v>
      </c>
      <c r="O89" s="46">
        <f>I89*'Tier 2 FC'!D$13</f>
        <v>5956527.6702972641</v>
      </c>
      <c r="P89" s="46">
        <f t="shared" si="5"/>
        <v>5956.5276702972642</v>
      </c>
      <c r="Q89" s="46">
        <f>P89*'Tier 1 Coefficients'!D$4</f>
        <v>18876.236187172031</v>
      </c>
      <c r="R89" s="46">
        <f>$I89*'T2 PC'!C67</f>
        <v>326.38507782450762</v>
      </c>
      <c r="S89" s="46">
        <f>$I89*'T2 PC'!D67</f>
        <v>32475.315243538509</v>
      </c>
      <c r="T89" s="46">
        <f>44.011*(P89/(12.011+1.008*'Tier 3 CO2 Tables'!B$4+16*'Tier 3 CO2 Tables'!C$4))</f>
        <v>18879.087194866504</v>
      </c>
      <c r="U89" s="46">
        <f>I89*'Tier 3 CO2 Tables'!H$5/10000</f>
        <v>12.157844148962909</v>
      </c>
      <c r="V89" s="46">
        <f>44.011*(U89/(12.011+1.008*'Tier 3 CO2 Tables'!B$6+16*'Tier 3 CO2 Tables'!C$6))</f>
        <v>37.928305431667276</v>
      </c>
      <c r="W89" s="46">
        <f>I89*'T3 Methane'!D12</f>
        <v>6119.7202092095176</v>
      </c>
      <c r="X89" s="46" cm="1">
        <f t="array" ref="X89">_xlfn.IFS(E89='Euro Age Table'!C$5,'Euro Age Table'!G$5,E89='Euro Age Table'!C$6,'Euro Age Table'!G$6,E89='Euro Age Table'!C$7,'Euro Age Table'!G$7,E89='Euro Age Table'!C$8,'Euro Age Table'!G$8,E89='Euro Age Table'!C$9,'Euro Age Table'!G$9,E89='Euro Age Table'!C$10,'Euro Age Table'!G$10,E89='Euro Age Table'!C$11,'Euro Age Table'!G$11)</f>
        <v>9</v>
      </c>
      <c r="Y89" s="46">
        <f>X89*'Eilat Car Data'!F$15</f>
        <v>131989.62689626895</v>
      </c>
      <c r="Z89" s="46">
        <f>'T3 N2O PC-Diesel LPG'!B6</f>
        <v>9</v>
      </c>
      <c r="AA89" s="124">
        <f t="shared" si="6"/>
        <v>734366.42510514217</v>
      </c>
    </row>
    <row r="90" spans="1:27" ht="12.5">
      <c r="A90" s="48" t="s">
        <v>51</v>
      </c>
      <c r="B90" s="51" t="s">
        <v>22</v>
      </c>
      <c r="C90" s="49" t="s">
        <v>65</v>
      </c>
      <c r="D90" s="49" t="s">
        <v>66</v>
      </c>
      <c r="E90" s="50" t="s">
        <v>60</v>
      </c>
      <c r="F90" s="97">
        <v>2.4577033894809136E-4</v>
      </c>
      <c r="G90" s="99">
        <f t="shared" si="0"/>
        <v>6.5832042990635751</v>
      </c>
      <c r="H90" s="76" t="s">
        <v>167</v>
      </c>
      <c r="I90" s="46">
        <f>G90*'Eilat Car Data'!F$15</f>
        <v>96546.075468368348</v>
      </c>
      <c r="J90" s="46">
        <f>I90*'Tier 1 Coefficients'!I$4</f>
        <v>5792764.5281021008</v>
      </c>
      <c r="K90" s="46">
        <f t="shared" si="4"/>
        <v>5792.7645281021005</v>
      </c>
      <c r="L90" s="46">
        <f>K90*'Tier 1 Coefficients'!D$4</f>
        <v>18357.270789555558</v>
      </c>
      <c r="M90" s="46">
        <f>K90*'Tier 1 Coefficients'!C$17</f>
        <v>50628.76197561236</v>
      </c>
      <c r="N90" s="46">
        <f>K90*'Tier 1 Coefficients'!C$41</f>
        <v>503.97051394488273</v>
      </c>
      <c r="O90" s="46">
        <f>I90*'Tier 2 FC'!D$13</f>
        <v>7047863.5091908891</v>
      </c>
      <c r="P90" s="46">
        <f t="shared" si="5"/>
        <v>7047.8635091908891</v>
      </c>
      <c r="Q90" s="46">
        <f>P90*'Tier 1 Coefficients'!D$4</f>
        <v>22334.679460625928</v>
      </c>
      <c r="R90" s="46">
        <f>$I90*'T2 PC'!C68</f>
        <v>386.18430187347337</v>
      </c>
      <c r="S90" s="46">
        <f>$I90*'T2 PC'!D68</f>
        <v>38425.338036410605</v>
      </c>
      <c r="T90" s="46">
        <f>44.011*(P90/(12.011+1.008*'Tier 3 CO2 Tables'!B$4+16*'Tier 3 CO2 Tables'!C$4))</f>
        <v>22338.05282077911</v>
      </c>
      <c r="U90" s="46">
        <f>I90*'Tier 3 CO2 Tables'!H$6/10000</f>
        <v>12.357897659951149</v>
      </c>
      <c r="V90" s="46">
        <f>44.011*(U90/(12.011+1.008*'Tier 3 CO2 Tables'!B$6+16*'Tier 3 CO2 Tables'!C$6))</f>
        <v>38.552403797666372</v>
      </c>
      <c r="W90" s="46">
        <f>I90*'T3 Methane'!D12</f>
        <v>7240.9556601276263</v>
      </c>
      <c r="X90" s="46" cm="1">
        <f t="array" ref="X90">_xlfn.IFS(E90='Euro Age Table'!C$5,'Euro Age Table'!G$5,E90='Euro Age Table'!C$6,'Euro Age Table'!G$6,E90='Euro Age Table'!C$7,'Euro Age Table'!G$7,E90='Euro Age Table'!C$8,'Euro Age Table'!G$8,E90='Euro Age Table'!C$9,'Euro Age Table'!G$9,E90='Euro Age Table'!C$10,'Euro Age Table'!G$10,E90='Euro Age Table'!C$11,'Euro Age Table'!G$11)</f>
        <v>3</v>
      </c>
      <c r="Y90" s="46">
        <f>X90*'Eilat Car Data'!F$15</f>
        <v>43996.542298756322</v>
      </c>
      <c r="Z90" s="46">
        <f>'T3 N2O PC-Diesel LPG'!B7</f>
        <v>11</v>
      </c>
      <c r="AA90" s="124">
        <f t="shared" si="6"/>
        <v>1062006.8301520518</v>
      </c>
    </row>
    <row r="91" spans="1:27" ht="12.5">
      <c r="A91" s="48" t="s">
        <v>51</v>
      </c>
      <c r="B91" s="49" t="s">
        <v>23</v>
      </c>
      <c r="C91" s="49" t="s">
        <v>65</v>
      </c>
      <c r="D91" s="49" t="s">
        <v>66</v>
      </c>
      <c r="E91" s="50" t="s">
        <v>57</v>
      </c>
      <c r="F91" s="97">
        <v>8.7152602463862176E-7</v>
      </c>
      <c r="G91" s="99">
        <f t="shared" si="0"/>
        <v>2.3344696095970122E-2</v>
      </c>
      <c r="H91" s="76" t="s">
        <v>167</v>
      </c>
      <c r="I91" s="46">
        <f>G91*'Eilat Car Data'!F$15</f>
        <v>342.36196974598698</v>
      </c>
      <c r="J91" s="46">
        <f>I91*'Tier 1 Coefficients'!I$5</f>
        <v>19685.81326039425</v>
      </c>
      <c r="K91" s="46">
        <f t="shared" si="4"/>
        <v>19.685813260394252</v>
      </c>
      <c r="L91" s="46">
        <f>K91*'Tier 1 Coefficients'!D$5</f>
        <v>59.529899299432216</v>
      </c>
      <c r="M91" s="46">
        <f>K91*'Tier 1 Coefficients'!C$17</f>
        <v>172.05400789584576</v>
      </c>
      <c r="N91" s="46">
        <f>K91*'Tier 1 Coefficients'!C$42</f>
        <v>1.7520373801750884</v>
      </c>
      <c r="O91" s="46">
        <f>I91*'Tier 2 FC'!D$15</f>
        <v>19514.632275521257</v>
      </c>
      <c r="P91" s="46">
        <f t="shared" si="5"/>
        <v>19.514632275521258</v>
      </c>
      <c r="Q91" s="46">
        <f>P91*'Tier 1 Coefficients'!D$5</f>
        <v>59.012248001176282</v>
      </c>
      <c r="R91" s="46">
        <f>$I91*'T2 PC'!C74</f>
        <v>1.3694478789839479</v>
      </c>
      <c r="S91" s="46">
        <f>$I91*'T2 PC'!D74</f>
        <v>158.85595396213796</v>
      </c>
      <c r="T91" s="46">
        <f>44.011*(P91/(12.011+1.008*'Tier 3 CO2 Tables'!B$5+16*'Tier 3 CO2 Tables'!C$5))</f>
        <v>59.002932157978471</v>
      </c>
      <c r="U91" s="46">
        <f>I91*'Tier 3 CO2 Tables'!H3/10000</f>
        <v>4.9642485613168114E-2</v>
      </c>
      <c r="V91" s="46">
        <f>44.011*(U91/(12.011+1.008*'Tier 3 CO2 Tables'!B$6+16*'Tier 3 CO2 Tables'!C$6))</f>
        <v>0.15486753520228344</v>
      </c>
      <c r="W91" s="46">
        <f>I91*'T3 Methane'!D$13</f>
        <v>27388.957579678958</v>
      </c>
      <c r="X91" s="46" cm="1">
        <f t="array" ref="X91">_xlfn.IFS(E91='Euro Age Table'!C$5,'Euro Age Table'!G$5,E91='Euro Age Table'!C$6,'Euro Age Table'!G$6,E91='Euro Age Table'!C$7,'Euro Age Table'!G$7,E91='Euro Age Table'!C$8,'Euro Age Table'!G$8,E91='Euro Age Table'!C$9,'Euro Age Table'!G$9,E91='Euro Age Table'!C$10,'Euro Age Table'!G$10,E91='Euro Age Table'!C$11,'Euro Age Table'!G$11)</f>
        <v>16</v>
      </c>
      <c r="Y91" s="46">
        <f>X91*'Eilat Car Data'!F$15</f>
        <v>234648.22559336704</v>
      </c>
      <c r="Z91" s="121">
        <f>'T3 N2O PC-Diesel LPG'!B12</f>
        <v>5</v>
      </c>
      <c r="AA91" s="124">
        <f t="shared" si="6"/>
        <v>1711.8098487299349</v>
      </c>
    </row>
    <row r="92" spans="1:27" ht="12.5">
      <c r="A92" s="48" t="s">
        <v>51</v>
      </c>
      <c r="B92" s="51" t="s">
        <v>23</v>
      </c>
      <c r="C92" s="51" t="s">
        <v>65</v>
      </c>
      <c r="D92" s="49" t="s">
        <v>66</v>
      </c>
      <c r="E92" s="51" t="s">
        <v>60</v>
      </c>
      <c r="F92" s="97">
        <v>0</v>
      </c>
      <c r="G92" s="99">
        <f t="shared" si="0"/>
        <v>0</v>
      </c>
      <c r="H92" s="102" t="s">
        <v>167</v>
      </c>
      <c r="I92" s="46">
        <f>G92*'Eilat Car Data'!F$15</f>
        <v>0</v>
      </c>
      <c r="J92" s="46">
        <f>I92*'Tier 1 Coefficients'!I$5</f>
        <v>0</v>
      </c>
      <c r="K92" s="46">
        <f t="shared" si="4"/>
        <v>0</v>
      </c>
      <c r="L92" s="46">
        <f>K92*'Tier 1 Coefficients'!D$5</f>
        <v>0</v>
      </c>
      <c r="M92" s="46">
        <f>K92*'Tier 1 Coefficients'!C$18</f>
        <v>0</v>
      </c>
      <c r="N92" s="46">
        <f>K92*'Tier 1 Coefficients'!C$42</f>
        <v>0</v>
      </c>
      <c r="O92" s="46">
        <f>I92*'Tier 2 FC'!D$15</f>
        <v>0</v>
      </c>
      <c r="P92" s="46">
        <f t="shared" si="5"/>
        <v>0</v>
      </c>
      <c r="Q92" s="46">
        <f>P92*'Tier 1 Coefficients'!D$5</f>
        <v>0</v>
      </c>
      <c r="R92" s="46">
        <f>$I92*'T2 PC'!C77</f>
        <v>0</v>
      </c>
      <c r="S92" s="46">
        <f>$I92*'T2 PC'!D77</f>
        <v>0</v>
      </c>
      <c r="T92" s="46">
        <f>44.011*(P92/(12.011+1.008*'Tier 3 CO2 Tables'!B$5+16*'Tier 3 CO2 Tables'!C$5))</f>
        <v>0</v>
      </c>
      <c r="U92" s="46">
        <f>I92*'Tier 3 CO2 Tables'!H4/10000</f>
        <v>0</v>
      </c>
      <c r="V92" s="46">
        <f>44.011*(U92/(12.011+1.008*'Tier 3 CO2 Tables'!B$6+16*'Tier 3 CO2 Tables'!C$6))</f>
        <v>0</v>
      </c>
      <c r="W92" s="46">
        <f>I92*'T3 Methane'!D$13</f>
        <v>0</v>
      </c>
      <c r="X92" s="46" cm="1">
        <f t="array" ref="X92">_xlfn.IFS(E92='Euro Age Table'!C$5,'Euro Age Table'!G$5,E92='Euro Age Table'!C$6,'Euro Age Table'!G$6,E92='Euro Age Table'!C$7,'Euro Age Table'!G$7,E92='Euro Age Table'!C$8,'Euro Age Table'!G$8,E92='Euro Age Table'!C$9,'Euro Age Table'!G$9,E92='Euro Age Table'!C$10,'Euro Age Table'!G$10,E92='Euro Age Table'!C$11,'Euro Age Table'!G$11)</f>
        <v>3</v>
      </c>
      <c r="Y92" s="46">
        <f>X92*'Eilat Car Data'!F$15</f>
        <v>43996.542298756322</v>
      </c>
      <c r="Z92" s="111">
        <f>'T3 N2O PC-Diesel LPG'!B15</f>
        <v>2.1</v>
      </c>
      <c r="AA92" s="124">
        <f t="shared" si="6"/>
        <v>0</v>
      </c>
    </row>
    <row r="93" spans="1:27" ht="12.5">
      <c r="A93" s="48" t="s">
        <v>51</v>
      </c>
      <c r="B93" s="49" t="s">
        <v>22</v>
      </c>
      <c r="C93" s="49" t="s">
        <v>67</v>
      </c>
      <c r="D93" s="49" t="s">
        <v>66</v>
      </c>
      <c r="E93" s="50" t="s">
        <v>57</v>
      </c>
      <c r="F93" s="97">
        <v>0</v>
      </c>
      <c r="G93" s="99">
        <f t="shared" si="0"/>
        <v>0</v>
      </c>
      <c r="H93" s="76" t="s">
        <v>167</v>
      </c>
      <c r="I93" s="46">
        <f>G93*'Eilat Car Data'!F$15</f>
        <v>0</v>
      </c>
      <c r="J93" s="46">
        <f>I93*'Tier 1 Coefficients'!I$4</f>
        <v>0</v>
      </c>
      <c r="K93" s="46">
        <f t="shared" si="4"/>
        <v>0</v>
      </c>
      <c r="L93" s="46">
        <f>K93*'Tier 1 Coefficients'!D$4</f>
        <v>0</v>
      </c>
      <c r="M93" s="46">
        <f>K93*'Tier 1 Coefficients'!C$18</f>
        <v>0</v>
      </c>
      <c r="N93" s="46">
        <f>K93*'Tier 1 Coefficients'!C$41</f>
        <v>0</v>
      </c>
      <c r="O93" s="46">
        <f>I93*'Tier 2 FC'!D$13</f>
        <v>0</v>
      </c>
      <c r="P93" s="46">
        <f t="shared" si="5"/>
        <v>0</v>
      </c>
      <c r="Q93" s="46">
        <f>P93*'Tier 1 Coefficients'!D$4</f>
        <v>0</v>
      </c>
      <c r="R93" s="46">
        <f>$I93*'T2 PC'!C65</f>
        <v>0</v>
      </c>
      <c r="S93" s="46">
        <f>$I93*'T2 PC'!D65</f>
        <v>0</v>
      </c>
      <c r="T93" s="46">
        <f>44.011*(P93/(12.011+1.008*'Tier 3 CO2 Tables'!B$4+16*'Tier 3 CO2 Tables'!C$4))</f>
        <v>0</v>
      </c>
      <c r="U93" s="46">
        <f>I93*'Tier 3 CO2 Tables'!H$5/10000</f>
        <v>0</v>
      </c>
      <c r="V93" s="46">
        <f>44.011*(U93/(12.011+1.008*'Tier 3 CO2 Tables'!B$6+16*'Tier 3 CO2 Tables'!C$6))</f>
        <v>0</v>
      </c>
      <c r="W93" s="46">
        <f>G93*'T3 Methane'!D10</f>
        <v>0</v>
      </c>
      <c r="X93" s="46" cm="1">
        <f t="array" ref="X93">_xlfn.IFS(E93='Euro Age Table'!C$5,'Euro Age Table'!G$5,E93='Euro Age Table'!C$6,'Euro Age Table'!G$6,E93='Euro Age Table'!C$7,'Euro Age Table'!G$7,E93='Euro Age Table'!C$8,'Euro Age Table'!G$8,E93='Euro Age Table'!C$9,'Euro Age Table'!G$9,E93='Euro Age Table'!C$10,'Euro Age Table'!G$10,E93='Euro Age Table'!C$11,'Euro Age Table'!G$11)</f>
        <v>16</v>
      </c>
      <c r="Y93" s="46">
        <f>X93*'Eilat Car Data'!F$15</f>
        <v>234648.22559336704</v>
      </c>
      <c r="Z93" s="121">
        <f>'T3 N2O PC-Diesel LPG'!B6</f>
        <v>9</v>
      </c>
      <c r="AA93" s="124">
        <f t="shared" si="6"/>
        <v>0</v>
      </c>
    </row>
    <row r="94" spans="1:27" ht="12.5">
      <c r="A94" s="82" t="s">
        <v>51</v>
      </c>
      <c r="B94" s="82" t="s">
        <v>22</v>
      </c>
      <c r="C94" s="82" t="s">
        <v>67</v>
      </c>
      <c r="D94" s="82" t="s">
        <v>66</v>
      </c>
      <c r="E94" s="83" t="s">
        <v>60</v>
      </c>
      <c r="F94" s="84">
        <v>5.7811226301028575E-5</v>
      </c>
      <c r="G94" s="104">
        <f t="shared" si="0"/>
        <v>1.5485315076993513</v>
      </c>
      <c r="H94" s="76" t="s">
        <v>167</v>
      </c>
      <c r="I94" s="46">
        <f>G94*'Eilat Car Data'!F$15</f>
        <v>22710.010659817137</v>
      </c>
      <c r="J94" s="46">
        <f>I94*'Tier 1 Coefficients'!I$4</f>
        <v>1362600.6395890282</v>
      </c>
      <c r="K94" s="46">
        <f t="shared" si="4"/>
        <v>1362.6006395890281</v>
      </c>
      <c r="L94" s="46">
        <f>K94*'Tier 1 Coefficients'!D$4</f>
        <v>4318.0814268576305</v>
      </c>
      <c r="M94" s="46">
        <f>K94*'Tier 1 Coefficients'!C$17</f>
        <v>11909.129590008106</v>
      </c>
      <c r="N94" s="46">
        <f>K94*'Tier 1 Coefficients'!C$41</f>
        <v>118.54625564424543</v>
      </c>
      <c r="O94" s="46">
        <f>I94*'Tier 2 FC'!D$13</f>
        <v>1657830.778166651</v>
      </c>
      <c r="P94" s="46">
        <f t="shared" si="5"/>
        <v>1657.830778166651</v>
      </c>
      <c r="Q94" s="46">
        <f>P94*'Tier 1 Coefficients'!D$4</f>
        <v>5253.6657360101171</v>
      </c>
      <c r="R94" s="46">
        <f>$I94*'T2 PC'!C68</f>
        <v>90.840042639268546</v>
      </c>
      <c r="S94" s="46">
        <f>$I94*'T2 PC'!D68</f>
        <v>9038.5842426072213</v>
      </c>
      <c r="T94" s="46">
        <f>44.011*(P94/(12.011+1.008*'Tier 3 CO2 Tables'!B$4+16*'Tier 3 CO2 Tables'!C$4))</f>
        <v>5254.4592332565517</v>
      </c>
      <c r="U94" s="46">
        <f>I94*'Tier 3 CO2 Tables'!H$6/10000</f>
        <v>2.9068813644565936</v>
      </c>
      <c r="V94" s="46">
        <f>44.011*(U94/(12.011+1.008*'Tier 3 CO2 Tables'!B$6+16*'Tier 3 CO2 Tables'!C$6))</f>
        <v>9.0684732337300318</v>
      </c>
      <c r="W94" s="46">
        <f>I94*'T3 Methane'!D12</f>
        <v>1703.2507994862851</v>
      </c>
      <c r="X94" s="46" cm="1">
        <f t="array" ref="X94">_xlfn.IFS(E94='Euro Age Table'!C$5,'Euro Age Table'!G$5,E94='Euro Age Table'!C$6,'Euro Age Table'!G$6,E94='Euro Age Table'!C$7,'Euro Age Table'!G$7,E94='Euro Age Table'!C$8,'Euro Age Table'!G$8,E94='Euro Age Table'!C$9,'Euro Age Table'!G$9,E94='Euro Age Table'!C$10,'Euro Age Table'!G$10,E94='Euro Age Table'!C$11,'Euro Age Table'!G$11)</f>
        <v>3</v>
      </c>
      <c r="Y94" s="46">
        <f>X94*'Eilat Car Data'!F$15</f>
        <v>43996.542298756322</v>
      </c>
      <c r="Z94" s="121">
        <f>'T3 N2O PC-Diesel LPG'!B7</f>
        <v>11</v>
      </c>
      <c r="AA94" s="124">
        <f t="shared" si="6"/>
        <v>249810.11725798852</v>
      </c>
    </row>
    <row r="95" spans="1:27" ht="12.5">
      <c r="A95" s="92" t="s">
        <v>29</v>
      </c>
      <c r="B95" s="53"/>
      <c r="C95" s="53"/>
      <c r="D95" s="53"/>
      <c r="E95" s="47"/>
      <c r="F95" s="85"/>
      <c r="G95" s="87">
        <v>848</v>
      </c>
      <c r="H95" s="46">
        <f>SUM(G98:G124)</f>
        <v>845.64562680386507</v>
      </c>
      <c r="I95" s="46"/>
      <c r="J95" s="46"/>
      <c r="K95" s="46">
        <f t="shared" si="4"/>
        <v>0</v>
      </c>
      <c r="L95" s="46"/>
      <c r="M95" s="46"/>
      <c r="N95" s="46"/>
      <c r="O95" s="46"/>
      <c r="P95" s="46">
        <f t="shared" si="5"/>
        <v>0</v>
      </c>
      <c r="Q95" s="46"/>
      <c r="R95" s="46"/>
      <c r="S95" s="46"/>
      <c r="T95" s="46"/>
      <c r="U95" s="46"/>
      <c r="V95" s="46">
        <f>44.011*(U95/(12.011+1.008*'Tier 3 CO2 Tables'!B$6+16*'Tier 3 CO2 Tables'!C$6))</f>
        <v>0</v>
      </c>
      <c r="W95" s="46"/>
      <c r="X95" s="46" t="e" cm="1">
        <f t="array" ref="X95">_xlfn.IFS(E95='Euro Age Table'!C$5,'Euro Age Table'!G$5,E95='Euro Age Table'!C$6,'Euro Age Table'!G$6,E95='Euro Age Table'!C$7,'Euro Age Table'!G$7,E95='Euro Age Table'!C$8,'Euro Age Table'!G$8,E95='Euro Age Table'!C$9,'Euro Age Table'!G$9,E95='Euro Age Table'!C$10,'Euro Age Table'!G$10,E95='Euro Age Table'!C$11,'Euro Age Table'!G$11)</f>
        <v>#N/A</v>
      </c>
      <c r="Y95" s="46"/>
      <c r="Z95" s="46"/>
      <c r="AA95" s="124">
        <f t="shared" si="6"/>
        <v>0</v>
      </c>
    </row>
    <row r="96" spans="1:27" ht="12.5">
      <c r="A96" s="49" t="s">
        <v>29</v>
      </c>
      <c r="B96" s="49" t="s">
        <v>20</v>
      </c>
      <c r="C96" s="49" t="s">
        <v>68</v>
      </c>
      <c r="D96" s="49" t="s">
        <v>69</v>
      </c>
      <c r="E96" s="50" t="s">
        <v>54</v>
      </c>
      <c r="F96" s="80">
        <v>5.4900238423892581E-5</v>
      </c>
      <c r="G96" s="103">
        <f t="shared" ref="G96:G133" si="7">F96*$G$95</f>
        <v>4.6555402183460909E-2</v>
      </c>
      <c r="H96" s="46"/>
      <c r="I96" s="46">
        <f>G96*'Eilat Car Data'!F$16</f>
        <v>1275.7452203792427</v>
      </c>
      <c r="J96" s="46">
        <f>I96*'Tier 1 Coefficients'!I$8</f>
        <v>127574.52203792427</v>
      </c>
      <c r="K96" s="46">
        <f t="shared" si="4"/>
        <v>127.57452203792427</v>
      </c>
      <c r="L96" s="46">
        <f>K96*'Tier 1 Coefficients'!D$3</f>
        <v>404.28366033818202</v>
      </c>
      <c r="M96" s="46">
        <f>K96*'Tier 1 Coefficients'!C$19</f>
        <v>774.37734877020034</v>
      </c>
      <c r="N96" s="46">
        <f>K96*'Tier 1 Coefficients'!C$43</f>
        <v>23.728861099053912</v>
      </c>
      <c r="O96" s="46">
        <f>I96*'Tier 2 FC'!D26</f>
        <v>108438.34373223563</v>
      </c>
      <c r="P96" s="46">
        <f t="shared" si="5"/>
        <v>108.43834373223564</v>
      </c>
      <c r="Q96" s="46">
        <f>P96*'Tier 1 Coefficients'!D$3</f>
        <v>343.64111128745475</v>
      </c>
      <c r="R96" s="46">
        <f>$I96*'T2 LPG'!C2</f>
        <v>12.757452203792427</v>
      </c>
      <c r="S96" s="121">
        <f>$I96*'T2 LPG'!D2</f>
        <v>845.81908111143798</v>
      </c>
      <c r="T96" s="46">
        <f>44.011*(P96/(12.011+1.008*'Tier 3 CO2 Tables'!B$3+16*'Tier 3 CO2 Tables'!C$3))</f>
        <v>343.69301376646081</v>
      </c>
      <c r="U96" s="46">
        <f>I96*'Tier 3 CO2 Tables'!H$7/10000</f>
        <v>0.18498305695499018</v>
      </c>
      <c r="V96" s="46">
        <f>44.011*(U96/(12.011+1.008*'Tier 3 CO2 Tables'!B$6+16*'Tier 3 CO2 Tables'!C$6))</f>
        <v>0.57708371631584543</v>
      </c>
      <c r="W96" s="46">
        <f>I96*'T3 Methane'!D17</f>
        <v>167122.6238696808</v>
      </c>
      <c r="X96" s="46" cm="1">
        <f t="array" ref="X96">_xlfn.IFS(E96='Euro Age Table'!C$5,'Euro Age Table'!G$5,E96='Euro Age Table'!C$6,'Euro Age Table'!G$6,E96='Euro Age Table'!C$7,'Euro Age Table'!G$7,E96='Euro Age Table'!C$8,'Euro Age Table'!G$8,E96='Euro Age Table'!C$9,'Euro Age Table'!G$9,E96='Euro Age Table'!C$10,'Euro Age Table'!G$10,E96='Euro Age Table'!C$11,'Euro Age Table'!G$11)</f>
        <v>27</v>
      </c>
      <c r="Y96" s="46">
        <f>X96*'Eilat Car Data'!F$16</f>
        <v>739873.7704918033</v>
      </c>
      <c r="Z96" s="46">
        <f>('T3 N2O LCV-Petrol'!D2*Y96+'T3 N2O LCV-Petrol'!E2)*'T3 N2O LCV-Petrol'!C2</f>
        <v>10</v>
      </c>
      <c r="AA96" s="124">
        <f t="shared" si="6"/>
        <v>12757.452203792427</v>
      </c>
    </row>
    <row r="97" spans="1:27" ht="12.5">
      <c r="A97" s="49" t="s">
        <v>29</v>
      </c>
      <c r="B97" s="49" t="s">
        <v>20</v>
      </c>
      <c r="C97" s="49" t="s">
        <v>68</v>
      </c>
      <c r="D97" s="51" t="s">
        <v>70</v>
      </c>
      <c r="E97" s="51" t="s">
        <v>60</v>
      </c>
      <c r="F97" s="97">
        <v>0</v>
      </c>
      <c r="G97" s="99">
        <f t="shared" si="7"/>
        <v>0</v>
      </c>
      <c r="H97" s="46"/>
      <c r="I97" s="46">
        <f>G97*'Eilat Car Data'!F$16</f>
        <v>0</v>
      </c>
      <c r="J97" s="46">
        <f>I97*'Tier 1 Coefficients'!I$8</f>
        <v>0</v>
      </c>
      <c r="K97" s="46">
        <f t="shared" si="4"/>
        <v>0</v>
      </c>
      <c r="L97" s="46">
        <f>K97*'Tier 1 Coefficients'!D$3</f>
        <v>0</v>
      </c>
      <c r="M97" s="46">
        <f>K97*'Tier 1 Coefficients'!C$19</f>
        <v>0</v>
      </c>
      <c r="N97" s="46">
        <f>K97*'Tier 1 Coefficients'!C$43</f>
        <v>0</v>
      </c>
      <c r="O97" s="46">
        <f>I97*'Tier 2 FC'!D27</f>
        <v>0</v>
      </c>
      <c r="P97" s="46">
        <f t="shared" si="5"/>
        <v>0</v>
      </c>
      <c r="Q97" s="46">
        <f>P97*'Tier 1 Coefficients'!D$3</f>
        <v>0</v>
      </c>
      <c r="R97" s="46">
        <f>$I97*'T2 LPG'!C8</f>
        <v>0</v>
      </c>
      <c r="S97" s="121">
        <f>$I97*'T2 LPG'!D8</f>
        <v>0</v>
      </c>
      <c r="T97" s="46">
        <f>44.011*(P97/(12.011+1.008*'Tier 3 CO2 Tables'!B$3+16*'Tier 3 CO2 Tables'!C$3))</f>
        <v>0</v>
      </c>
      <c r="U97" s="46">
        <f>I97*'Tier 3 CO2 Tables'!H$8/10000</f>
        <v>0</v>
      </c>
      <c r="V97" s="46">
        <f>44.011*(U97/(12.011+1.008*'Tier 3 CO2 Tables'!B$6+16*'Tier 3 CO2 Tables'!C$6))</f>
        <v>0</v>
      </c>
      <c r="W97" s="46">
        <f>I97*'T3 Methane'!D21</f>
        <v>0</v>
      </c>
      <c r="X97" s="46" cm="1">
        <f t="array" ref="X97">_xlfn.IFS(E97='Euro Age Table'!C$5,'Euro Age Table'!G$5,E97='Euro Age Table'!C$6,'Euro Age Table'!G$6,E97='Euro Age Table'!C$7,'Euro Age Table'!G$7,E97='Euro Age Table'!C$8,'Euro Age Table'!G$8,E97='Euro Age Table'!C$9,'Euro Age Table'!G$9,E97='Euro Age Table'!C$10,'Euro Age Table'!G$10,E97='Euro Age Table'!C$11,'Euro Age Table'!G$11)</f>
        <v>3</v>
      </c>
      <c r="Y97" s="46">
        <f>X97*'Eilat Car Data'!F$16</f>
        <v>82208.196721311484</v>
      </c>
      <c r="Z97" s="121">
        <f>('T3 N2O LCV-Petrol'!D8*Y97+'T3 N2O LCV-Petrol'!E8)*'T3 N2O LCV-Petrol'!C8</f>
        <v>2.2208856432786885</v>
      </c>
      <c r="AA97" s="124">
        <f t="shared" si="6"/>
        <v>0</v>
      </c>
    </row>
    <row r="98" spans="1:27" ht="12.5">
      <c r="A98" s="49" t="s">
        <v>29</v>
      </c>
      <c r="B98" s="49" t="s">
        <v>20</v>
      </c>
      <c r="C98" s="49" t="s">
        <v>68</v>
      </c>
      <c r="D98" s="49" t="s">
        <v>71</v>
      </c>
      <c r="E98" s="50" t="s">
        <v>54</v>
      </c>
      <c r="F98" s="97">
        <v>9.1604969255866479E-3</v>
      </c>
      <c r="G98" s="99">
        <f t="shared" si="7"/>
        <v>7.7681013928974778</v>
      </c>
      <c r="H98" s="46"/>
      <c r="I98" s="46">
        <f>G98*'Eilat Car Data'!F$16</f>
        <v>212867.20248613652</v>
      </c>
      <c r="J98" s="46">
        <f>I98*'Tier 1 Coefficients'!I$8</f>
        <v>21286720.248613652</v>
      </c>
      <c r="K98" s="46">
        <f t="shared" si="4"/>
        <v>21286.720248613652</v>
      </c>
      <c r="L98" s="46">
        <f>K98*'Tier 1 Coefficients'!D$3</f>
        <v>67457.616467856671</v>
      </c>
      <c r="M98" s="46">
        <f>K98*'Tier 1 Coefficients'!C$19</f>
        <v>129210.39190908488</v>
      </c>
      <c r="N98" s="46">
        <f>K98*'Tier 1 Coefficients'!C$43</f>
        <v>3959.3299662421391</v>
      </c>
      <c r="O98" s="46">
        <f>I98*'Tier 2 FC'!D26</f>
        <v>18093712.211321604</v>
      </c>
      <c r="P98" s="46">
        <f t="shared" si="5"/>
        <v>18093.712211321603</v>
      </c>
      <c r="Q98" s="46">
        <f>P98*'Tier 1 Coefficients'!D$3</f>
        <v>57338.973997678157</v>
      </c>
      <c r="R98" s="46">
        <f>$I98*'T2 LPG'!C2</f>
        <v>2128.6720248613651</v>
      </c>
      <c r="S98" s="121">
        <f>$I98*'T2 LPG'!D2</f>
        <v>141130.95524830851</v>
      </c>
      <c r="T98" s="46">
        <f>44.011*(P98/(12.011+1.008*'Tier 3 CO2 Tables'!B$3+16*'Tier 3 CO2 Tables'!C$3))</f>
        <v>57347.634297032317</v>
      </c>
      <c r="U98" s="46">
        <f>I98*'Tier 3 CO2 Tables'!H$7/10000</f>
        <v>30.865744360489796</v>
      </c>
      <c r="V98" s="46">
        <f>44.011*(U98/(12.011+1.008*'Tier 3 CO2 Tables'!B$6+16*'Tier 3 CO2 Tables'!C$6))</f>
        <v>96.290540093843944</v>
      </c>
      <c r="W98" s="46">
        <f>I98*'T3 Methane'!D17</f>
        <v>27885603.525683884</v>
      </c>
      <c r="X98" s="46" cm="1">
        <f t="array" ref="X98">_xlfn.IFS(E98='Euro Age Table'!C$5,'Euro Age Table'!G$5,E98='Euro Age Table'!C$6,'Euro Age Table'!G$6,E98='Euro Age Table'!C$7,'Euro Age Table'!G$7,E98='Euro Age Table'!C$8,'Euro Age Table'!G$8,E98='Euro Age Table'!C$9,'Euro Age Table'!G$9,E98='Euro Age Table'!C$10,'Euro Age Table'!G$10,E98='Euro Age Table'!C$11,'Euro Age Table'!G$11)</f>
        <v>27</v>
      </c>
      <c r="Y98" s="46">
        <f>X98*'Eilat Car Data'!F$16</f>
        <v>739873.7704918033</v>
      </c>
      <c r="Z98" s="46">
        <f>('T3 N2O LCV-Petrol'!D2*Y98+'T3 N2O LCV-Petrol'!E2)*'T3 N2O LCV-Petrol'!C2</f>
        <v>10</v>
      </c>
      <c r="AA98" s="124">
        <f t="shared" si="6"/>
        <v>2128672.0248613651</v>
      </c>
    </row>
    <row r="99" spans="1:27" ht="12.5">
      <c r="A99" s="49" t="s">
        <v>29</v>
      </c>
      <c r="B99" s="49" t="s">
        <v>20</v>
      </c>
      <c r="C99" s="49" t="s">
        <v>68</v>
      </c>
      <c r="D99" s="49" t="s">
        <v>71</v>
      </c>
      <c r="E99" s="50" t="s">
        <v>55</v>
      </c>
      <c r="F99" s="97">
        <v>6.5880286108671105E-4</v>
      </c>
      <c r="G99" s="99">
        <f t="shared" si="7"/>
        <v>0.55866482620153102</v>
      </c>
      <c r="H99" s="46"/>
      <c r="I99" s="46">
        <f>G99*'Eilat Car Data'!F$16</f>
        <v>15308.942644550916</v>
      </c>
      <c r="J99" s="46">
        <f>I99*'Tier 1 Coefficients'!I$8</f>
        <v>1530894.2644550917</v>
      </c>
      <c r="K99" s="46">
        <f t="shared" si="4"/>
        <v>1530.8942644550916</v>
      </c>
      <c r="L99" s="46">
        <f>K99*'Tier 1 Coefficients'!D$3</f>
        <v>4851.4039240581851</v>
      </c>
      <c r="M99" s="46">
        <f>K99*'Tier 1 Coefficients'!C$19</f>
        <v>9292.5281852424068</v>
      </c>
      <c r="N99" s="46">
        <f>K99*'Tier 1 Coefficients'!C$43</f>
        <v>284.74633318864704</v>
      </c>
      <c r="O99" s="46">
        <f>I99*'Tier 2 FC'!D$27</f>
        <v>1071625.9851185642</v>
      </c>
      <c r="P99" s="46">
        <f t="shared" si="5"/>
        <v>1071.6259851185641</v>
      </c>
      <c r="Q99" s="46">
        <f>P99*'Tier 1 Coefficients'!D$3</f>
        <v>3395.9827468407298</v>
      </c>
      <c r="R99" s="46">
        <f>$I99*'T2 LPG'!C3</f>
        <v>382.7235661137729</v>
      </c>
      <c r="S99" s="121">
        <f>$I99*'T2 LPG'!D3</f>
        <v>9124.1298161523464</v>
      </c>
      <c r="T99" s="46">
        <f>44.011*(P99/(12.011+1.008*'Tier 3 CO2 Tables'!B$3+16*'Tier 3 CO2 Tables'!C$3))</f>
        <v>3396.49566545679</v>
      </c>
      <c r="U99" s="46">
        <f>I99*'Tier 3 CO2 Tables'!H$7/10000</f>
        <v>2.219796683459883</v>
      </c>
      <c r="V99" s="46">
        <f>44.011*(U99/(12.011+1.008*'Tier 3 CO2 Tables'!B$6+16*'Tier 3 CO2 Tables'!C$6))</f>
        <v>6.9250045957901474</v>
      </c>
      <c r="W99" s="46">
        <f>I99*'T3 Methane'!D18</f>
        <v>398032.50875832385</v>
      </c>
      <c r="X99" s="46" cm="1">
        <f t="array" ref="X99">_xlfn.IFS(E99='Euro Age Table'!C$5,'Euro Age Table'!G$5,E99='Euro Age Table'!C$6,'Euro Age Table'!G$6,E99='Euro Age Table'!C$7,'Euro Age Table'!G$7,E99='Euro Age Table'!C$8,'Euro Age Table'!G$8,E99='Euro Age Table'!C$9,'Euro Age Table'!G$9,E99='Euro Age Table'!C$10,'Euro Age Table'!G$10,E99='Euro Age Table'!C$11,'Euro Age Table'!G$11)</f>
        <v>23</v>
      </c>
      <c r="Y99" s="46">
        <f>X99*'Eilat Car Data'!F$16</f>
        <v>630262.84153005469</v>
      </c>
      <c r="Z99" s="46">
        <f>('T3 N2O LCV-Petrol'!D3*Y99+'T3 N2O LCV-Petrol'!E3)*'T3 N2O LCV-Petrol'!C3</f>
        <v>82.938265461748642</v>
      </c>
      <c r="AA99" s="124">
        <f t="shared" si="6"/>
        <v>1269697.1489924481</v>
      </c>
    </row>
    <row r="100" spans="1:27" ht="12.5">
      <c r="A100" s="49" t="s">
        <v>29</v>
      </c>
      <c r="B100" s="49" t="s">
        <v>20</v>
      </c>
      <c r="C100" s="49" t="s">
        <v>68</v>
      </c>
      <c r="D100" s="49" t="s">
        <v>71</v>
      </c>
      <c r="E100" s="50" t="s">
        <v>56</v>
      </c>
      <c r="F100" s="97">
        <v>3.921445601706613E-5</v>
      </c>
      <c r="G100" s="99">
        <f t="shared" si="7"/>
        <v>3.3253858702472078E-2</v>
      </c>
      <c r="H100" s="46"/>
      <c r="I100" s="46">
        <f>G100*'Eilat Car Data'!F$16</f>
        <v>911.2465859851734</v>
      </c>
      <c r="J100" s="46">
        <f>I100*'Tier 1 Coefficients'!I$8</f>
        <v>91124.658598517344</v>
      </c>
      <c r="K100" s="46">
        <f t="shared" si="4"/>
        <v>91.124658598517343</v>
      </c>
      <c r="L100" s="46">
        <f>K100*'Tier 1 Coefficients'!D$3</f>
        <v>288.77404309870144</v>
      </c>
      <c r="M100" s="46">
        <f>K100*'Tier 1 Coefficients'!C$19</f>
        <v>553.12667769300026</v>
      </c>
      <c r="N100" s="46">
        <f>K100*'Tier 1 Coefficients'!C$43</f>
        <v>16.949186499324224</v>
      </c>
      <c r="O100" s="46">
        <f>I100*'Tier 2 FC'!D$27</f>
        <v>63787.261018962141</v>
      </c>
      <c r="P100" s="46">
        <f t="shared" si="5"/>
        <v>63.787261018962141</v>
      </c>
      <c r="Q100" s="46">
        <f>P100*'Tier 1 Coefficients'!D$3</f>
        <v>202.14183016909104</v>
      </c>
      <c r="R100" s="46">
        <f>$I100*'T2 LPG'!C4</f>
        <v>22.781164649629336</v>
      </c>
      <c r="S100" s="121">
        <f>$I100*'T2 LPG'!D4</f>
        <v>482.96069057214191</v>
      </c>
      <c r="T100" s="46">
        <f>44.011*(P100/(12.011+1.008*'Tier 3 CO2 Tables'!B$3+16*'Tier 3 CO2 Tables'!C$3))</f>
        <v>202.1723610390946</v>
      </c>
      <c r="U100" s="46">
        <f>I100*'Tier 3 CO2 Tables'!H$7/10000</f>
        <v>0.13213075496785012</v>
      </c>
      <c r="V100" s="46">
        <f>44.011*(U100/(12.011+1.008*'Tier 3 CO2 Tables'!B$6+16*'Tier 3 CO2 Tables'!C$6))</f>
        <v>0.41220265451131816</v>
      </c>
      <c r="W100" s="46">
        <f>I100*'T3 Methane'!D19</f>
        <v>15491.191961747947</v>
      </c>
      <c r="X100" s="46" cm="1">
        <f t="array" ref="X100">_xlfn.IFS(E100='Euro Age Table'!C$5,'Euro Age Table'!G$5,E100='Euro Age Table'!C$6,'Euro Age Table'!G$6,E100='Euro Age Table'!C$7,'Euro Age Table'!G$7,E100='Euro Age Table'!C$8,'Euro Age Table'!G$8,E100='Euro Age Table'!C$9,'Euro Age Table'!G$9,E100='Euro Age Table'!C$10,'Euro Age Table'!G$10,E100='Euro Age Table'!C$11,'Euro Age Table'!G$11)</f>
        <v>18</v>
      </c>
      <c r="Y100" s="46">
        <f>X100*'Eilat Car Data'!F$16</f>
        <v>493249.18032786885</v>
      </c>
      <c r="Z100" s="46">
        <f>('T3 N2O LCV-Petrol'!D4*Y100+'T3 N2O LCV-Petrol'!E4)*'T3 N2O LCV-Petrol'!C4</f>
        <v>44.544772983606556</v>
      </c>
      <c r="AA100" s="124">
        <f t="shared" si="6"/>
        <v>40591.272304796061</v>
      </c>
    </row>
    <row r="101" spans="1:27" ht="12.5">
      <c r="A101" s="49" t="s">
        <v>29</v>
      </c>
      <c r="B101" s="49" t="s">
        <v>20</v>
      </c>
      <c r="C101" s="49" t="s">
        <v>68</v>
      </c>
      <c r="D101" s="49" t="s">
        <v>72</v>
      </c>
      <c r="E101" s="50" t="s">
        <v>57</v>
      </c>
      <c r="F101" s="97">
        <v>0</v>
      </c>
      <c r="G101" s="99">
        <f t="shared" si="7"/>
        <v>0</v>
      </c>
      <c r="H101" s="46"/>
      <c r="I101" s="46">
        <f>G101*'Eilat Car Data'!F$16</f>
        <v>0</v>
      </c>
      <c r="J101" s="46">
        <f>I101*'Tier 1 Coefficients'!I$8</f>
        <v>0</v>
      </c>
      <c r="K101" s="46">
        <f t="shared" si="4"/>
        <v>0</v>
      </c>
      <c r="L101" s="46">
        <f>K101*'Tier 1 Coefficients'!D$3</f>
        <v>0</v>
      </c>
      <c r="M101" s="46">
        <f>K101*'Tier 1 Coefficients'!C$19</f>
        <v>0</v>
      </c>
      <c r="N101" s="46">
        <f>K101*'Tier 1 Coefficients'!C$43</f>
        <v>0</v>
      </c>
      <c r="O101" s="46">
        <f>I101*'Tier 2 FC'!D$27</f>
        <v>0</v>
      </c>
      <c r="P101" s="46">
        <f t="shared" si="5"/>
        <v>0</v>
      </c>
      <c r="Q101" s="46">
        <f>P101*'Tier 1 Coefficients'!D$3</f>
        <v>0</v>
      </c>
      <c r="R101" s="46">
        <f>$I101*'T2 LPG'!C5</f>
        <v>0</v>
      </c>
      <c r="S101" s="121">
        <f>$I101*'T2 LPG'!D5</f>
        <v>0</v>
      </c>
      <c r="T101" s="46">
        <f>44.011*(P101/(12.011+1.008*'Tier 3 CO2 Tables'!B$3+16*'Tier 3 CO2 Tables'!C$3))</f>
        <v>0</v>
      </c>
      <c r="U101" s="46">
        <f>I101*'Tier 3 CO2 Tables'!H$7/10000</f>
        <v>0</v>
      </c>
      <c r="V101" s="46">
        <f>44.011*(U101/(12.011+1.008*'Tier 3 CO2 Tables'!B$6+16*'Tier 3 CO2 Tables'!C$6))</f>
        <v>0</v>
      </c>
      <c r="W101" s="46">
        <f>I101*'T3 Methane'!D20</f>
        <v>0</v>
      </c>
      <c r="X101" s="46" cm="1">
        <f t="array" ref="X101">_xlfn.IFS(E101='Euro Age Table'!C$5,'Euro Age Table'!G$5,E101='Euro Age Table'!C$6,'Euro Age Table'!G$6,E101='Euro Age Table'!C$7,'Euro Age Table'!G$7,E101='Euro Age Table'!C$8,'Euro Age Table'!G$8,E101='Euro Age Table'!C$9,'Euro Age Table'!G$9,E101='Euro Age Table'!C$10,'Euro Age Table'!G$10,E101='Euro Age Table'!C$11,'Euro Age Table'!G$11)</f>
        <v>16</v>
      </c>
      <c r="Y101" s="46">
        <f>X101*'Eilat Car Data'!F$16</f>
        <v>438443.71584699454</v>
      </c>
      <c r="Z101" s="46">
        <f>('T3 N2O LCV-Petrol'!D5*Y101+'T3 N2O LCV-Petrol'!E5)*'T3 N2O LCV-Petrol'!C5</f>
        <v>13.852998627322407</v>
      </c>
      <c r="AA101" s="124">
        <f t="shared" si="6"/>
        <v>0</v>
      </c>
    </row>
    <row r="102" spans="1:27" ht="12.5">
      <c r="A102" s="49" t="s">
        <v>29</v>
      </c>
      <c r="B102" s="49" t="s">
        <v>20</v>
      </c>
      <c r="C102" s="49" t="s">
        <v>68</v>
      </c>
      <c r="D102" s="49" t="s">
        <v>72</v>
      </c>
      <c r="E102" s="50" t="s">
        <v>58</v>
      </c>
      <c r="F102" s="97">
        <v>5.6468816664575225E-4</v>
      </c>
      <c r="G102" s="99">
        <f t="shared" si="7"/>
        <v>0.47885556531559792</v>
      </c>
      <c r="H102" s="46"/>
      <c r="I102" s="46">
        <f>G102*'Eilat Car Data'!F$16</f>
        <v>13121.950838186496</v>
      </c>
      <c r="J102" s="46">
        <f>I102*'Tier 1 Coefficients'!I$8</f>
        <v>1312195.0838186496</v>
      </c>
      <c r="K102" s="46">
        <f t="shared" si="4"/>
        <v>1312.1950838186497</v>
      </c>
      <c r="L102" s="46">
        <f>K102*'Tier 1 Coefficients'!D$3</f>
        <v>4158.3462206213007</v>
      </c>
      <c r="M102" s="46">
        <f>K102*'Tier 1 Coefficients'!C$19</f>
        <v>7965.0241587792034</v>
      </c>
      <c r="N102" s="46">
        <f>K102*'Tier 1 Coefficients'!C$43</f>
        <v>244.06828559026883</v>
      </c>
      <c r="O102" s="46">
        <f>I102*'Tier 2 FC'!D$27</f>
        <v>918536.55867305468</v>
      </c>
      <c r="P102" s="46">
        <f t="shared" si="5"/>
        <v>918.53655867305463</v>
      </c>
      <c r="Q102" s="46">
        <f>P102*'Tier 1 Coefficients'!D$3</f>
        <v>2910.8423544349102</v>
      </c>
      <c r="R102" s="46">
        <f>$I102*'T2 LPG'!C6</f>
        <v>170.58536089642445</v>
      </c>
      <c r="S102" s="121">
        <f>$I102*'T2 LPG'!D6</f>
        <v>5222.5364335982258</v>
      </c>
      <c r="T102" s="46">
        <f>44.011*(P102/(12.011+1.008*'Tier 3 CO2 Tables'!B$3+16*'Tier 3 CO2 Tables'!C$3))</f>
        <v>2911.2819989629616</v>
      </c>
      <c r="U102" s="46">
        <f>I102*'Tier 3 CO2 Tables'!H$7/10000</f>
        <v>1.9026828715370419</v>
      </c>
      <c r="V102" s="46">
        <f>44.011*(U102/(12.011+1.008*'Tier 3 CO2 Tables'!B$6+16*'Tier 3 CO2 Tables'!C$6))</f>
        <v>5.9357182249629812</v>
      </c>
      <c r="W102" s="46">
        <f>I102*'T3 Methane'!D$21</f>
        <v>26243.901676372992</v>
      </c>
      <c r="X102" s="46" cm="1">
        <f t="array" ref="X102">_xlfn.IFS(E102='Euro Age Table'!C$5,'Euro Age Table'!G$5,E102='Euro Age Table'!C$6,'Euro Age Table'!G$6,E102='Euro Age Table'!C$7,'Euro Age Table'!G$7,E102='Euro Age Table'!C$8,'Euro Age Table'!G$8,E102='Euro Age Table'!C$9,'Euro Age Table'!G$9,E102='Euro Age Table'!C$10,'Euro Age Table'!G$10,E102='Euro Age Table'!C$11,'Euro Age Table'!G$11)</f>
        <v>13</v>
      </c>
      <c r="Y102" s="46">
        <f>X102*'Eilat Car Data'!F$16</f>
        <v>356235.51912568306</v>
      </c>
      <c r="Z102" s="46">
        <f>('T3 N2O LCV-Petrol'!D6*Y102+'T3 N2O LCV-Petrol'!E6)*'T3 N2O LCV-Petrol'!C6</f>
        <v>1.3908560832786885</v>
      </c>
      <c r="AA102" s="124">
        <f t="shared" si="6"/>
        <v>18250.745147775575</v>
      </c>
    </row>
    <row r="103" spans="1:27" ht="12.5">
      <c r="A103" s="49" t="s">
        <v>29</v>
      </c>
      <c r="B103" s="49" t="s">
        <v>20</v>
      </c>
      <c r="C103" s="49" t="s">
        <v>68</v>
      </c>
      <c r="D103" s="49" t="s">
        <v>72</v>
      </c>
      <c r="E103" s="50" t="s">
        <v>59</v>
      </c>
      <c r="F103" s="97">
        <v>2.2744384489898356E-4</v>
      </c>
      <c r="G103" s="99">
        <f t="shared" si="7"/>
        <v>0.19287238047433805</v>
      </c>
      <c r="H103" s="46"/>
      <c r="I103" s="46">
        <f>G103*'Eilat Car Data'!F$16</f>
        <v>5285.2301987140054</v>
      </c>
      <c r="J103" s="46">
        <f>I103*'Tier 1 Coefficients'!I$8</f>
        <v>528523.01987140055</v>
      </c>
      <c r="K103" s="46">
        <f t="shared" si="4"/>
        <v>528.52301987140061</v>
      </c>
      <c r="L103" s="46">
        <f>K103*'Tier 1 Coefficients'!D$3</f>
        <v>1674.8894499724686</v>
      </c>
      <c r="M103" s="46">
        <f>K103*'Tier 1 Coefficients'!C$19</f>
        <v>3208.134730619402</v>
      </c>
      <c r="N103" s="46">
        <f>K103*'Tier 1 Coefficients'!C$43</f>
        <v>98.305281696080513</v>
      </c>
      <c r="O103" s="46">
        <f>I103*'Tier 2 FC'!D$27</f>
        <v>369966.1139099804</v>
      </c>
      <c r="P103" s="46">
        <f t="shared" si="5"/>
        <v>369.96611390998038</v>
      </c>
      <c r="Q103" s="46">
        <f>P103*'Tier 1 Coefficients'!D$3</f>
        <v>1172.4226149807278</v>
      </c>
      <c r="R103" s="46">
        <f>$I103*'T2 LPG'!C7</f>
        <v>6.8707992583282067</v>
      </c>
      <c r="S103" s="121">
        <f>$I103*'T2 LPG'!D7</f>
        <v>2103.5216190881742</v>
      </c>
      <c r="T103" s="46">
        <f>44.011*(P103/(12.011+1.008*'Tier 3 CO2 Tables'!B$3+16*'Tier 3 CO2 Tables'!C$3))</f>
        <v>1172.5996940267485</v>
      </c>
      <c r="U103" s="46">
        <f>I103*'Tier 3 CO2 Tables'!H$7/10000</f>
        <v>0.76635837881353075</v>
      </c>
      <c r="V103" s="46">
        <f>44.011*(U103/(12.011+1.008*'Tier 3 CO2 Tables'!B$6+16*'Tier 3 CO2 Tables'!C$6))</f>
        <v>2.3907753961656453</v>
      </c>
      <c r="W103" s="46">
        <f>I103*'T3 Methane'!D$21</f>
        <v>10570.460397428011</v>
      </c>
      <c r="X103" s="46" cm="1">
        <f t="array" ref="X103">_xlfn.IFS(E103='Euro Age Table'!C$5,'Euro Age Table'!G$5,E103='Euro Age Table'!C$6,'Euro Age Table'!G$6,E103='Euro Age Table'!C$7,'Euro Age Table'!G$7,E103='Euro Age Table'!C$8,'Euro Age Table'!G$8,E103='Euro Age Table'!C$9,'Euro Age Table'!G$9,E103='Euro Age Table'!C$10,'Euro Age Table'!G$10,E103='Euro Age Table'!C$11,'Euro Age Table'!G$11)</f>
        <v>9</v>
      </c>
      <c r="Y103" s="46">
        <f>X103*'Eilat Car Data'!F$16</f>
        <v>246624.59016393442</v>
      </c>
      <c r="Z103" s="46">
        <f>('T3 N2O LCV-Petrol'!D7*Y103+'T3 N2O LCV-Petrol'!E7)*'T3 N2O LCV-Petrol'!C7</f>
        <v>2.5298569298360651</v>
      </c>
      <c r="AA103" s="124">
        <f t="shared" si="6"/>
        <v>13370.87624399547</v>
      </c>
    </row>
    <row r="104" spans="1:27" ht="12.5">
      <c r="A104" s="49" t="s">
        <v>29</v>
      </c>
      <c r="B104" s="49" t="s">
        <v>20</v>
      </c>
      <c r="C104" s="49" t="s">
        <v>68</v>
      </c>
      <c r="D104" s="51" t="s">
        <v>72</v>
      </c>
      <c r="E104" s="51" t="s">
        <v>60</v>
      </c>
      <c r="F104" s="97">
        <v>0</v>
      </c>
      <c r="G104" s="99">
        <f t="shared" si="7"/>
        <v>0</v>
      </c>
      <c r="H104" s="46"/>
      <c r="I104" s="46">
        <f>G104*'Eilat Car Data'!F$16</f>
        <v>0</v>
      </c>
      <c r="J104" s="46">
        <f>I104*'Tier 1 Coefficients'!I$8</f>
        <v>0</v>
      </c>
      <c r="K104" s="46">
        <f t="shared" si="4"/>
        <v>0</v>
      </c>
      <c r="L104" s="46">
        <f>K104*'Tier 1 Coefficients'!D$3</f>
        <v>0</v>
      </c>
      <c r="M104" s="46">
        <f>K104*'Tier 1 Coefficients'!C$19</f>
        <v>0</v>
      </c>
      <c r="N104" s="46">
        <f>K104*'Tier 1 Coefficients'!C$43</f>
        <v>0</v>
      </c>
      <c r="O104" s="46">
        <f>I104*'Tier 2 FC'!D$27</f>
        <v>0</v>
      </c>
      <c r="P104" s="46">
        <f t="shared" si="5"/>
        <v>0</v>
      </c>
      <c r="Q104" s="46">
        <f>P104*'Tier 1 Coefficients'!D$3</f>
        <v>0</v>
      </c>
      <c r="R104" s="46">
        <f>$I104*'T2 LPG'!C8</f>
        <v>0</v>
      </c>
      <c r="S104" s="121">
        <f>$I104*'T2 LPG'!D8</f>
        <v>0</v>
      </c>
      <c r="T104" s="46">
        <f>44.011*(P104/(12.011+1.008*'Tier 3 CO2 Tables'!B$3+16*'Tier 3 CO2 Tables'!C$3))</f>
        <v>0</v>
      </c>
      <c r="U104" s="46">
        <f>I104*'Tier 3 CO2 Tables'!H$8/10000</f>
        <v>0</v>
      </c>
      <c r="V104" s="46">
        <f>44.011*(U104/(12.011+1.008*'Tier 3 CO2 Tables'!B$6+16*'Tier 3 CO2 Tables'!C$6))</f>
        <v>0</v>
      </c>
      <c r="W104" s="46">
        <f>I104*'T3 Methane'!D$21</f>
        <v>0</v>
      </c>
      <c r="X104" s="46" cm="1">
        <f t="array" ref="X104">_xlfn.IFS(E104='Euro Age Table'!C$5,'Euro Age Table'!G$5,E104='Euro Age Table'!C$6,'Euro Age Table'!G$6,E104='Euro Age Table'!C$7,'Euro Age Table'!G$7,E104='Euro Age Table'!C$8,'Euro Age Table'!G$8,E104='Euro Age Table'!C$9,'Euro Age Table'!G$9,E104='Euro Age Table'!C$10,'Euro Age Table'!G$10,E104='Euro Age Table'!C$11,'Euro Age Table'!G$11)</f>
        <v>3</v>
      </c>
      <c r="Y104" s="46">
        <f>X104*'Eilat Car Data'!F$16</f>
        <v>82208.196721311484</v>
      </c>
      <c r="Z104" s="46">
        <f>('T3 N2O LCV-Petrol'!D8*Y104+'T3 N2O LCV-Petrol'!E8)*'T3 N2O LCV-Petrol'!C8</f>
        <v>2.2208856432786885</v>
      </c>
      <c r="AA104" s="124">
        <f t="shared" si="6"/>
        <v>0</v>
      </c>
    </row>
    <row r="105" spans="1:27" ht="12.5">
      <c r="A105" s="49" t="s">
        <v>29</v>
      </c>
      <c r="B105" s="49" t="s">
        <v>20</v>
      </c>
      <c r="C105" s="49" t="s">
        <v>68</v>
      </c>
      <c r="D105" s="49" t="s">
        <v>73</v>
      </c>
      <c r="E105" s="50" t="s">
        <v>54</v>
      </c>
      <c r="F105" s="97">
        <v>1.2195695821307567E-2</v>
      </c>
      <c r="G105" s="99">
        <f t="shared" si="7"/>
        <v>10.341950056468816</v>
      </c>
      <c r="H105" s="46"/>
      <c r="I105" s="46">
        <f>G105*'Eilat Car Data'!F$16</f>
        <v>283397.68824138894</v>
      </c>
      <c r="J105" s="46">
        <f>I105*'Tier 1 Coefficients'!I$8</f>
        <v>28339768.824138895</v>
      </c>
      <c r="K105" s="46">
        <f t="shared" si="4"/>
        <v>28339.768824138893</v>
      </c>
      <c r="L105" s="46">
        <f>K105*'Tier 1 Coefficients'!D$3</f>
        <v>89808.727403696161</v>
      </c>
      <c r="M105" s="46">
        <f>K105*'Tier 1 Coefficients'!C$19</f>
        <v>172022.3967625231</v>
      </c>
      <c r="N105" s="46">
        <f>K105*'Tier 1 Coefficients'!C$43</f>
        <v>5271.1970012898337</v>
      </c>
      <c r="O105" s="46">
        <f>I105*'Tier 2 FC'!D26</f>
        <v>24088803.500518061</v>
      </c>
      <c r="P105" s="46">
        <f t="shared" si="5"/>
        <v>24088.803500518061</v>
      </c>
      <c r="Q105" s="46">
        <f>P105*'Tier 1 Coefficients'!D$3</f>
        <v>76337.418293141731</v>
      </c>
      <c r="R105" s="46">
        <f>$I105*'T2 LPG'!C2</f>
        <v>2833.9768824138896</v>
      </c>
      <c r="S105" s="121">
        <f>$I105*'T2 LPG'!D2</f>
        <v>187892.66730404086</v>
      </c>
      <c r="T105" s="46">
        <f>44.011*(P105/(12.011+1.008*'Tier 3 CO2 Tables'!B$3+16*'Tier 3 CO2 Tables'!C$3))</f>
        <v>76348.94805812095</v>
      </c>
      <c r="U105" s="46">
        <f>I105*'Tier 3 CO2 Tables'!H$7/10000</f>
        <v>41.09266479500139</v>
      </c>
      <c r="V105" s="46">
        <f>44.011*(U105/(12.011+1.008*'Tier 3 CO2 Tables'!B$6+16*'Tier 3 CO2 Tables'!C$6))</f>
        <v>128.19502555301995</v>
      </c>
      <c r="W105" s="46">
        <f>I105*'T3 Methane'!D17</f>
        <v>37125097.159621954</v>
      </c>
      <c r="X105" s="46" cm="1">
        <f t="array" ref="X105">_xlfn.IFS(E105='Euro Age Table'!C$5,'Euro Age Table'!G$5,E105='Euro Age Table'!C$6,'Euro Age Table'!G$6,E105='Euro Age Table'!C$7,'Euro Age Table'!G$7,E105='Euro Age Table'!C$8,'Euro Age Table'!G$8,E105='Euro Age Table'!C$9,'Euro Age Table'!G$9,E105='Euro Age Table'!C$10,'Euro Age Table'!G$10,E105='Euro Age Table'!C$11,'Euro Age Table'!G$11)</f>
        <v>27</v>
      </c>
      <c r="Y105" s="46">
        <f>X105*'Eilat Car Data'!F$16</f>
        <v>739873.7704918033</v>
      </c>
      <c r="Z105" s="46">
        <f>('T3 N2O LCV-Petrol'!D2*Y105+'T3 N2O LCV-Petrol'!E2)*'T3 N2O LCV-Petrol'!C2</f>
        <v>10</v>
      </c>
      <c r="AA105" s="124">
        <f t="shared" si="6"/>
        <v>2833976.8824138893</v>
      </c>
    </row>
    <row r="106" spans="1:27" ht="12.5">
      <c r="A106" s="49" t="s">
        <v>29</v>
      </c>
      <c r="B106" s="49" t="s">
        <v>20</v>
      </c>
      <c r="C106" s="49" t="s">
        <v>68</v>
      </c>
      <c r="D106" s="49" t="s">
        <v>73</v>
      </c>
      <c r="E106" s="50" t="s">
        <v>55</v>
      </c>
      <c r="F106" s="97">
        <v>4.1253607729953568E-3</v>
      </c>
      <c r="G106" s="99">
        <f t="shared" si="7"/>
        <v>3.4983059355000625</v>
      </c>
      <c r="H106" s="46"/>
      <c r="I106" s="46">
        <f>G106*'Eilat Car Data'!F$16</f>
        <v>95863.140845640242</v>
      </c>
      <c r="J106" s="46">
        <f>I106*'Tier 1 Coefficients'!I$8</f>
        <v>9586314.0845640246</v>
      </c>
      <c r="K106" s="46">
        <f t="shared" si="4"/>
        <v>9586.3140845640246</v>
      </c>
      <c r="L106" s="46">
        <f>K106*'Tier 1 Coefficients'!D$3</f>
        <v>30379.029333983395</v>
      </c>
      <c r="M106" s="46">
        <f>K106*'Tier 1 Coefficients'!C$19</f>
        <v>58188.926493303632</v>
      </c>
      <c r="N106" s="46">
        <f>K106*'Tier 1 Coefficients'!C$43</f>
        <v>1783.0544197289087</v>
      </c>
      <c r="O106" s="46">
        <f>I106*'Tier 2 FC'!D$27</f>
        <v>6710419.859194817</v>
      </c>
      <c r="P106" s="46">
        <f t="shared" si="5"/>
        <v>6710.419859194817</v>
      </c>
      <c r="Q106" s="46">
        <f>P106*'Tier 1 Coefficients'!D$3</f>
        <v>21265.320533788374</v>
      </c>
      <c r="R106" s="46">
        <f>$I106*'T2 LPG'!C3</f>
        <v>2396.5785211410061</v>
      </c>
      <c r="S106" s="121">
        <f>$I106*'T2 LPG'!D3</f>
        <v>57134.431944001582</v>
      </c>
      <c r="T106" s="46">
        <f>44.011*(P106/(12.011+1.008*'Tier 3 CO2 Tables'!B$3+16*'Tier 3 CO2 Tables'!C$3))</f>
        <v>21268.532381312754</v>
      </c>
      <c r="U106" s="46">
        <f>I106*'Tier 3 CO2 Tables'!H$7/10000</f>
        <v>13.900155422617836</v>
      </c>
      <c r="V106" s="46">
        <f>44.011*(U106/(12.011+1.008*'Tier 3 CO2 Tables'!B$6+16*'Tier 3 CO2 Tables'!C$6))</f>
        <v>43.363719254590677</v>
      </c>
      <c r="W106" s="46">
        <f>I106*'T3 Methane'!D18</f>
        <v>2492441.6619866462</v>
      </c>
      <c r="X106" s="46" cm="1">
        <f t="array" ref="X106">_xlfn.IFS(E106='Euro Age Table'!C$5,'Euro Age Table'!G$5,E106='Euro Age Table'!C$6,'Euro Age Table'!G$6,E106='Euro Age Table'!C$7,'Euro Age Table'!G$7,E106='Euro Age Table'!C$8,'Euro Age Table'!G$8,E106='Euro Age Table'!C$9,'Euro Age Table'!G$9,E106='Euro Age Table'!C$10,'Euro Age Table'!G$10,E106='Euro Age Table'!C$11,'Euro Age Table'!G$11)</f>
        <v>23</v>
      </c>
      <c r="Y106" s="46">
        <f>X106*'Eilat Car Data'!F$16</f>
        <v>630262.84153005469</v>
      </c>
      <c r="Z106" s="46">
        <f>('T3 N2O LCV-Petrol'!D3*Y106+'T3 N2O LCV-Petrol'!E3)*'T3 N2O LCV-Petrol'!C3</f>
        <v>82.938265461748642</v>
      </c>
      <c r="AA106" s="124">
        <f t="shared" si="6"/>
        <v>7950722.62345271</v>
      </c>
    </row>
    <row r="107" spans="1:27" ht="12.5">
      <c r="A107" s="49" t="s">
        <v>29</v>
      </c>
      <c r="B107" s="49" t="s">
        <v>20</v>
      </c>
      <c r="C107" s="49" t="s">
        <v>68</v>
      </c>
      <c r="D107" s="49" t="s">
        <v>73</v>
      </c>
      <c r="E107" s="50" t="s">
        <v>56</v>
      </c>
      <c r="F107" s="97">
        <v>5.0194503701844653E-4</v>
      </c>
      <c r="G107" s="99">
        <f t="shared" si="7"/>
        <v>0.42564939139164265</v>
      </c>
      <c r="H107" s="46"/>
      <c r="I107" s="46">
        <f>G107*'Eilat Car Data'!F$16</f>
        <v>11663.956300610222</v>
      </c>
      <c r="J107" s="46">
        <f>I107*'Tier 1 Coefficients'!I$8</f>
        <v>1166395.6300610222</v>
      </c>
      <c r="K107" s="46">
        <f t="shared" si="4"/>
        <v>1166.3956300610223</v>
      </c>
      <c r="L107" s="46">
        <f>K107*'Tier 1 Coefficients'!D$3</f>
        <v>3696.3077516633798</v>
      </c>
      <c r="M107" s="46">
        <f>K107*'Tier 1 Coefficients'!C$19</f>
        <v>7080.0214744704053</v>
      </c>
      <c r="N107" s="46">
        <f>K107*'Tier 1 Coefficients'!C$43</f>
        <v>216.94958719135013</v>
      </c>
      <c r="O107" s="46">
        <f>I107*'Tier 2 FC'!D$27</f>
        <v>816476.94104271557</v>
      </c>
      <c r="P107" s="46">
        <f t="shared" si="5"/>
        <v>816.47694104271557</v>
      </c>
      <c r="Q107" s="46">
        <f>P107*'Tier 1 Coefficients'!D$3</f>
        <v>2587.4154261643657</v>
      </c>
      <c r="R107" s="46">
        <f>$I107*'T2 LPG'!C4</f>
        <v>291.59890751525558</v>
      </c>
      <c r="S107" s="121">
        <f>$I107*'T2 LPG'!D4</f>
        <v>6181.8968393234181</v>
      </c>
      <c r="T107" s="46">
        <f>44.011*(P107/(12.011+1.008*'Tier 3 CO2 Tables'!B$3+16*'Tier 3 CO2 Tables'!C$3))</f>
        <v>2587.8062213004114</v>
      </c>
      <c r="U107" s="46">
        <f>I107*'Tier 3 CO2 Tables'!H$7/10000</f>
        <v>1.691273663588482</v>
      </c>
      <c r="V107" s="46">
        <f>44.011*(U107/(12.011+1.008*'Tier 3 CO2 Tables'!B$6+16*'Tier 3 CO2 Tables'!C$6))</f>
        <v>5.2761939777448736</v>
      </c>
      <c r="W107" s="46">
        <f>I107*'T3 Methane'!D19</f>
        <v>198287.25711037376</v>
      </c>
      <c r="X107" s="46" cm="1">
        <f t="array" ref="X107">_xlfn.IFS(E107='Euro Age Table'!C$5,'Euro Age Table'!G$5,E107='Euro Age Table'!C$6,'Euro Age Table'!G$6,E107='Euro Age Table'!C$7,'Euro Age Table'!G$7,E107='Euro Age Table'!C$8,'Euro Age Table'!G$8,E107='Euro Age Table'!C$9,'Euro Age Table'!G$9,E107='Euro Age Table'!C$10,'Euro Age Table'!G$10,E107='Euro Age Table'!C$11,'Euro Age Table'!G$11)</f>
        <v>18</v>
      </c>
      <c r="Y107" s="46">
        <f>X107*'Eilat Car Data'!F$16</f>
        <v>493249.18032786885</v>
      </c>
      <c r="Z107" s="46">
        <f>('T3 N2O LCV-Petrol'!D4*Y107+'T3 N2O LCV-Petrol'!E4)*'T3 N2O LCV-Petrol'!C4</f>
        <v>44.544772983606556</v>
      </c>
      <c r="AA107" s="124">
        <f t="shared" si="6"/>
        <v>519568.28550138965</v>
      </c>
    </row>
    <row r="108" spans="1:27" ht="12.5">
      <c r="A108" s="49" t="s">
        <v>29</v>
      </c>
      <c r="B108" s="49" t="s">
        <v>20</v>
      </c>
      <c r="C108" s="49" t="s">
        <v>68</v>
      </c>
      <c r="D108" s="49" t="s">
        <v>74</v>
      </c>
      <c r="E108" s="50" t="s">
        <v>57</v>
      </c>
      <c r="F108" s="97">
        <v>1.3646630693939013E-3</v>
      </c>
      <c r="G108" s="99">
        <f t="shared" si="7"/>
        <v>1.1572342828460283</v>
      </c>
      <c r="H108" s="46"/>
      <c r="I108" s="46">
        <f>G108*'Eilat Car Data'!F$16</f>
        <v>31711.381192284032</v>
      </c>
      <c r="J108" s="46">
        <f>I108*'Tier 1 Coefficients'!I$8</f>
        <v>3171138.1192284031</v>
      </c>
      <c r="K108" s="46">
        <f t="shared" si="4"/>
        <v>3171.138119228403</v>
      </c>
      <c r="L108" s="46">
        <f>K108*'Tier 1 Coefficients'!D$3</f>
        <v>10049.336699834808</v>
      </c>
      <c r="M108" s="46">
        <f>K108*'Tier 1 Coefficients'!C$19</f>
        <v>19248.808383716409</v>
      </c>
      <c r="N108" s="46">
        <f>K108*'Tier 1 Coefficients'!C$43</f>
        <v>589.83169017648299</v>
      </c>
      <c r="O108" s="46">
        <f>I108*'Tier 2 FC'!D$27</f>
        <v>2219796.6834598822</v>
      </c>
      <c r="P108" s="46">
        <f t="shared" si="5"/>
        <v>2219.7966834598819</v>
      </c>
      <c r="Q108" s="46">
        <f>P108*'Tier 1 Coefficients'!D$3</f>
        <v>7034.5356898843656</v>
      </c>
      <c r="R108" s="46">
        <f>$I108*'T2 LPG'!C5</f>
        <v>887.91867338395298</v>
      </c>
      <c r="S108" s="121">
        <f>$I108*'T2 LPG'!D5</f>
        <v>14714.080873219791</v>
      </c>
      <c r="T108" s="46">
        <f>44.011*(P108/(12.011+1.008*'Tier 3 CO2 Tables'!B$3+16*'Tier 3 CO2 Tables'!C$3))</f>
        <v>7035.5981641604894</v>
      </c>
      <c r="U108" s="46">
        <f>I108*'Tier 3 CO2 Tables'!H$7/10000</f>
        <v>4.5981502728811847</v>
      </c>
      <c r="V108" s="46">
        <f>44.011*(U108/(12.011+1.008*'Tier 3 CO2 Tables'!B$6+16*'Tier 3 CO2 Tables'!C$6))</f>
        <v>14.344652376993873</v>
      </c>
      <c r="W108" s="46">
        <f>I108*'T3 Methane'!D20</f>
        <v>95134.143576852104</v>
      </c>
      <c r="X108" s="46" cm="1">
        <f t="array" ref="X108">_xlfn.IFS(E108='Euro Age Table'!C$5,'Euro Age Table'!G$5,E108='Euro Age Table'!C$6,'Euro Age Table'!G$6,E108='Euro Age Table'!C$7,'Euro Age Table'!G$7,E108='Euro Age Table'!C$8,'Euro Age Table'!G$8,E108='Euro Age Table'!C$9,'Euro Age Table'!G$9,E108='Euro Age Table'!C$10,'Euro Age Table'!G$10,E108='Euro Age Table'!C$11,'Euro Age Table'!G$11)</f>
        <v>16</v>
      </c>
      <c r="Y108" s="46">
        <f>X108*'Eilat Car Data'!F$16</f>
        <v>438443.71584699454</v>
      </c>
      <c r="Z108" s="46">
        <f>('T3 N2O LCV-Petrol'!D5*Y108+'T3 N2O LCV-Petrol'!E5)*'T3 N2O LCV-Petrol'!C5</f>
        <v>13.852998627322407</v>
      </c>
      <c r="AA108" s="124">
        <f t="shared" si="6"/>
        <v>439297.72012720827</v>
      </c>
    </row>
    <row r="109" spans="1:27" ht="12.5">
      <c r="A109" s="49" t="s">
        <v>29</v>
      </c>
      <c r="B109" s="49" t="s">
        <v>20</v>
      </c>
      <c r="C109" s="49" t="s">
        <v>68</v>
      </c>
      <c r="D109" s="49" t="s">
        <v>74</v>
      </c>
      <c r="E109" s="50" t="s">
        <v>58</v>
      </c>
      <c r="F109" s="97">
        <v>1.4289747772618898E-2</v>
      </c>
      <c r="G109" s="99">
        <f t="shared" si="7"/>
        <v>12.117706111180825</v>
      </c>
      <c r="H109" s="46"/>
      <c r="I109" s="46">
        <f>G109*'Eilat Car Data'!F$16</f>
        <v>332058.25593299716</v>
      </c>
      <c r="J109" s="46">
        <f>I109*'Tier 1 Coefficients'!I$8</f>
        <v>33205825.593299717</v>
      </c>
      <c r="K109" s="46">
        <f t="shared" si="4"/>
        <v>33205.82559329972</v>
      </c>
      <c r="L109" s="46">
        <f>K109*'Tier 1 Coefficients'!D$3</f>
        <v>105229.26130516682</v>
      </c>
      <c r="M109" s="46">
        <f>K109*'Tier 1 Coefficients'!C$19</f>
        <v>201559.36135132931</v>
      </c>
      <c r="N109" s="46">
        <f>K109*'Tier 1 Coefficients'!C$43</f>
        <v>6176.2835603537478</v>
      </c>
      <c r="O109" s="46">
        <f>I109*'Tier 2 FC'!D$27</f>
        <v>23244077.915309802</v>
      </c>
      <c r="P109" s="46">
        <f t="shared" si="5"/>
        <v>23244.077915309801</v>
      </c>
      <c r="Q109" s="46">
        <f>P109*'Tier 1 Coefficients'!D$3</f>
        <v>73660.482913616754</v>
      </c>
      <c r="R109" s="46">
        <f>$I109*'T2 LPG'!C6</f>
        <v>4316.757327128963</v>
      </c>
      <c r="S109" s="121">
        <f>$I109*'T2 LPG'!D6</f>
        <v>132159.18586133287</v>
      </c>
      <c r="T109" s="46">
        <f>44.011*(P109/(12.011+1.008*'Tier 3 CO2 Tables'!B$3+16*'Tier 3 CO2 Tables'!C$3))</f>
        <v>73671.60836264606</v>
      </c>
      <c r="U109" s="46">
        <f>I109*'Tier 3 CO2 Tables'!H$7/10000</f>
        <v>48.148447110284586</v>
      </c>
      <c r="V109" s="46">
        <f>44.011*(U109/(12.011+1.008*'Tier 3 CO2 Tables'!B$6+16*'Tier 3 CO2 Tables'!C$6))</f>
        <v>150.20664730392434</v>
      </c>
      <c r="W109" s="46">
        <f>I109*'T3 Methane'!D$21</f>
        <v>664116.51186599431</v>
      </c>
      <c r="X109" s="46" cm="1">
        <f t="array" ref="X109">_xlfn.IFS(E109='Euro Age Table'!C$5,'Euro Age Table'!G$5,E109='Euro Age Table'!C$6,'Euro Age Table'!G$6,E109='Euro Age Table'!C$7,'Euro Age Table'!G$7,E109='Euro Age Table'!C$8,'Euro Age Table'!G$8,E109='Euro Age Table'!C$9,'Euro Age Table'!G$9,E109='Euro Age Table'!C$10,'Euro Age Table'!G$10,E109='Euro Age Table'!C$11,'Euro Age Table'!G$11)</f>
        <v>13</v>
      </c>
      <c r="Y109" s="46">
        <f>X109*'Eilat Car Data'!F$16</f>
        <v>356235.51912568306</v>
      </c>
      <c r="Z109" s="46">
        <f>('T3 N2O LCV-Petrol'!D6*Y109+'T3 N2O LCV-Petrol'!E6)*'T3 N2O LCV-Petrol'!C6</f>
        <v>1.3908560832786885</v>
      </c>
      <c r="AA109" s="124">
        <f t="shared" si="6"/>
        <v>461845.24526732077</v>
      </c>
    </row>
    <row r="110" spans="1:27" ht="12.5">
      <c r="A110" s="49" t="s">
        <v>29</v>
      </c>
      <c r="B110" s="49" t="s">
        <v>20</v>
      </c>
      <c r="C110" s="49" t="s">
        <v>68</v>
      </c>
      <c r="D110" s="49" t="s">
        <v>74</v>
      </c>
      <c r="E110" s="50" t="s">
        <v>59</v>
      </c>
      <c r="F110" s="97">
        <v>1.4917179068891956E-2</v>
      </c>
      <c r="G110" s="99">
        <f t="shared" si="7"/>
        <v>12.649767850420378</v>
      </c>
      <c r="H110" s="46"/>
      <c r="I110" s="46">
        <f>G110*'Eilat Car Data'!F$16</f>
        <v>346638.20130875998</v>
      </c>
      <c r="J110" s="46">
        <f>I110*'Tier 1 Coefficients'!I$8</f>
        <v>34663820.130875997</v>
      </c>
      <c r="K110" s="46">
        <f t="shared" si="4"/>
        <v>34663.820130875996</v>
      </c>
      <c r="L110" s="46">
        <f>K110*'Tier 1 Coefficients'!D$3</f>
        <v>109849.64599474604</v>
      </c>
      <c r="M110" s="46">
        <f>K110*'Tier 1 Coefficients'!C$19</f>
        <v>210409.38819441732</v>
      </c>
      <c r="N110" s="46">
        <f>K110*'Tier 1 Coefficients'!C$43</f>
        <v>6447.4705443429357</v>
      </c>
      <c r="O110" s="46">
        <f>I110*'Tier 2 FC'!D$27</f>
        <v>24264674.0916132</v>
      </c>
      <c r="P110" s="46">
        <f t="shared" si="5"/>
        <v>24264.6740916132</v>
      </c>
      <c r="Q110" s="46">
        <f>P110*'Tier 1 Coefficients'!D$3</f>
        <v>76894.752196322239</v>
      </c>
      <c r="R110" s="46">
        <f>$I110*'T2 LPG'!C7</f>
        <v>450.62966170138793</v>
      </c>
      <c r="S110" s="121">
        <f>$I110*'T2 LPG'!D7</f>
        <v>137962.00412088647</v>
      </c>
      <c r="T110" s="46">
        <f>44.011*(P110/(12.011+1.008*'Tier 3 CO2 Tables'!B$3+16*'Tier 3 CO2 Tables'!C$3))</f>
        <v>76906.366139271588</v>
      </c>
      <c r="U110" s="46">
        <f>I110*'Tier 3 CO2 Tables'!H$7/10000</f>
        <v>50.262539189770195</v>
      </c>
      <c r="V110" s="46">
        <f>44.011*(U110/(12.011+1.008*'Tier 3 CO2 Tables'!B$6+16*'Tier 3 CO2 Tables'!C$6))</f>
        <v>156.80188977610544</v>
      </c>
      <c r="W110" s="46">
        <f>I110*'T3 Methane'!D$21</f>
        <v>693276.40261751995</v>
      </c>
      <c r="X110" s="46" cm="1">
        <f t="array" ref="X110">_xlfn.IFS(E110='Euro Age Table'!C$5,'Euro Age Table'!G$5,E110='Euro Age Table'!C$6,'Euro Age Table'!G$6,E110='Euro Age Table'!C$7,'Euro Age Table'!G$7,E110='Euro Age Table'!C$8,'Euro Age Table'!G$8,E110='Euro Age Table'!C$9,'Euro Age Table'!G$9,E110='Euro Age Table'!C$10,'Euro Age Table'!G$10,E110='Euro Age Table'!C$11,'Euro Age Table'!G$11)</f>
        <v>9</v>
      </c>
      <c r="Y110" s="46">
        <f>X110*'Eilat Car Data'!F$16</f>
        <v>246624.59016393442</v>
      </c>
      <c r="Z110" s="46">
        <f>('T3 N2O LCV-Petrol'!D7*Y110+'T3 N2O LCV-Petrol'!E7)*'T3 N2O LCV-Petrol'!C7</f>
        <v>2.5298569298360651</v>
      </c>
      <c r="AA110" s="124">
        <f t="shared" si="6"/>
        <v>876945.05572687543</v>
      </c>
    </row>
    <row r="111" spans="1:27" ht="12.5">
      <c r="A111" s="49" t="s">
        <v>29</v>
      </c>
      <c r="B111" s="51" t="s">
        <v>20</v>
      </c>
      <c r="C111" s="49" t="s">
        <v>68</v>
      </c>
      <c r="D111" s="51" t="s">
        <v>74</v>
      </c>
      <c r="E111" s="51" t="s">
        <v>60</v>
      </c>
      <c r="F111" s="97">
        <v>1.7724934119713891E-3</v>
      </c>
      <c r="G111" s="99">
        <f t="shared" si="7"/>
        <v>1.503074413351738</v>
      </c>
      <c r="H111" s="46"/>
      <c r="I111" s="46">
        <f>G111*'Eilat Car Data'!F$16</f>
        <v>41188.345686529836</v>
      </c>
      <c r="J111" s="46">
        <f>I111*'Tier 1 Coefficients'!I$8</f>
        <v>4118834.5686529838</v>
      </c>
      <c r="K111" s="46">
        <f t="shared" si="4"/>
        <v>4118.8345686529838</v>
      </c>
      <c r="L111" s="46">
        <f>K111*'Tier 1 Coefficients'!D$3</f>
        <v>13052.586748061305</v>
      </c>
      <c r="M111" s="46">
        <f>K111*'Tier 1 Coefficients'!C$19</f>
        <v>25001.325831723614</v>
      </c>
      <c r="N111" s="46">
        <f>K111*'Tier 1 Coefficients'!C$43</f>
        <v>766.10322976945497</v>
      </c>
      <c r="O111" s="46">
        <f>I111*'Tier 2 FC'!D$27</f>
        <v>2883184.1980570885</v>
      </c>
      <c r="P111" s="46">
        <f t="shared" si="5"/>
        <v>2883.1841980570885</v>
      </c>
      <c r="Q111" s="46">
        <f>P111*'Tier 1 Coefficients'!D$3</f>
        <v>9136.8107236429132</v>
      </c>
      <c r="R111" s="46">
        <f>$I111*'T2 LPG'!C8</f>
        <v>53.544849392488786</v>
      </c>
      <c r="S111" s="121">
        <f>$I111*'T2 LPG'!D8</f>
        <v>16392.961583238877</v>
      </c>
      <c r="T111" s="46">
        <f>44.011*(P111/(12.011+1.008*'Tier 3 CO2 Tables'!B$3+16*'Tier 3 CO2 Tables'!C$3))</f>
        <v>9138.1907189670746</v>
      </c>
      <c r="U111" s="46">
        <f>I111*'Tier 3 CO2 Tables'!H$8/10000</f>
        <v>5.2721082478758188</v>
      </c>
      <c r="V111" s="46">
        <f>44.011*(U111/(12.011+1.008*'Tier 3 CO2 Tables'!B$6+16*'Tier 3 CO2 Tables'!C$6))</f>
        <v>16.447170192694362</v>
      </c>
      <c r="W111" s="46">
        <f>I111*'T3 Methane'!D$21</f>
        <v>82376.691373059672</v>
      </c>
      <c r="X111" s="46" cm="1">
        <f t="array" ref="X111">_xlfn.IFS(E111='Euro Age Table'!C$5,'Euro Age Table'!G$5,E111='Euro Age Table'!C$6,'Euro Age Table'!G$6,E111='Euro Age Table'!C$7,'Euro Age Table'!G$7,E111='Euro Age Table'!C$8,'Euro Age Table'!G$8,E111='Euro Age Table'!C$9,'Euro Age Table'!G$9,E111='Euro Age Table'!C$10,'Euro Age Table'!G$10,E111='Euro Age Table'!C$11,'Euro Age Table'!G$11)</f>
        <v>3</v>
      </c>
      <c r="Y111" s="46">
        <f>X111*'Eilat Car Data'!F$16</f>
        <v>82208.196721311484</v>
      </c>
      <c r="Z111" s="46">
        <f>('T3 N2O LCV-Petrol'!D8*Y111+'T3 N2O LCV-Petrol'!E8)*'T3 N2O LCV-Petrol'!C8</f>
        <v>2.2208856432786885</v>
      </c>
      <c r="AA111" s="124">
        <f t="shared" si="6"/>
        <v>91474.605605613804</v>
      </c>
    </row>
    <row r="112" spans="1:27" ht="12.5">
      <c r="A112" s="49" t="s">
        <v>29</v>
      </c>
      <c r="B112" s="49" t="s">
        <v>22</v>
      </c>
      <c r="C112" s="49" t="s">
        <v>68</v>
      </c>
      <c r="D112" s="49" t="s">
        <v>71</v>
      </c>
      <c r="E112" s="50" t="s">
        <v>55</v>
      </c>
      <c r="F112" s="97">
        <v>1.490149328648513E-4</v>
      </c>
      <c r="G112" s="99">
        <f t="shared" si="7"/>
        <v>0.1263646630693939</v>
      </c>
      <c r="H112" s="46"/>
      <c r="I112" s="46">
        <f>G112*'Eilat Car Data'!F$16</f>
        <v>3462.737026743659</v>
      </c>
      <c r="J112" s="46">
        <f>I112*'Tier 1 Coefficients'!I$9</f>
        <v>277018.96213949274</v>
      </c>
      <c r="K112" s="46">
        <f t="shared" si="4"/>
        <v>277.01896213949271</v>
      </c>
      <c r="L112" s="46">
        <f>K112*'Tier 1 Coefficients'!D$4</f>
        <v>877.87309102005247</v>
      </c>
      <c r="M112" s="46">
        <f>K112*'Tier 1 Coefficients'!C$20</f>
        <v>1775.6915473141482</v>
      </c>
      <c r="N112" s="46">
        <f>K112*'Tier 1 Coefficients'!C$44</f>
        <v>15.513061879811593</v>
      </c>
      <c r="O112" s="46">
        <f>I112*'Tier 2 FC'!D$29</f>
        <v>277018.96213949274</v>
      </c>
      <c r="P112" s="46">
        <f t="shared" si="5"/>
        <v>277.01896213949271</v>
      </c>
      <c r="Q112" s="46">
        <f>P112*'Tier 1 Coefficients'!D$4</f>
        <v>877.87309102005247</v>
      </c>
      <c r="R112" s="46">
        <f>$I112*'T2 LPG'!C12</f>
        <v>10.388211080230978</v>
      </c>
      <c r="S112" s="121">
        <f>$I112*'T2 LPG'!D12</f>
        <v>2063.7912679392207</v>
      </c>
      <c r="T112" s="46">
        <f>44.011*(P112/(12.011+1.008*'Tier 3 CO2 Tables'!B$4+16*'Tier 3 CO2 Tables'!C$4))</f>
        <v>878.00568222692505</v>
      </c>
      <c r="U112" s="46">
        <f>I112*'Tier 3 CO2 Tables'!H$9/10000</f>
        <v>0.51594781698480519</v>
      </c>
      <c r="V112" s="46">
        <f>44.011*(U112/(12.011+1.008*'Tier 3 CO2 Tables'!B$6+16*'Tier 3 CO2 Tables'!C$6))</f>
        <v>1.609580296443506</v>
      </c>
      <c r="W112" s="46">
        <f>I112*'T3 Methane'!D23</f>
        <v>38090.107294180249</v>
      </c>
      <c r="X112" s="46" cm="1">
        <f t="array" ref="X112">_xlfn.IFS(E112='Euro Age Table'!C$5,'Euro Age Table'!G$5,E112='Euro Age Table'!C$6,'Euro Age Table'!G$6,E112='Euro Age Table'!C$7,'Euro Age Table'!G$7,E112='Euro Age Table'!C$8,'Euro Age Table'!G$8,E112='Euro Age Table'!C$9,'Euro Age Table'!G$9,E112='Euro Age Table'!C$10,'Euro Age Table'!G$10,E112='Euro Age Table'!C$11,'Euro Age Table'!G$11)</f>
        <v>23</v>
      </c>
      <c r="Y112" s="46">
        <f>X112*'Eilat Car Data'!F$16</f>
        <v>630262.84153005469</v>
      </c>
      <c r="Z112" s="121">
        <f>'T3 N2O PC-Diesel LPG'!B4</f>
        <v>2</v>
      </c>
      <c r="AA112" s="124">
        <f t="shared" si="6"/>
        <v>6925.4740534873181</v>
      </c>
    </row>
    <row r="113" spans="1:27" ht="12.5">
      <c r="A113" s="49" t="s">
        <v>29</v>
      </c>
      <c r="B113" s="49" t="s">
        <v>22</v>
      </c>
      <c r="C113" s="49" t="s">
        <v>68</v>
      </c>
      <c r="D113" s="49" t="s">
        <v>71</v>
      </c>
      <c r="E113" s="50" t="s">
        <v>56</v>
      </c>
      <c r="F113" s="97">
        <v>5.0978792822185966E-4</v>
      </c>
      <c r="G113" s="99">
        <f t="shared" si="7"/>
        <v>0.43230016313213698</v>
      </c>
      <c r="H113" s="46"/>
      <c r="I113" s="46">
        <f>G113*'Eilat Car Data'!F$16</f>
        <v>11846.205617807253</v>
      </c>
      <c r="J113" s="46">
        <f>I113*'Tier 1 Coefficients'!I$9</f>
        <v>947696.44942458021</v>
      </c>
      <c r="K113" s="46">
        <f t="shared" si="4"/>
        <v>947.69644942458024</v>
      </c>
      <c r="L113" s="46">
        <f>K113*'Tier 1 Coefficients'!D$4</f>
        <v>3003.250048226495</v>
      </c>
      <c r="M113" s="46">
        <f>K113*'Tier 1 Coefficients'!C$20</f>
        <v>6074.7342408115592</v>
      </c>
      <c r="N113" s="46">
        <f>K113*'Tier 1 Coefficients'!C$44</f>
        <v>53.071001167776494</v>
      </c>
      <c r="O113" s="46">
        <f>I113*'Tier 2 FC'!D$29</f>
        <v>947696.44942458021</v>
      </c>
      <c r="P113" s="46">
        <f t="shared" si="5"/>
        <v>947.69644942458024</v>
      </c>
      <c r="Q113" s="46">
        <f>P113*'Tier 1 Coefficients'!D$4</f>
        <v>3003.250048226495</v>
      </c>
      <c r="R113" s="46">
        <f>$I113*'T2 LPG'!C13</f>
        <v>71.077233706843515</v>
      </c>
      <c r="S113" s="121">
        <f>$I113*'T2 LPG'!D13</f>
        <v>6278.4889774378444</v>
      </c>
      <c r="T113" s="46">
        <f>44.011*(P113/(12.011+1.008*'Tier 3 CO2 Tables'!B$4+16*'Tier 3 CO2 Tables'!C$4))</f>
        <v>3003.7036497236904</v>
      </c>
      <c r="U113" s="46">
        <f>I113*'Tier 3 CO2 Tables'!H$9/10000</f>
        <v>1.7650846370532807</v>
      </c>
      <c r="V113" s="46">
        <f>44.011*(U113/(12.011+1.008*'Tier 3 CO2 Tables'!B$6+16*'Tier 3 CO2 Tables'!C$6))</f>
        <v>5.5064589088856772</v>
      </c>
      <c r="W113" s="46">
        <f>I113*'T3 Methane'!D24</f>
        <v>82923.439324650768</v>
      </c>
      <c r="X113" s="46" cm="1">
        <f t="array" ref="X113">_xlfn.IFS(E113='Euro Age Table'!C$5,'Euro Age Table'!G$5,E113='Euro Age Table'!C$6,'Euro Age Table'!G$6,E113='Euro Age Table'!C$7,'Euro Age Table'!G$7,E113='Euro Age Table'!C$8,'Euro Age Table'!G$8,E113='Euro Age Table'!C$9,'Euro Age Table'!G$9,E113='Euro Age Table'!C$10,'Euro Age Table'!G$10,E113='Euro Age Table'!C$11,'Euro Age Table'!G$11)</f>
        <v>18</v>
      </c>
      <c r="Y113" s="46">
        <f>X113*'Eilat Car Data'!F$16</f>
        <v>493249.18032786885</v>
      </c>
      <c r="Z113" s="121">
        <f>'T3 N2O PC-Diesel LPG'!B5</f>
        <v>4</v>
      </c>
      <c r="AA113" s="124">
        <f t="shared" si="6"/>
        <v>47384.82247122901</v>
      </c>
    </row>
    <row r="114" spans="1:27" ht="12.5">
      <c r="A114" s="49" t="s">
        <v>29</v>
      </c>
      <c r="B114" s="49" t="s">
        <v>22</v>
      </c>
      <c r="C114" s="49" t="s">
        <v>68</v>
      </c>
      <c r="D114" s="49" t="s">
        <v>72</v>
      </c>
      <c r="E114" s="50" t="s">
        <v>57</v>
      </c>
      <c r="F114" s="97">
        <v>3.529301041535952E-4</v>
      </c>
      <c r="G114" s="99">
        <f t="shared" si="7"/>
        <v>0.29928472832224873</v>
      </c>
      <c r="H114" s="46"/>
      <c r="I114" s="46">
        <f>G114*'Eilat Car Data'!F$16</f>
        <v>8201.2192738665617</v>
      </c>
      <c r="J114" s="46">
        <f>I114*'Tier 1 Coefficients'!I$9</f>
        <v>656097.54190932494</v>
      </c>
      <c r="K114" s="46">
        <f t="shared" si="4"/>
        <v>656.09754190932495</v>
      </c>
      <c r="L114" s="46">
        <f>K114*'Tier 1 Coefficients'!D$4</f>
        <v>2079.1731103106508</v>
      </c>
      <c r="M114" s="46">
        <f>K114*'Tier 1 Coefficients'!C$20</f>
        <v>4205.5852436387731</v>
      </c>
      <c r="N114" s="46">
        <f>K114*'Tier 1 Coefficients'!C$44</f>
        <v>36.741462346922198</v>
      </c>
      <c r="O114" s="46">
        <f>I114*'Tier 2 FC'!D$29</f>
        <v>656097.54190932494</v>
      </c>
      <c r="P114" s="46">
        <f t="shared" si="5"/>
        <v>656.09754190932495</v>
      </c>
      <c r="Q114" s="46">
        <f>P114*'Tier 1 Coefficients'!D$4</f>
        <v>2079.1731103106508</v>
      </c>
      <c r="R114" s="46">
        <f>$I114*'T2 LPG'!C14</f>
        <v>73.810973464799048</v>
      </c>
      <c r="S114" s="121">
        <f>$I114*'T2 LPG'!D14</f>
        <v>3805.365743074085</v>
      </c>
      <c r="T114" s="46">
        <f>44.011*(P114/(12.011+1.008*'Tier 3 CO2 Tables'!B$4+16*'Tier 3 CO2 Tables'!C$4))</f>
        <v>2079.4871421164021</v>
      </c>
      <c r="U114" s="46">
        <f>I114*'Tier 3 CO2 Tables'!H$9/10000</f>
        <v>1.2219816718061176</v>
      </c>
      <c r="V114" s="46">
        <f>44.011*(U114/(12.011+1.008*'Tier 3 CO2 Tables'!B$6+16*'Tier 3 CO2 Tables'!C$6))</f>
        <v>3.8121638599977774</v>
      </c>
      <c r="W114" s="46">
        <f>I114*'T3 Methane'!D25</f>
        <v>24603.657821599685</v>
      </c>
      <c r="X114" s="46" cm="1">
        <f t="array" ref="X114">_xlfn.IFS(E114='Euro Age Table'!C$5,'Euro Age Table'!G$5,E114='Euro Age Table'!C$6,'Euro Age Table'!G$6,E114='Euro Age Table'!C$7,'Euro Age Table'!G$7,E114='Euro Age Table'!C$8,'Euro Age Table'!G$8,E114='Euro Age Table'!C$9,'Euro Age Table'!G$9,E114='Euro Age Table'!C$10,'Euro Age Table'!G$10,E114='Euro Age Table'!C$11,'Euro Age Table'!G$11)</f>
        <v>16</v>
      </c>
      <c r="Y114" s="46">
        <f>X114*'Eilat Car Data'!F$16</f>
        <v>438443.71584699454</v>
      </c>
      <c r="Z114" s="121">
        <f>'T3 N2O PC-Diesel LPG'!B6</f>
        <v>9</v>
      </c>
      <c r="AA114" s="124">
        <f t="shared" si="6"/>
        <v>73810.973464799055</v>
      </c>
    </row>
    <row r="115" spans="1:27" ht="12.5">
      <c r="A115" s="49" t="s">
        <v>29</v>
      </c>
      <c r="B115" s="49" t="s">
        <v>22</v>
      </c>
      <c r="C115" s="49" t="s">
        <v>68</v>
      </c>
      <c r="D115" s="49" t="s">
        <v>72</v>
      </c>
      <c r="E115" s="50" t="s">
        <v>58</v>
      </c>
      <c r="F115" s="97">
        <v>9.4114694440958717E-5</v>
      </c>
      <c r="G115" s="99">
        <f t="shared" si="7"/>
        <v>7.9809260885932987E-2</v>
      </c>
      <c r="H115" s="46"/>
      <c r="I115" s="46">
        <f>G115*'Eilat Car Data'!F$16</f>
        <v>2186.9918063644163</v>
      </c>
      <c r="J115" s="46">
        <f>I115*'Tier 1 Coefficients'!I$9</f>
        <v>174959.34450915331</v>
      </c>
      <c r="K115" s="46">
        <f t="shared" si="4"/>
        <v>174.95934450915331</v>
      </c>
      <c r="L115" s="46">
        <f>K115*'Tier 1 Coefficients'!D$4</f>
        <v>554.44616274950681</v>
      </c>
      <c r="M115" s="46">
        <f>K115*'Tier 1 Coefficients'!C$20</f>
        <v>1121.4893983036727</v>
      </c>
      <c r="N115" s="46">
        <f>K115*'Tier 1 Coefficients'!C$44</f>
        <v>9.7977232925125861</v>
      </c>
      <c r="O115" s="46">
        <f>I115*'Tier 2 FC'!D$29</f>
        <v>174959.34450915331</v>
      </c>
      <c r="P115" s="46">
        <f t="shared" si="5"/>
        <v>174.95934450915331</v>
      </c>
      <c r="Q115" s="46">
        <f>P115*'Tier 1 Coefficients'!D$4</f>
        <v>554.44616274950681</v>
      </c>
      <c r="R115" s="46">
        <f>$I115*'T2 LPG'!C15</f>
        <v>19.682926257279746</v>
      </c>
      <c r="S115" s="121">
        <f>$I115*'T2 LPG'!D15</f>
        <v>870.42273893303775</v>
      </c>
      <c r="T115" s="46">
        <f>44.011*(P115/(12.011+1.008*'Tier 3 CO2 Tables'!B$4+16*'Tier 3 CO2 Tables'!C$4))</f>
        <v>554.52990456437374</v>
      </c>
      <c r="U115" s="46">
        <f>I115*'Tier 3 CO2 Tables'!H$9/10000</f>
        <v>0.32586177914829806</v>
      </c>
      <c r="V115" s="46">
        <f>44.011*(U115/(12.011+1.008*'Tier 3 CO2 Tables'!B$6+16*'Tier 3 CO2 Tables'!C$6))</f>
        <v>1.0165770293327407</v>
      </c>
      <c r="W115" s="46">
        <f>I115*'T3 Methane'!D26</f>
        <v>2405.6909870008581</v>
      </c>
      <c r="X115" s="46" cm="1">
        <f t="array" ref="X115">_xlfn.IFS(E115='Euro Age Table'!C$5,'Euro Age Table'!G$5,E115='Euro Age Table'!C$6,'Euro Age Table'!G$6,E115='Euro Age Table'!C$7,'Euro Age Table'!G$7,E115='Euro Age Table'!C$8,'Euro Age Table'!G$8,E115='Euro Age Table'!C$9,'Euro Age Table'!G$9,E115='Euro Age Table'!C$10,'Euro Age Table'!G$10,E115='Euro Age Table'!C$11,'Euro Age Table'!G$11)</f>
        <v>13</v>
      </c>
      <c r="Y115" s="46">
        <f>X115*'Eilat Car Data'!F$16</f>
        <v>356235.51912568306</v>
      </c>
      <c r="Z115" s="121">
        <f>'T3 N2O PC-Diesel LPG'!B6</f>
        <v>9</v>
      </c>
      <c r="AA115" s="124">
        <f t="shared" si="6"/>
        <v>19682.926257279745</v>
      </c>
    </row>
    <row r="116" spans="1:27" ht="12.5">
      <c r="A116" s="49" t="s">
        <v>29</v>
      </c>
      <c r="B116" s="49" t="s">
        <v>22</v>
      </c>
      <c r="C116" s="49" t="s">
        <v>68</v>
      </c>
      <c r="D116" s="49" t="s">
        <v>72</v>
      </c>
      <c r="E116" s="50" t="s">
        <v>59</v>
      </c>
      <c r="F116" s="97">
        <v>1.3332915045802485E-4</v>
      </c>
      <c r="G116" s="99">
        <f t="shared" si="7"/>
        <v>0.11306311958840506</v>
      </c>
      <c r="H116" s="46"/>
      <c r="I116" s="46">
        <f>G116*'Eilat Car Data'!F$16</f>
        <v>3098.2383923495895</v>
      </c>
      <c r="J116" s="46">
        <f>I116*'Tier 1 Coefficients'!I$9</f>
        <v>247859.07138796715</v>
      </c>
      <c r="K116" s="46">
        <f t="shared" si="4"/>
        <v>247.85907138796716</v>
      </c>
      <c r="L116" s="46">
        <f>K116*'Tier 1 Coefficients'!D$4</f>
        <v>785.46539722846796</v>
      </c>
      <c r="M116" s="46">
        <f>K116*'Tier 1 Coefficients'!C$20</f>
        <v>1588.7766475968695</v>
      </c>
      <c r="N116" s="46">
        <f>K116*'Tier 1 Coefficients'!C$44</f>
        <v>13.880107997726162</v>
      </c>
      <c r="O116" s="46">
        <f>I116*'Tier 2 FC'!D$29</f>
        <v>247859.07138796715</v>
      </c>
      <c r="P116" s="46">
        <f t="shared" si="5"/>
        <v>247.85907138796716</v>
      </c>
      <c r="Q116" s="46">
        <f>P116*'Tier 1 Coefficients'!D$4</f>
        <v>785.46539722846796</v>
      </c>
      <c r="R116" s="46">
        <f>$I116*'T2 LPG'!C16</f>
        <v>12.392953569398358</v>
      </c>
      <c r="S116" s="121">
        <f>$I116*'T2 LPG'!D16</f>
        <v>1233.0988801551366</v>
      </c>
      <c r="T116" s="46">
        <f>44.011*(P116/(12.011+1.008*'Tier 3 CO2 Tables'!B$4+16*'Tier 3 CO2 Tables'!C$4))</f>
        <v>785.58403146619617</v>
      </c>
      <c r="U116" s="46">
        <f>I116*'Tier 3 CO2 Tables'!H$9/10000</f>
        <v>0.46163752046008888</v>
      </c>
      <c r="V116" s="46">
        <f>44.011*(U116/(12.011+1.008*'Tier 3 CO2 Tables'!B$6+16*'Tier 3 CO2 Tables'!C$6))</f>
        <v>1.4401507915547158</v>
      </c>
      <c r="W116" s="46">
        <f>I116*'T3 Methane'!D27</f>
        <v>23.23678794262192</v>
      </c>
      <c r="X116" s="46" cm="1">
        <f t="array" ref="X116">_xlfn.IFS(E116='Euro Age Table'!C$5,'Euro Age Table'!G$5,E116='Euro Age Table'!C$6,'Euro Age Table'!G$6,E116='Euro Age Table'!C$7,'Euro Age Table'!G$7,E116='Euro Age Table'!C$8,'Euro Age Table'!G$8,E116='Euro Age Table'!C$9,'Euro Age Table'!G$9,E116='Euro Age Table'!C$10,'Euro Age Table'!G$10,E116='Euro Age Table'!C$11,'Euro Age Table'!G$11)</f>
        <v>9</v>
      </c>
      <c r="Y116" s="46">
        <f>X116*'Eilat Car Data'!F$16</f>
        <v>246624.59016393442</v>
      </c>
      <c r="Z116" s="121">
        <f>'T3 N2O PC-Diesel LPG'!B6</f>
        <v>9</v>
      </c>
      <c r="AA116" s="124">
        <f t="shared" si="6"/>
        <v>27884.145531146307</v>
      </c>
    </row>
    <row r="117" spans="1:27" ht="12.5">
      <c r="A117" s="49" t="s">
        <v>29</v>
      </c>
      <c r="B117" s="49" t="s">
        <v>22</v>
      </c>
      <c r="C117" s="49" t="s">
        <v>68</v>
      </c>
      <c r="D117" s="51" t="s">
        <v>72</v>
      </c>
      <c r="E117" s="51" t="s">
        <v>60</v>
      </c>
      <c r="F117" s="97">
        <v>7.842891203413227E-6</v>
      </c>
      <c r="G117" s="99">
        <f t="shared" si="7"/>
        <v>6.6507717404944164E-3</v>
      </c>
      <c r="H117" s="46"/>
      <c r="I117" s="46">
        <f>G117*'Eilat Car Data'!F$16</f>
        <v>182.24931719703471</v>
      </c>
      <c r="J117" s="46">
        <f>I117*'Tier 1 Coefficients'!I$9</f>
        <v>14579.945375762778</v>
      </c>
      <c r="K117" s="46">
        <f t="shared" si="4"/>
        <v>14.579945375762778</v>
      </c>
      <c r="L117" s="46">
        <f>K117*'Tier 1 Coefficients'!D$4</f>
        <v>46.203846895792246</v>
      </c>
      <c r="M117" s="46">
        <f>K117*'Tier 1 Coefficients'!C$20</f>
        <v>93.457449858639407</v>
      </c>
      <c r="N117" s="46">
        <f>K117*'Tier 1 Coefficients'!C$44</f>
        <v>0.81647694104271562</v>
      </c>
      <c r="O117" s="46">
        <f>I117*'Tier 2 FC'!D$29</f>
        <v>14579.945375762778</v>
      </c>
      <c r="P117" s="46">
        <f t="shared" si="5"/>
        <v>14.579945375762778</v>
      </c>
      <c r="Q117" s="46">
        <f>P117*'Tier 1 Coefficients'!D$4</f>
        <v>46.203846895792246</v>
      </c>
      <c r="R117" s="46">
        <f>$I117*'T2 LPG'!C17</f>
        <v>0.72899726878813886</v>
      </c>
      <c r="S117" s="121">
        <f>$I117*'T2 LPG'!D17</f>
        <v>72.535228244419827</v>
      </c>
      <c r="T117" s="46">
        <f>44.011*(P117/(12.011+1.008*'Tier 3 CO2 Tables'!B$4+16*'Tier 3 CO2 Tables'!C$4))</f>
        <v>46.210825380364483</v>
      </c>
      <c r="U117" s="46">
        <f>I117*'Tier 3 CO2 Tables'!H$10/10000</f>
        <v>2.3327912601220444E-2</v>
      </c>
      <c r="V117" s="46">
        <f>44.011*(U117/(12.011+1.008*'Tier 3 CO2 Tables'!B$6+16*'Tier 3 CO2 Tables'!C$6))</f>
        <v>7.277508934820516E-2</v>
      </c>
      <c r="W117" s="46">
        <f>I117*'T3 Methane'!D27</f>
        <v>1.3668698789777602</v>
      </c>
      <c r="X117" s="46" cm="1">
        <f t="array" ref="X117">_xlfn.IFS(E117='Euro Age Table'!C$5,'Euro Age Table'!G$5,E117='Euro Age Table'!C$6,'Euro Age Table'!G$6,E117='Euro Age Table'!C$7,'Euro Age Table'!G$7,E117='Euro Age Table'!C$8,'Euro Age Table'!G$8,E117='Euro Age Table'!C$9,'Euro Age Table'!G$9,E117='Euro Age Table'!C$10,'Euro Age Table'!G$10,E117='Euro Age Table'!C$11,'Euro Age Table'!G$11)</f>
        <v>3</v>
      </c>
      <c r="Y117" s="46">
        <f>X117*'Eilat Car Data'!F$16</f>
        <v>82208.196721311484</v>
      </c>
      <c r="Z117" s="121">
        <f>'T3 N2O PC-Diesel LPG'!B7</f>
        <v>11</v>
      </c>
      <c r="AA117" s="124">
        <f t="shared" si="6"/>
        <v>2004.7424891673818</v>
      </c>
    </row>
    <row r="118" spans="1:27" ht="12.5">
      <c r="A118" s="49" t="s">
        <v>29</v>
      </c>
      <c r="B118" s="49" t="s">
        <v>22</v>
      </c>
      <c r="C118" s="49" t="s">
        <v>68</v>
      </c>
      <c r="D118" s="49" t="s">
        <v>73</v>
      </c>
      <c r="E118" s="50" t="s">
        <v>54</v>
      </c>
      <c r="F118" s="97">
        <v>2.948927092483373E-3</v>
      </c>
      <c r="G118" s="99">
        <f t="shared" si="7"/>
        <v>2.5006901744259005</v>
      </c>
      <c r="H118" s="46"/>
      <c r="I118" s="46">
        <f>G118*'Eilat Car Data'!F$16</f>
        <v>68525.743266085046</v>
      </c>
      <c r="J118" s="46">
        <f>I118*'Tier 1 Coefficients'!I$9</f>
        <v>5482059.4612868037</v>
      </c>
      <c r="K118" s="46">
        <f t="shared" si="4"/>
        <v>5482.0594612868035</v>
      </c>
      <c r="L118" s="46">
        <f>K118*'Tier 1 Coefficients'!D$4</f>
        <v>17372.646432817881</v>
      </c>
      <c r="M118" s="46">
        <f>K118*'Tier 1 Coefficients'!C$20</f>
        <v>35140.001146848408</v>
      </c>
      <c r="N118" s="46">
        <f>K118*'Tier 1 Coefficients'!C$44</f>
        <v>306.99532983206103</v>
      </c>
      <c r="O118" s="46">
        <f>I118*'Tier 2 FC'!D$28</f>
        <v>6098791.1506815692</v>
      </c>
      <c r="P118" s="46">
        <f t="shared" si="5"/>
        <v>6098.791150681569</v>
      </c>
      <c r="Q118" s="46">
        <f>P118*'Tier 1 Coefficients'!D$4</f>
        <v>19327.069156509893</v>
      </c>
      <c r="R118" s="46">
        <f>$I118*'T2 LPG'!C11</f>
        <v>0</v>
      </c>
      <c r="S118" s="121">
        <f>$I118*'T2 LPG'!D11</f>
        <v>45432.567785414387</v>
      </c>
      <c r="T118" s="46">
        <f>44.011*(P118/(12.011+1.008*'Tier 3 CO2 Tables'!B$4+16*'Tier 3 CO2 Tables'!C$4))</f>
        <v>19329.988256606463</v>
      </c>
      <c r="U118" s="46">
        <f>I118*'Tier 3 CO2 Tables'!H$9/10000</f>
        <v>10.210335746646672</v>
      </c>
      <c r="V118" s="46">
        <f>44.011*(U118/(12.011+1.008*'Tier 3 CO2 Tables'!B$6+16*'Tier 3 CO2 Tables'!C$6))</f>
        <v>31.852746919092542</v>
      </c>
      <c r="W118" s="46">
        <f>I118*'T3 Methane'!D22</f>
        <v>1918720.8114503813</v>
      </c>
      <c r="X118" s="46" cm="1">
        <f t="array" ref="X118">_xlfn.IFS(E118='Euro Age Table'!C$5,'Euro Age Table'!G$5,E118='Euro Age Table'!C$6,'Euro Age Table'!G$6,E118='Euro Age Table'!C$7,'Euro Age Table'!G$7,E118='Euro Age Table'!C$8,'Euro Age Table'!G$8,E118='Euro Age Table'!C$9,'Euro Age Table'!G$9,E118='Euro Age Table'!C$10,'Euro Age Table'!G$10,E118='Euro Age Table'!C$11,'Euro Age Table'!G$11)</f>
        <v>27</v>
      </c>
      <c r="Y118" s="46">
        <f>X118*'Eilat Car Data'!F$16</f>
        <v>739873.7704918033</v>
      </c>
      <c r="Z118" s="46">
        <f>'T3 N2O PC-Diesel LPG'!B3</f>
        <v>0</v>
      </c>
      <c r="AA118" s="124">
        <f t="shared" si="6"/>
        <v>0</v>
      </c>
    </row>
    <row r="119" spans="1:27" ht="12.5">
      <c r="A119" s="49" t="s">
        <v>29</v>
      </c>
      <c r="B119" s="49" t="s">
        <v>22</v>
      </c>
      <c r="C119" s="49" t="s">
        <v>68</v>
      </c>
      <c r="D119" s="49" t="s">
        <v>73</v>
      </c>
      <c r="E119" s="50" t="s">
        <v>55</v>
      </c>
      <c r="F119" s="97">
        <v>3.9496800100389008E-2</v>
      </c>
      <c r="G119" s="99">
        <f t="shared" si="7"/>
        <v>33.493286485129879</v>
      </c>
      <c r="H119" s="46"/>
      <c r="I119" s="46">
        <f>G119*'Eilat Car Data'!F$16</f>
        <v>917807.56140426674</v>
      </c>
      <c r="J119" s="46">
        <f>I119*'Tier 1 Coefficients'!I$9</f>
        <v>73424604.912341341</v>
      </c>
      <c r="K119" s="46">
        <f t="shared" si="4"/>
        <v>73424.60491234134</v>
      </c>
      <c r="L119" s="46">
        <f>K119*'Tier 1 Coefficients'!D$4</f>
        <v>232682.57296720971</v>
      </c>
      <c r="M119" s="46">
        <f>K119*'Tier 1 Coefficients'!C$20</f>
        <v>470651.71748810797</v>
      </c>
      <c r="N119" s="46">
        <f>K119*'Tier 1 Coefficients'!C$44</f>
        <v>4111.7778750911148</v>
      </c>
      <c r="O119" s="46">
        <f>I119*'Tier 2 FC'!D$29</f>
        <v>73424604.912341341</v>
      </c>
      <c r="P119" s="46">
        <f t="shared" si="5"/>
        <v>73424.60491234134</v>
      </c>
      <c r="Q119" s="46">
        <f>P119*'Tier 1 Coefficients'!D$4</f>
        <v>232682.57296720971</v>
      </c>
      <c r="R119" s="46">
        <f>$I119*'T2 LPG'!C12</f>
        <v>2753.4226842128005</v>
      </c>
      <c r="S119" s="121">
        <f>$I119*'T2 LPG'!D12</f>
        <v>547013.30659694294</v>
      </c>
      <c r="T119" s="46">
        <f>44.011*(P119/(12.011+1.008*'Tier 3 CO2 Tables'!B$4+16*'Tier 3 CO2 Tables'!C$4))</f>
        <v>232717.71661551553</v>
      </c>
      <c r="U119" s="46">
        <f>I119*'Tier 3 CO2 Tables'!H$9/10000</f>
        <v>136.75332664923576</v>
      </c>
      <c r="V119" s="46">
        <f>44.011*(U119/(12.011+1.008*'Tier 3 CO2 Tables'!B$6+16*'Tier 3 CO2 Tables'!C$6))</f>
        <v>426.62349330997353</v>
      </c>
      <c r="W119" s="46">
        <f>I119*'T3 Methane'!D23</f>
        <v>10095883.175446935</v>
      </c>
      <c r="X119" s="46" cm="1">
        <f t="array" ref="X119">_xlfn.IFS(E119='Euro Age Table'!C$5,'Euro Age Table'!G$5,E119='Euro Age Table'!C$6,'Euro Age Table'!G$6,E119='Euro Age Table'!C$7,'Euro Age Table'!G$7,E119='Euro Age Table'!C$8,'Euro Age Table'!G$8,E119='Euro Age Table'!C$9,'Euro Age Table'!G$9,E119='Euro Age Table'!C$10,'Euro Age Table'!G$10,E119='Euro Age Table'!C$11,'Euro Age Table'!G$11)</f>
        <v>23</v>
      </c>
      <c r="Y119" s="46">
        <f>X119*'Eilat Car Data'!F$16</f>
        <v>630262.84153005469</v>
      </c>
      <c r="Z119" s="46">
        <f>'T3 N2O PC-Diesel LPG'!B4</f>
        <v>2</v>
      </c>
      <c r="AA119" s="124">
        <f t="shared" si="6"/>
        <v>1835615.1228085335</v>
      </c>
    </row>
    <row r="120" spans="1:27" ht="12.5">
      <c r="A120" s="49" t="s">
        <v>29</v>
      </c>
      <c r="B120" s="49" t="s">
        <v>22</v>
      </c>
      <c r="C120" s="49" t="s">
        <v>68</v>
      </c>
      <c r="D120" s="49" t="s">
        <v>73</v>
      </c>
      <c r="E120" s="50" t="s">
        <v>56</v>
      </c>
      <c r="F120" s="97">
        <v>3.6053770862090599E-2</v>
      </c>
      <c r="G120" s="99">
        <f t="shared" si="7"/>
        <v>30.573597691052829</v>
      </c>
      <c r="H120" s="46"/>
      <c r="I120" s="46">
        <f>G120*'Eilat Car Data'!F$16</f>
        <v>837800.11115476838</v>
      </c>
      <c r="J120" s="46">
        <f>I120*'Tier 1 Coefficients'!I$9</f>
        <v>67024008.892381474</v>
      </c>
      <c r="K120" s="46">
        <f t="shared" si="4"/>
        <v>67024.008892381476</v>
      </c>
      <c r="L120" s="46">
        <f>K120*'Tier 1 Coefficients'!D$4</f>
        <v>212399.0841799569</v>
      </c>
      <c r="M120" s="46">
        <f>K120*'Tier 1 Coefficients'!C$20</f>
        <v>429623.89700016525</v>
      </c>
      <c r="N120" s="46">
        <f>K120*'Tier 1 Coefficients'!C$44</f>
        <v>3753.3444979733626</v>
      </c>
      <c r="O120" s="46">
        <f>I120*'Tier 2 FC'!D$29</f>
        <v>67024008.892381474</v>
      </c>
      <c r="P120" s="46">
        <f t="shared" si="5"/>
        <v>67024.008892381476</v>
      </c>
      <c r="Q120" s="46">
        <f>P120*'Tier 1 Coefficients'!D$4</f>
        <v>212399.0841799569</v>
      </c>
      <c r="R120" s="46">
        <f>$I120*'T2 LPG'!C13</f>
        <v>5026.8006669286106</v>
      </c>
      <c r="S120" s="121">
        <f>$I120*'T2 LPG'!D13</f>
        <v>444034.05891202728</v>
      </c>
      <c r="T120" s="46">
        <f>44.011*(P120/(12.011+1.008*'Tier 3 CO2 Tables'!B$4+16*'Tier 3 CO2 Tables'!C$4))</f>
        <v>212431.16427353554</v>
      </c>
      <c r="U120" s="46">
        <f>I120*'Tier 3 CO2 Tables'!H$9/10000</f>
        <v>124.83221656206049</v>
      </c>
      <c r="V120" s="46">
        <f>44.011*(U120/(12.011+1.008*'Tier 3 CO2 Tables'!B$6+16*'Tier 3 CO2 Tables'!C$6))</f>
        <v>389.43371698688406</v>
      </c>
      <c r="W120" s="46">
        <f>I120*'T3 Methane'!D24</f>
        <v>5864600.7780833784</v>
      </c>
      <c r="X120" s="46" cm="1">
        <f t="array" ref="X120">_xlfn.IFS(E120='Euro Age Table'!C$5,'Euro Age Table'!G$5,E120='Euro Age Table'!C$6,'Euro Age Table'!G$6,E120='Euro Age Table'!C$7,'Euro Age Table'!G$7,E120='Euro Age Table'!C$8,'Euro Age Table'!G$8,E120='Euro Age Table'!C$9,'Euro Age Table'!G$9,E120='Euro Age Table'!C$10,'Euro Age Table'!G$10,E120='Euro Age Table'!C$11,'Euro Age Table'!G$11)</f>
        <v>18</v>
      </c>
      <c r="Y120" s="46">
        <f>X120*'Eilat Car Data'!F$16</f>
        <v>493249.18032786885</v>
      </c>
      <c r="Z120" s="46">
        <f>'T3 N2O PC-Diesel LPG'!B5</f>
        <v>4</v>
      </c>
      <c r="AA120" s="124">
        <f t="shared" si="6"/>
        <v>3351200.4446190735</v>
      </c>
    </row>
    <row r="121" spans="1:27" ht="12.5">
      <c r="A121" s="49" t="s">
        <v>29</v>
      </c>
      <c r="B121" s="49" t="s">
        <v>22</v>
      </c>
      <c r="C121" s="49" t="s">
        <v>68</v>
      </c>
      <c r="D121" s="49" t="s">
        <v>74</v>
      </c>
      <c r="E121" s="50" t="s">
        <v>57</v>
      </c>
      <c r="F121" s="97">
        <v>0.11196511481992721</v>
      </c>
      <c r="G121" s="99">
        <f t="shared" si="7"/>
        <v>94.946417367298281</v>
      </c>
      <c r="H121" s="46"/>
      <c r="I121" s="46">
        <f>G121*'Eilat Car Data'!F$16</f>
        <v>2601791.2523048674</v>
      </c>
      <c r="J121" s="46">
        <f>I121*'Tier 1 Coefficients'!I$9</f>
        <v>208143300.18438938</v>
      </c>
      <c r="K121" s="46">
        <f t="shared" si="4"/>
        <v>208143.30018438937</v>
      </c>
      <c r="L121" s="46">
        <f>K121*'Tier 1 Coefficients'!D$4</f>
        <v>659606.11828432989</v>
      </c>
      <c r="M121" s="46">
        <f>K121*'Tier 1 Coefficients'!C$20</f>
        <v>1334198.554181936</v>
      </c>
      <c r="N121" s="46">
        <f>K121*'Tier 1 Coefficients'!C$44</f>
        <v>11656.024810325805</v>
      </c>
      <c r="O121" s="46">
        <f>I121*'Tier 2 FC'!D$29</f>
        <v>208143300.18438938</v>
      </c>
      <c r="P121" s="46">
        <f t="shared" si="5"/>
        <v>208143.30018438937</v>
      </c>
      <c r="Q121" s="46">
        <f>P121*'Tier 1 Coefficients'!D$4</f>
        <v>659606.11828432989</v>
      </c>
      <c r="R121" s="46">
        <f>$I121*'T2 LPG'!C14</f>
        <v>23416.121270743806</v>
      </c>
      <c r="S121" s="121">
        <f>$I121*'T2 LPG'!D14</f>
        <v>1207231.1410694586</v>
      </c>
      <c r="T121" s="46">
        <f>44.011*(P121/(12.011+1.008*'Tier 3 CO2 Tables'!B$4+16*'Tier 3 CO2 Tables'!C$4))</f>
        <v>659705.74313008331</v>
      </c>
      <c r="U121" s="46">
        <f>I121*'Tier 3 CO2 Tables'!H$9/10000</f>
        <v>387.66689659342524</v>
      </c>
      <c r="V121" s="46">
        <f>44.011*(U121/(12.011+1.008*'Tier 3 CO2 Tables'!B$6+16*'Tier 3 CO2 Tables'!C$6))</f>
        <v>1209.3878058961839</v>
      </c>
      <c r="W121" s="46">
        <f>I121*'T3 Methane'!D25</f>
        <v>7805373.7569146026</v>
      </c>
      <c r="X121" s="46" cm="1">
        <f t="array" ref="X121">_xlfn.IFS(E121='Euro Age Table'!C$5,'Euro Age Table'!G$5,E121='Euro Age Table'!C$6,'Euro Age Table'!G$6,E121='Euro Age Table'!C$7,'Euro Age Table'!G$7,E121='Euro Age Table'!C$8,'Euro Age Table'!G$8,E121='Euro Age Table'!C$9,'Euro Age Table'!G$9,E121='Euro Age Table'!C$10,'Euro Age Table'!G$10,E121='Euro Age Table'!C$11,'Euro Age Table'!G$11)</f>
        <v>16</v>
      </c>
      <c r="Y121" s="46">
        <f>X121*'Eilat Car Data'!F$16</f>
        <v>438443.71584699454</v>
      </c>
      <c r="Z121" s="46">
        <f>'T3 N2O PC-Diesel LPG'!B6</f>
        <v>9</v>
      </c>
      <c r="AA121" s="124">
        <f t="shared" si="6"/>
        <v>23416121.270743806</v>
      </c>
    </row>
    <row r="122" spans="1:27" ht="12.5">
      <c r="A122" s="49" t="s">
        <v>29</v>
      </c>
      <c r="B122" s="49" t="s">
        <v>22</v>
      </c>
      <c r="C122" s="49" t="s">
        <v>68</v>
      </c>
      <c r="D122" s="49" t="s">
        <v>74</v>
      </c>
      <c r="E122" s="50" t="s">
        <v>58</v>
      </c>
      <c r="F122" s="97">
        <v>0.22988298406324509</v>
      </c>
      <c r="G122" s="99">
        <f t="shared" si="7"/>
        <v>194.94077048563184</v>
      </c>
      <c r="H122" s="46"/>
      <c r="I122" s="46">
        <f>G122*'Eilat Car Data'!F$16</f>
        <v>5341909.736362284</v>
      </c>
      <c r="J122" s="46">
        <f>I122*'Tier 1 Coefficients'!I$9</f>
        <v>427352778.90898275</v>
      </c>
      <c r="K122" s="46">
        <f t="shared" si="4"/>
        <v>427352.77890898276</v>
      </c>
      <c r="L122" s="46">
        <f>K122*'Tier 1 Coefficients'!D$4</f>
        <v>1354280.9563625664</v>
      </c>
      <c r="M122" s="46">
        <f>K122*'Tier 1 Coefficients'!C$20</f>
        <v>2739331.3128065798</v>
      </c>
      <c r="N122" s="46">
        <f>K122*'Tier 1 Coefficients'!C$44</f>
        <v>23931.755618903037</v>
      </c>
      <c r="O122" s="46">
        <f>I122*'Tier 2 FC'!D$29</f>
        <v>427352778.90898275</v>
      </c>
      <c r="P122" s="46">
        <f t="shared" si="5"/>
        <v>427352.77890898276</v>
      </c>
      <c r="Q122" s="46">
        <f>P122*'Tier 1 Coefficients'!D$4</f>
        <v>1354280.9563625664</v>
      </c>
      <c r="R122" s="46">
        <f>$I122*'T2 LPG'!C15</f>
        <v>48077.187627260551</v>
      </c>
      <c r="S122" s="121">
        <f>$I122*'T2 LPG'!D15</f>
        <v>2126080.0750721893</v>
      </c>
      <c r="T122" s="46">
        <f>44.011*(P122/(12.011+1.008*'Tier 3 CO2 Tables'!B$4+16*'Tier 3 CO2 Tables'!C$4))</f>
        <v>1354485.5027238636</v>
      </c>
      <c r="U122" s="46">
        <f>I122*'Tier 3 CO2 Tables'!H$9/10000</f>
        <v>795.94455071798029</v>
      </c>
      <c r="V122" s="46">
        <f>44.011*(U122/(12.011+1.008*'Tier 3 CO2 Tables'!B$6+16*'Tier 3 CO2 Tables'!C$6))</f>
        <v>2483.0741088976633</v>
      </c>
      <c r="W122" s="46">
        <f>I122*'T3 Methane'!D26</f>
        <v>5876100.7099985126</v>
      </c>
      <c r="X122" s="46" cm="1">
        <f t="array" ref="X122">_xlfn.IFS(E122='Euro Age Table'!C$5,'Euro Age Table'!G$5,E122='Euro Age Table'!C$6,'Euro Age Table'!G$6,E122='Euro Age Table'!C$7,'Euro Age Table'!G$7,E122='Euro Age Table'!C$8,'Euro Age Table'!G$8,E122='Euro Age Table'!C$9,'Euro Age Table'!G$9,E122='Euro Age Table'!C$10,'Euro Age Table'!G$10,E122='Euro Age Table'!C$11,'Euro Age Table'!G$11)</f>
        <v>13</v>
      </c>
      <c r="Y122" s="46">
        <f>X122*'Eilat Car Data'!F$16</f>
        <v>356235.51912568306</v>
      </c>
      <c r="Z122" s="46">
        <f>'T3 N2O PC-Diesel LPG'!B6</f>
        <v>9</v>
      </c>
      <c r="AA122" s="124">
        <f t="shared" si="6"/>
        <v>48077187.627260558</v>
      </c>
    </row>
    <row r="123" spans="1:27" ht="12.5">
      <c r="A123" s="49" t="s">
        <v>29</v>
      </c>
      <c r="B123" s="49" t="s">
        <v>22</v>
      </c>
      <c r="C123" s="49" t="s">
        <v>68</v>
      </c>
      <c r="D123" s="49" t="s">
        <v>74</v>
      </c>
      <c r="E123" s="50" t="s">
        <v>59</v>
      </c>
      <c r="F123" s="97">
        <v>0.25872913790939894</v>
      </c>
      <c r="G123" s="99">
        <f t="shared" si="7"/>
        <v>219.4023089471703</v>
      </c>
      <c r="H123" s="46"/>
      <c r="I123" s="46">
        <f>G123*'Eilat Car Data'!F$16</f>
        <v>6012222.7250129776</v>
      </c>
      <c r="J123" s="46">
        <f>I123*'Tier 1 Coefficients'!I$9</f>
        <v>480977818.00103819</v>
      </c>
      <c r="K123" s="46">
        <f t="shared" si="4"/>
        <v>480977.81800103822</v>
      </c>
      <c r="L123" s="46">
        <f>K123*'Tier 1 Coefficients'!D$4</f>
        <v>1524218.7052452902</v>
      </c>
      <c r="M123" s="46">
        <f>K123*'Tier 1 Coefficients'!C$20</f>
        <v>3083067.8133866549</v>
      </c>
      <c r="N123" s="46">
        <f>K123*'Tier 1 Coefficients'!C$44</f>
        <v>26934.757808058141</v>
      </c>
      <c r="O123" s="46">
        <f>I123*'Tier 2 FC'!D$29</f>
        <v>480977818.00103819</v>
      </c>
      <c r="P123" s="46">
        <f t="shared" si="5"/>
        <v>480977.81800103822</v>
      </c>
      <c r="Q123" s="46">
        <f>P123*'Tier 1 Coefficients'!D$4</f>
        <v>1524218.7052452902</v>
      </c>
      <c r="R123" s="46">
        <f>$I123*'T2 LPG'!C16</f>
        <v>24048.890900051912</v>
      </c>
      <c r="S123" s="121">
        <f>$I123*'T2 LPG'!D16</f>
        <v>2392864.6445551654</v>
      </c>
      <c r="T123" s="46">
        <f>44.011*(P123/(12.011+1.008*'Tier 3 CO2 Tables'!B$4+16*'Tier 3 CO2 Tables'!C$4))</f>
        <v>1524448.9184728439</v>
      </c>
      <c r="U123" s="46">
        <f>I123*'Tier 3 CO2 Tables'!H$9/10000</f>
        <v>895.82118602693356</v>
      </c>
      <c r="V123" s="46">
        <f>44.011*(U123/(12.011+1.008*'Tier 3 CO2 Tables'!B$6+16*'Tier 3 CO2 Tables'!C$6))</f>
        <v>2794.6549683881481</v>
      </c>
      <c r="W123" s="46">
        <f>I123*'T3 Methane'!D27</f>
        <v>45091.670437597328</v>
      </c>
      <c r="X123" s="46" cm="1">
        <f t="array" ref="X123">_xlfn.IFS(E123='Euro Age Table'!C$5,'Euro Age Table'!G$5,E123='Euro Age Table'!C$6,'Euro Age Table'!G$6,E123='Euro Age Table'!C$7,'Euro Age Table'!G$7,E123='Euro Age Table'!C$8,'Euro Age Table'!G$8,E123='Euro Age Table'!C$9,'Euro Age Table'!G$9,E123='Euro Age Table'!C$10,'Euro Age Table'!G$10,E123='Euro Age Table'!C$11,'Euro Age Table'!G$11)</f>
        <v>9</v>
      </c>
      <c r="Y123" s="46">
        <f>X123*'Eilat Car Data'!F$16</f>
        <v>246624.59016393442</v>
      </c>
      <c r="Z123" s="46">
        <f>'T3 N2O PC-Diesel LPG'!B6</f>
        <v>9</v>
      </c>
      <c r="AA123" s="124">
        <f t="shared" si="6"/>
        <v>54110004.525116801</v>
      </c>
    </row>
    <row r="124" spans="1:27" ht="12.5">
      <c r="A124" s="49" t="s">
        <v>29</v>
      </c>
      <c r="B124" s="49" t="s">
        <v>22</v>
      </c>
      <c r="C124" s="49" t="s">
        <v>68</v>
      </c>
      <c r="D124" s="51" t="s">
        <v>74</v>
      </c>
      <c r="E124" s="51" t="s">
        <v>60</v>
      </c>
      <c r="F124" s="97">
        <v>0.25708213075668213</v>
      </c>
      <c r="G124" s="99">
        <f t="shared" si="7"/>
        <v>218.00564688166645</v>
      </c>
      <c r="H124" s="46"/>
      <c r="I124" s="46">
        <f>G124*'Eilat Car Data'!F$16</f>
        <v>5973950.3684016</v>
      </c>
      <c r="J124" s="46">
        <f>I124*'Tier 1 Coefficients'!I$9</f>
        <v>477916029.47212803</v>
      </c>
      <c r="K124" s="46">
        <f t="shared" si="4"/>
        <v>477916.02947212802</v>
      </c>
      <c r="L124" s="46">
        <f>K124*'Tier 1 Coefficients'!D$4</f>
        <v>1514515.8973971738</v>
      </c>
      <c r="M124" s="46">
        <f>K124*'Tier 1 Coefficients'!C$20</f>
        <v>3063441.7489163405</v>
      </c>
      <c r="N124" s="46">
        <f>K124*'Tier 1 Coefficients'!C$44</f>
        <v>26763.29765043917</v>
      </c>
      <c r="O124" s="46">
        <f>I124*'Tier 2 FC'!D$29</f>
        <v>477916029.47212803</v>
      </c>
      <c r="P124" s="46">
        <f t="shared" si="5"/>
        <v>477916.02947212802</v>
      </c>
      <c r="Q124" s="46">
        <f>P124*'Tier 1 Coefficients'!D$4</f>
        <v>1514515.8973971738</v>
      </c>
      <c r="R124" s="46">
        <f>$I124*'T2 LPG'!C17</f>
        <v>23895.8014736064</v>
      </c>
      <c r="S124" s="121">
        <f>$I124*'T2 LPG'!D17</f>
        <v>2377632.2466238369</v>
      </c>
      <c r="T124" s="46">
        <f>44.011*(P124/(12.011+1.008*'Tier 3 CO2 Tables'!B$4+16*'Tier 3 CO2 Tables'!C$4))</f>
        <v>1514744.6451429673</v>
      </c>
      <c r="U124" s="46">
        <f>I124*'Tier 3 CO2 Tables'!H$10/10000</f>
        <v>764.66564715540483</v>
      </c>
      <c r="V124" s="46">
        <f>44.011*(U124/(12.011+1.008*'Tier 3 CO2 Tables'!B$6+16*'Tier 3 CO2 Tables'!C$6))</f>
        <v>2385.4946537448168</v>
      </c>
      <c r="W124" s="46">
        <f>I124*'T3 Methane'!D27</f>
        <v>44804.627763012002</v>
      </c>
      <c r="X124" s="46" cm="1">
        <f t="array" ref="X124">_xlfn.IFS(E124='Euro Age Table'!C$5,'Euro Age Table'!G$5,E124='Euro Age Table'!C$6,'Euro Age Table'!G$6,E124='Euro Age Table'!C$7,'Euro Age Table'!G$7,E124='Euro Age Table'!C$8,'Euro Age Table'!G$8,E124='Euro Age Table'!C$9,'Euro Age Table'!G$9,E124='Euro Age Table'!C$10,'Euro Age Table'!G$10,E124='Euro Age Table'!C$11,'Euro Age Table'!G$11)</f>
        <v>3</v>
      </c>
      <c r="Y124" s="46">
        <f>X124*'Eilat Car Data'!F$16</f>
        <v>82208.196721311484</v>
      </c>
      <c r="Z124" s="46">
        <f>'T3 N2O PC-Diesel LPG'!B7</f>
        <v>11</v>
      </c>
      <c r="AA124" s="124">
        <f t="shared" si="6"/>
        <v>65713454.052417599</v>
      </c>
    </row>
    <row r="125" spans="1:27" ht="12.5">
      <c r="A125" s="49" t="s">
        <v>29</v>
      </c>
      <c r="B125" s="52" t="s">
        <v>23</v>
      </c>
      <c r="C125" s="49" t="s">
        <v>68</v>
      </c>
      <c r="D125" s="49" t="s">
        <v>72</v>
      </c>
      <c r="E125" s="50" t="s">
        <v>58</v>
      </c>
      <c r="F125" s="97">
        <v>1.5685782406826454E-5</v>
      </c>
      <c r="G125" s="99">
        <f t="shared" si="7"/>
        <v>1.3301543480988833E-2</v>
      </c>
      <c r="H125" s="76" t="s">
        <v>167</v>
      </c>
      <c r="I125" s="46">
        <f>G125*'Eilat Car Data'!F$16</f>
        <v>364.49863439406943</v>
      </c>
      <c r="J125" s="46">
        <f>I125*'Tier 1 Coefficients'!I$5/0.75</f>
        <v>27944.89530354532</v>
      </c>
      <c r="K125" s="46">
        <f t="shared" si="4"/>
        <v>27.944895303545319</v>
      </c>
      <c r="L125" s="46">
        <f>K125*'Tier 1 Coefficients'!D$5</f>
        <v>84.505363397921045</v>
      </c>
      <c r="M125" s="46">
        <f>K125*'Tier 1 Coefficients'!C$19</f>
        <v>169.6255144925201</v>
      </c>
      <c r="N125" s="46">
        <f>K125*'Tier 1 Coefficients'!C$44*1.02</f>
        <v>1.5962124197385088</v>
      </c>
      <c r="O125" s="46">
        <f>I125*'Tier 2 FC'!D$29*1.28</f>
        <v>37324.660161952714</v>
      </c>
      <c r="P125" s="46">
        <f t="shared" si="5"/>
        <v>37.324660161952714</v>
      </c>
      <c r="Q125" s="46">
        <f>P125*'Tier 1 Coefficients'!D$5</f>
        <v>112.869772329745</v>
      </c>
      <c r="R125" s="46">
        <f>I125*'T2 LPG'!C15*1.02</f>
        <v>3.3460974637375571</v>
      </c>
      <c r="S125" s="121">
        <f>I125*'T2 LPG'!D6</f>
        <v>145.07045648883965</v>
      </c>
      <c r="T125" s="46">
        <f>44.011*(P125/(12.011+1.008*'Tier 3 CO2 Tables'!B$5+16*'Tier 3 CO2 Tables'!C$5))</f>
        <v>112.85195438285412</v>
      </c>
      <c r="U125" s="46">
        <f>I125*'Tier 3 CO2 Tables'!H$3/10000</f>
        <v>5.2852301987140062E-2</v>
      </c>
      <c r="V125" s="46">
        <f>44.011*(U125/(12.011+1.008*'Tier 3 CO2 Tables'!B$6+16*'Tier 3 CO2 Tables'!C$6))</f>
        <v>0.1648810618045273</v>
      </c>
      <c r="W125" s="46">
        <f>I125*'T3 Methane'!D$13</f>
        <v>29159.890751525556</v>
      </c>
      <c r="X125" s="46" cm="1">
        <f t="array" ref="X125">_xlfn.IFS(E125='Euro Age Table'!C$5,'Euro Age Table'!G$5,E125='Euro Age Table'!C$6,'Euro Age Table'!G$6,E125='Euro Age Table'!C$7,'Euro Age Table'!G$7,E125='Euro Age Table'!C$8,'Euro Age Table'!G$8,E125='Euro Age Table'!C$9,'Euro Age Table'!G$9,E125='Euro Age Table'!C$10,'Euro Age Table'!G$10,E125='Euro Age Table'!C$11,'Euro Age Table'!G$11)</f>
        <v>13</v>
      </c>
      <c r="Y125" s="46">
        <f>X125*'Eilat Car Data'!F$16</f>
        <v>356235.51912568306</v>
      </c>
      <c r="Z125" s="121">
        <f>'T3 N2O PC-Diesel LPG'!B13</f>
        <v>5</v>
      </c>
      <c r="AA125" s="124">
        <f t="shared" si="6"/>
        <v>1822.4931719703472</v>
      </c>
    </row>
    <row r="126" spans="1:27" ht="12.5">
      <c r="A126" s="49" t="s">
        <v>29</v>
      </c>
      <c r="B126" s="49" t="s">
        <v>23</v>
      </c>
      <c r="C126" s="49" t="s">
        <v>68</v>
      </c>
      <c r="D126" s="51" t="s">
        <v>72</v>
      </c>
      <c r="E126" s="51" t="s">
        <v>60</v>
      </c>
      <c r="F126" s="97">
        <v>0</v>
      </c>
      <c r="G126" s="99">
        <f t="shared" si="7"/>
        <v>0</v>
      </c>
      <c r="H126" s="76" t="s">
        <v>167</v>
      </c>
      <c r="I126" s="46">
        <f>G126*'Eilat Car Data'!F$16</f>
        <v>0</v>
      </c>
      <c r="J126" s="46">
        <f>I126*'Tier 1 Coefficients'!I$5/0.75</f>
        <v>0</v>
      </c>
      <c r="K126" s="46">
        <f t="shared" si="4"/>
        <v>0</v>
      </c>
      <c r="L126" s="46">
        <f>K126*'Tier 1 Coefficients'!D$5</f>
        <v>0</v>
      </c>
      <c r="M126" s="46">
        <f>K126*'Tier 1 Coefficients'!C$19</f>
        <v>0</v>
      </c>
      <c r="N126" s="46">
        <f>K126*'Tier 1 Coefficients'!C$44*1.02</f>
        <v>0</v>
      </c>
      <c r="O126" s="46">
        <f>I126*'Tier 2 FC'!D$29*1.28</f>
        <v>0</v>
      </c>
      <c r="P126" s="46">
        <f t="shared" si="5"/>
        <v>0</v>
      </c>
      <c r="Q126" s="46">
        <f>P126*'Tier 1 Coefficients'!D$5</f>
        <v>0</v>
      </c>
      <c r="R126" s="46">
        <f>I126*'T2 LPG'!C17*1.02</f>
        <v>0</v>
      </c>
      <c r="S126" s="121">
        <f>I126*'T2 LPG'!D8</f>
        <v>0</v>
      </c>
      <c r="T126" s="46">
        <f>44.011*(P126/(12.011+1.008*'Tier 3 CO2 Tables'!B$5+16*'Tier 3 CO2 Tables'!C$5))</f>
        <v>0</v>
      </c>
      <c r="U126" s="46">
        <f>I126*'Tier 3 CO2 Tables'!H$4/10000</f>
        <v>0</v>
      </c>
      <c r="V126" s="46">
        <f>44.011*(U126/(12.011+1.008*'Tier 3 CO2 Tables'!B$6+16*'Tier 3 CO2 Tables'!C$6))</f>
        <v>0</v>
      </c>
      <c r="W126" s="46">
        <f>I126*'T3 Methane'!D$13</f>
        <v>0</v>
      </c>
      <c r="X126" s="46" cm="1">
        <f t="array" ref="X126">_xlfn.IFS(E126='Euro Age Table'!C$5,'Euro Age Table'!G$5,E126='Euro Age Table'!C$6,'Euro Age Table'!G$6,E126='Euro Age Table'!C$7,'Euro Age Table'!G$7,E126='Euro Age Table'!C$8,'Euro Age Table'!G$8,E126='Euro Age Table'!C$9,'Euro Age Table'!G$9,E126='Euro Age Table'!C$10,'Euro Age Table'!G$10,E126='Euro Age Table'!C$11,'Euro Age Table'!G$11)</f>
        <v>3</v>
      </c>
      <c r="Y126" s="46">
        <f>X126*'Eilat Car Data'!F$16</f>
        <v>82208.196721311484</v>
      </c>
      <c r="Z126" s="121">
        <f>'T3 N2O PC-Diesel LPG'!B15</f>
        <v>2.1</v>
      </c>
      <c r="AA126" s="124">
        <f t="shared" si="6"/>
        <v>0</v>
      </c>
    </row>
    <row r="127" spans="1:27" ht="12.5">
      <c r="A127" s="49" t="s">
        <v>29</v>
      </c>
      <c r="B127" s="49" t="s">
        <v>23</v>
      </c>
      <c r="C127" s="49" t="s">
        <v>68</v>
      </c>
      <c r="D127" s="49" t="s">
        <v>73</v>
      </c>
      <c r="E127" s="50" t="s">
        <v>54</v>
      </c>
      <c r="F127" s="97">
        <v>5.4900238423892581E-5</v>
      </c>
      <c r="G127" s="99">
        <f t="shared" si="7"/>
        <v>4.6555402183460909E-2</v>
      </c>
      <c r="H127" s="76" t="s">
        <v>167</v>
      </c>
      <c r="I127" s="46">
        <f>G127*'Eilat Car Data'!F$16</f>
        <v>1275.7452203792427</v>
      </c>
      <c r="J127" s="46">
        <f>I127*'Tier 1 Coefficients'!I$5/0.75</f>
        <v>97807.133562408606</v>
      </c>
      <c r="K127" s="46">
        <f t="shared" si="4"/>
        <v>97.807133562408609</v>
      </c>
      <c r="L127" s="46">
        <f>K127*'Tier 1 Coefficients'!D$5</f>
        <v>295.76877189272363</v>
      </c>
      <c r="M127" s="46">
        <f>K127*'Tier 1 Coefficients'!C$19</f>
        <v>593.68930072382034</v>
      </c>
      <c r="N127" s="46">
        <f>K127*'Tier 1 Coefficients'!C$44*1.02</f>
        <v>5.5867434690847801</v>
      </c>
      <c r="O127" s="46">
        <f>I127*'Tier 2 FC'!D$28*1.28</f>
        <v>145332.89550560334</v>
      </c>
      <c r="P127" s="46">
        <f t="shared" si="5"/>
        <v>145.33289550560335</v>
      </c>
      <c r="Q127" s="46">
        <f>P127*'Tier 1 Coefficients'!D$5</f>
        <v>439.48667600894453</v>
      </c>
      <c r="R127" s="46">
        <f>I127*'T2 LPG'!C11*1.02</f>
        <v>0</v>
      </c>
      <c r="S127" s="121">
        <f>I127*'T2 LPG'!D11</f>
        <v>845.81908111143798</v>
      </c>
      <c r="T127" s="46">
        <f>44.011*(P127/(12.011+1.008*'Tier 3 CO2 Tables'!B$5+16*'Tier 3 CO2 Tables'!C$5))</f>
        <v>439.41729737823812</v>
      </c>
      <c r="U127" s="46">
        <f>I127*'Tier 3 CO2 Tables'!H$3/10000</f>
        <v>0.18498305695499018</v>
      </c>
      <c r="V127" s="46">
        <f>44.011*(U127/(12.011+1.008*'Tier 3 CO2 Tables'!B$6+16*'Tier 3 CO2 Tables'!C$6))</f>
        <v>0.57708371631584543</v>
      </c>
      <c r="W127" s="46">
        <f>I127*'T3 Methane'!D$13</f>
        <v>102059.61763033942</v>
      </c>
      <c r="X127" s="46" cm="1">
        <f t="array" ref="X127">_xlfn.IFS(E127='Euro Age Table'!C$5,'Euro Age Table'!G$5,E127='Euro Age Table'!C$6,'Euro Age Table'!G$6,E127='Euro Age Table'!C$7,'Euro Age Table'!G$7,E127='Euro Age Table'!C$8,'Euro Age Table'!G$8,E127='Euro Age Table'!C$9,'Euro Age Table'!G$9,E127='Euro Age Table'!C$10,'Euro Age Table'!G$10,E127='Euro Age Table'!C$11,'Euro Age Table'!G$11)</f>
        <v>27</v>
      </c>
      <c r="Y127" s="46">
        <f>X127*'Eilat Car Data'!F$16</f>
        <v>739873.7704918033</v>
      </c>
      <c r="Z127" s="46">
        <f>'T3 N2O PC-Diesel LPG'!B9</f>
        <v>0</v>
      </c>
      <c r="AA127" s="124">
        <f t="shared" si="6"/>
        <v>0</v>
      </c>
    </row>
    <row r="128" spans="1:27" ht="12.5">
      <c r="A128" s="49" t="s">
        <v>29</v>
      </c>
      <c r="B128" s="49" t="s">
        <v>23</v>
      </c>
      <c r="C128" s="49" t="s">
        <v>68</v>
      </c>
      <c r="D128" s="49" t="s">
        <v>73</v>
      </c>
      <c r="E128" s="50" t="s">
        <v>55</v>
      </c>
      <c r="F128" s="97">
        <v>2.0391517128874389E-4</v>
      </c>
      <c r="G128" s="99">
        <f t="shared" si="7"/>
        <v>0.17292006525285483</v>
      </c>
      <c r="H128" s="76" t="s">
        <v>167</v>
      </c>
      <c r="I128" s="46">
        <f>G128*'Eilat Car Data'!F$16</f>
        <v>4738.4822471229027</v>
      </c>
      <c r="J128" s="46">
        <f>I128*'Tier 1 Coefficients'!I$5/0.75</f>
        <v>363283.6389460892</v>
      </c>
      <c r="K128" s="46">
        <f t="shared" si="4"/>
        <v>363.28363894608918</v>
      </c>
      <c r="L128" s="46">
        <f>K128*'Tier 1 Coefficients'!D$5</f>
        <v>1098.5697241729738</v>
      </c>
      <c r="M128" s="46">
        <f>K128*'Tier 1 Coefficients'!C$19</f>
        <v>2205.1316884027615</v>
      </c>
      <c r="N128" s="46">
        <f>K128*'Tier 1 Coefficients'!C$44*1.02</f>
        <v>20.750761456600614</v>
      </c>
      <c r="O128" s="46">
        <f>I128*'Tier 2 FC'!D$29*1.28</f>
        <v>485220.5821053852</v>
      </c>
      <c r="P128" s="46">
        <f t="shared" si="5"/>
        <v>485.22058210538518</v>
      </c>
      <c r="Q128" s="46">
        <f>P128*'Tier 1 Coefficients'!D$5</f>
        <v>1467.3070402866847</v>
      </c>
      <c r="R128" s="46">
        <f>I128*'T2 LPG'!C12*1.02</f>
        <v>14.499755676196083</v>
      </c>
      <c r="S128" s="121">
        <f>I128*'T2 LPG'!D12</f>
        <v>2824.13541928525</v>
      </c>
      <c r="T128" s="46">
        <f>44.011*(P128/(12.011+1.008*'Tier 3 CO2 Tables'!B$5+16*'Tier 3 CO2 Tables'!C$5))</f>
        <v>1467.0754069771031</v>
      </c>
      <c r="U128" s="46">
        <f>I128*'Tier 3 CO2 Tables'!H$3/10000</f>
        <v>0.68707992583282085</v>
      </c>
      <c r="V128" s="46">
        <f>44.011*(U128/(12.011+1.008*'Tier 3 CO2 Tables'!B$6+16*'Tier 3 CO2 Tables'!C$6))</f>
        <v>2.1434538034588551</v>
      </c>
      <c r="W128" s="46">
        <f>I128*'T3 Methane'!D$13</f>
        <v>379078.5797698322</v>
      </c>
      <c r="X128" s="46" cm="1">
        <f t="array" ref="X128">_xlfn.IFS(E128='Euro Age Table'!C$5,'Euro Age Table'!G$5,E128='Euro Age Table'!C$6,'Euro Age Table'!G$6,E128='Euro Age Table'!C$7,'Euro Age Table'!G$7,E128='Euro Age Table'!C$8,'Euro Age Table'!G$8,E128='Euro Age Table'!C$9,'Euro Age Table'!G$9,E128='Euro Age Table'!C$10,'Euro Age Table'!G$10,E128='Euro Age Table'!C$11,'Euro Age Table'!G$11)</f>
        <v>23</v>
      </c>
      <c r="Y128" s="46">
        <f>X128*'Eilat Car Data'!F$16</f>
        <v>630262.84153005469</v>
      </c>
      <c r="Z128" s="46">
        <f>'T3 N2O PC-Diesel LPG'!B10</f>
        <v>21</v>
      </c>
      <c r="AA128" s="124">
        <f t="shared" si="6"/>
        <v>99508.127189580962</v>
      </c>
    </row>
    <row r="129" spans="1:27" ht="12.5">
      <c r="A129" s="49" t="s">
        <v>29</v>
      </c>
      <c r="B129" s="49" t="s">
        <v>23</v>
      </c>
      <c r="C129" s="49" t="s">
        <v>68</v>
      </c>
      <c r="D129" s="49" t="s">
        <v>73</v>
      </c>
      <c r="E129" s="50" t="s">
        <v>56</v>
      </c>
      <c r="F129" s="97">
        <v>3.921445601706613E-5</v>
      </c>
      <c r="G129" s="99">
        <f t="shared" si="7"/>
        <v>3.3253858702472078E-2</v>
      </c>
      <c r="H129" s="76" t="s">
        <v>167</v>
      </c>
      <c r="I129" s="46">
        <f>G129*'Eilat Car Data'!F$16</f>
        <v>911.2465859851734</v>
      </c>
      <c r="J129" s="46">
        <f>I129*'Tier 1 Coefficients'!I$5/0.75</f>
        <v>69862.23825886329</v>
      </c>
      <c r="K129" s="46">
        <f t="shared" si="4"/>
        <v>69.862238258863286</v>
      </c>
      <c r="L129" s="46">
        <f>K129*'Tier 1 Coefficients'!D$5</f>
        <v>211.26340849480258</v>
      </c>
      <c r="M129" s="46">
        <f>K129*'Tier 1 Coefficients'!C$19</f>
        <v>424.06378623130018</v>
      </c>
      <c r="N129" s="46">
        <f>K129*'Tier 1 Coefficients'!C$44*1.02</f>
        <v>3.9905310493462709</v>
      </c>
      <c r="O129" s="46">
        <f>I129*'Tier 2 FC'!D$29*1.28</f>
        <v>93311.650404881759</v>
      </c>
      <c r="P129" s="46">
        <f t="shared" si="5"/>
        <v>93.31165040488176</v>
      </c>
      <c r="Q129" s="46">
        <f>P129*'Tier 1 Coefficients'!D$5</f>
        <v>282.17443082436245</v>
      </c>
      <c r="R129" s="46">
        <f>I129*'T2 LPG'!C13*1.02</f>
        <v>5.576829106229261</v>
      </c>
      <c r="S129" s="121">
        <f>I129*'T2 LPG'!D13</f>
        <v>482.96069057214191</v>
      </c>
      <c r="T129" s="46">
        <f>44.011*(P129/(12.011+1.008*'Tier 3 CO2 Tables'!B$5+16*'Tier 3 CO2 Tables'!C$5))</f>
        <v>282.12988595713523</v>
      </c>
      <c r="U129" s="46">
        <f>I129*'Tier 3 CO2 Tables'!H$3/10000</f>
        <v>0.13213075496785012</v>
      </c>
      <c r="V129" s="46">
        <f>44.011*(U129/(12.011+1.008*'Tier 3 CO2 Tables'!B$6+16*'Tier 3 CO2 Tables'!C$6))</f>
        <v>0.41220265451131816</v>
      </c>
      <c r="W129" s="46">
        <f>I129*'T3 Methane'!D$13</f>
        <v>72899.726878813875</v>
      </c>
      <c r="X129" s="46" cm="1">
        <f t="array" ref="X129">_xlfn.IFS(E129='Euro Age Table'!C$5,'Euro Age Table'!G$5,E129='Euro Age Table'!C$6,'Euro Age Table'!G$6,E129='Euro Age Table'!C$7,'Euro Age Table'!G$7,E129='Euro Age Table'!C$8,'Euro Age Table'!G$8,E129='Euro Age Table'!C$9,'Euro Age Table'!G$9,E129='Euro Age Table'!C$10,'Euro Age Table'!G$10,E129='Euro Age Table'!C$11,'Euro Age Table'!G$11)</f>
        <v>18</v>
      </c>
      <c r="Y129" s="46">
        <f>X129*'Eilat Car Data'!F$16</f>
        <v>493249.18032786885</v>
      </c>
      <c r="Z129" s="46">
        <f>'T3 N2O PC-Diesel LPG'!B11</f>
        <v>13</v>
      </c>
      <c r="AA129" s="124">
        <f t="shared" si="6"/>
        <v>11846.205617807254</v>
      </c>
    </row>
    <row r="130" spans="1:27" ht="12.5">
      <c r="A130" s="49" t="s">
        <v>29</v>
      </c>
      <c r="B130" s="49" t="s">
        <v>23</v>
      </c>
      <c r="C130" s="49" t="s">
        <v>68</v>
      </c>
      <c r="D130" s="49" t="s">
        <v>74</v>
      </c>
      <c r="E130" s="50" t="s">
        <v>57</v>
      </c>
      <c r="F130" s="97">
        <v>2.8234408332287612E-4</v>
      </c>
      <c r="G130" s="99">
        <f t="shared" si="7"/>
        <v>0.23942778265779896</v>
      </c>
      <c r="H130" s="76" t="s">
        <v>167</v>
      </c>
      <c r="I130" s="46">
        <f>G130*'Eilat Car Data'!F$16</f>
        <v>6560.9754190932481</v>
      </c>
      <c r="J130" s="46">
        <f>I130*'Tier 1 Coefficients'!I$5/0.75</f>
        <v>503008.11546381569</v>
      </c>
      <c r="K130" s="46">
        <f t="shared" si="4"/>
        <v>503.00811546381567</v>
      </c>
      <c r="L130" s="46">
        <f>K130*'Tier 1 Coefficients'!D$5</f>
        <v>1521.0965411625787</v>
      </c>
      <c r="M130" s="46">
        <f>K130*'Tier 1 Coefficients'!C$19</f>
        <v>3053.2592608653613</v>
      </c>
      <c r="N130" s="46">
        <f>K130*'Tier 1 Coefficients'!C$44*1.02</f>
        <v>28.73182355529315</v>
      </c>
      <c r="O130" s="46">
        <f>I130*'Tier 2 FC'!D$29*1.28</f>
        <v>671843.88291514863</v>
      </c>
      <c r="P130" s="46">
        <f t="shared" si="5"/>
        <v>671.84388291514858</v>
      </c>
      <c r="Q130" s="46">
        <f>P130*'Tier 1 Coefficients'!D$5</f>
        <v>2031.6559019354092</v>
      </c>
      <c r="R130" s="46">
        <f>I130*'T2 LPG'!C14*1.02</f>
        <v>60.229754347276014</v>
      </c>
      <c r="S130" s="121">
        <f>I130*'T2 LPG'!D14</f>
        <v>3044.2925944592671</v>
      </c>
      <c r="T130" s="46">
        <f>44.011*(P130/(12.011+1.008*'Tier 3 CO2 Tables'!B$5+16*'Tier 3 CO2 Tables'!C$5))</f>
        <v>2031.3351788913733</v>
      </c>
      <c r="U130" s="46">
        <f>I130*'Tier 3 CO2 Tables'!H$3/10000</f>
        <v>0.95134143576852093</v>
      </c>
      <c r="V130" s="46">
        <f>44.011*(U130/(12.011+1.008*'Tier 3 CO2 Tables'!B$6+16*'Tier 3 CO2 Tables'!C$6))</f>
        <v>2.9678591124814906</v>
      </c>
      <c r="W130" s="46">
        <f>I130*'T3 Methane'!D$13</f>
        <v>524878.03352745983</v>
      </c>
      <c r="X130" s="46" cm="1">
        <f t="array" ref="X130">_xlfn.IFS(E130='Euro Age Table'!C$5,'Euro Age Table'!G$5,E130='Euro Age Table'!C$6,'Euro Age Table'!G$6,E130='Euro Age Table'!C$7,'Euro Age Table'!G$7,E130='Euro Age Table'!C$8,'Euro Age Table'!G$8,E130='Euro Age Table'!C$9,'Euro Age Table'!G$9,E130='Euro Age Table'!C$10,'Euro Age Table'!G$10,E130='Euro Age Table'!C$11,'Euro Age Table'!G$11)</f>
        <v>16</v>
      </c>
      <c r="Y130" s="46">
        <f>X130*'Eilat Car Data'!F$16</f>
        <v>438443.71584699454</v>
      </c>
      <c r="Z130" s="46">
        <f>'T3 N2O PC-Diesel LPG'!B12</f>
        <v>5</v>
      </c>
      <c r="AA130" s="124">
        <f t="shared" si="6"/>
        <v>32804.87709546624</v>
      </c>
    </row>
    <row r="131" spans="1:27" ht="12.5">
      <c r="A131" s="49" t="s">
        <v>29</v>
      </c>
      <c r="B131" s="49" t="s">
        <v>23</v>
      </c>
      <c r="C131" s="49" t="s">
        <v>68</v>
      </c>
      <c r="D131" s="49" t="s">
        <v>74</v>
      </c>
      <c r="E131" s="50" t="s">
        <v>58</v>
      </c>
      <c r="F131" s="97">
        <v>7.5291755552766974E-4</v>
      </c>
      <c r="G131" s="99">
        <f t="shared" si="7"/>
        <v>0.63847408708746389</v>
      </c>
      <c r="H131" s="76" t="s">
        <v>167</v>
      </c>
      <c r="I131" s="46">
        <f>G131*'Eilat Car Data'!F$16</f>
        <v>17495.934450915331</v>
      </c>
      <c r="J131" s="46">
        <f>I131*'Tier 1 Coefficients'!I$5/0.75</f>
        <v>1341354.9745701754</v>
      </c>
      <c r="K131" s="46">
        <f t="shared" si="4"/>
        <v>1341.3549745701755</v>
      </c>
      <c r="L131" s="46">
        <f>K131*'Tier 1 Coefficients'!D$5</f>
        <v>4056.2574431002108</v>
      </c>
      <c r="M131" s="46">
        <f>K131*'Tier 1 Coefficients'!C$19</f>
        <v>8142.0246956409655</v>
      </c>
      <c r="N131" s="46">
        <f>K131*'Tier 1 Coefficients'!C$44*1.02</f>
        <v>76.61819614744843</v>
      </c>
      <c r="O131" s="46">
        <f>I131*'Tier 2 FC'!D$29*1.28</f>
        <v>1791583.6877737299</v>
      </c>
      <c r="P131" s="46">
        <f t="shared" si="5"/>
        <v>1791.5836877737299</v>
      </c>
      <c r="Q131" s="46">
        <f>P131*'Tier 1 Coefficients'!D$5</f>
        <v>5417.7490718277595</v>
      </c>
      <c r="R131" s="46">
        <f>I131*'T2 LPG'!C15*1.02</f>
        <v>160.61267825940274</v>
      </c>
      <c r="S131" s="121">
        <f>I131*'T2 LPG'!D15</f>
        <v>6963.381911464302</v>
      </c>
      <c r="T131" s="46">
        <f>44.011*(P131/(12.011+1.008*'Tier 3 CO2 Tables'!B$5+16*'Tier 3 CO2 Tables'!C$5))</f>
        <v>5416.893810376997</v>
      </c>
      <c r="U131" s="46">
        <f>I131*'Tier 3 CO2 Tables'!H$3/10000</f>
        <v>2.5369104953827226</v>
      </c>
      <c r="V131" s="46">
        <f>44.011*(U131/(12.011+1.008*'Tier 3 CO2 Tables'!B$6+16*'Tier 3 CO2 Tables'!C$6))</f>
        <v>7.9142909666173091</v>
      </c>
      <c r="W131" s="46">
        <f>I131*'T3 Methane'!D$13</f>
        <v>1399674.7560732265</v>
      </c>
      <c r="X131" s="46" cm="1">
        <f t="array" ref="X131">_xlfn.IFS(E131='Euro Age Table'!C$5,'Euro Age Table'!G$5,E131='Euro Age Table'!C$6,'Euro Age Table'!G$6,E131='Euro Age Table'!C$7,'Euro Age Table'!G$7,E131='Euro Age Table'!C$8,'Euro Age Table'!G$8,E131='Euro Age Table'!C$9,'Euro Age Table'!G$9,E131='Euro Age Table'!C$10,'Euro Age Table'!G$10,E131='Euro Age Table'!C$11,'Euro Age Table'!G$11)</f>
        <v>13</v>
      </c>
      <c r="Y131" s="46">
        <f>X131*'Eilat Car Data'!F$16</f>
        <v>356235.51912568306</v>
      </c>
      <c r="Z131" s="46">
        <f>'T3 N2O PC-Diesel LPG'!B13</f>
        <v>5</v>
      </c>
      <c r="AA131" s="124">
        <f t="shared" si="6"/>
        <v>87479.672254576653</v>
      </c>
    </row>
    <row r="132" spans="1:27" ht="12.5">
      <c r="A132" s="49" t="s">
        <v>29</v>
      </c>
      <c r="B132" s="49" t="s">
        <v>23</v>
      </c>
      <c r="C132" s="49" t="s">
        <v>68</v>
      </c>
      <c r="D132" s="49" t="s">
        <v>74</v>
      </c>
      <c r="E132" s="50" t="s">
        <v>59</v>
      </c>
      <c r="F132" s="97">
        <v>1.3646630693939013E-3</v>
      </c>
      <c r="G132" s="99">
        <f t="shared" si="7"/>
        <v>1.1572342828460283</v>
      </c>
      <c r="H132" s="76" t="s">
        <v>167</v>
      </c>
      <c r="I132" s="46">
        <f>G132*'Eilat Car Data'!F$16</f>
        <v>31711.381192284032</v>
      </c>
      <c r="J132" s="46">
        <f>I132*'Tier 1 Coefficients'!I$5/0.75</f>
        <v>2431205.8914084425</v>
      </c>
      <c r="K132" s="46">
        <f t="shared" ref="K132:K195" si="8">J132/1000</f>
        <v>2431.2058914084423</v>
      </c>
      <c r="L132" s="46">
        <f>K132*'Tier 1 Coefficients'!D$5</f>
        <v>7351.9666156191297</v>
      </c>
      <c r="M132" s="46">
        <f>K132*'Tier 1 Coefficients'!C$19</f>
        <v>14757.419760849245</v>
      </c>
      <c r="N132" s="46">
        <f>K132*'Tier 1 Coefficients'!C$44*1.02</f>
        <v>138.87048051725023</v>
      </c>
      <c r="O132" s="46">
        <f>I132*'Tier 2 FC'!D$29*1.28</f>
        <v>3247245.4340898846</v>
      </c>
      <c r="P132" s="46">
        <f t="shared" ref="P132:P195" si="9">O132/1000</f>
        <v>3247.2454340898848</v>
      </c>
      <c r="Q132" s="46">
        <f>P132*'Tier 1 Coefficients'!D$5</f>
        <v>9819.6701926878122</v>
      </c>
      <c r="R132" s="46">
        <f>I132*'T2 LPG'!C16*1.02</f>
        <v>129.38243526451885</v>
      </c>
      <c r="S132" s="121">
        <f>I132*'T2 LPG'!D16</f>
        <v>12621.129714529046</v>
      </c>
      <c r="T132" s="46">
        <f>44.011*(P132/(12.011+1.008*'Tier 3 CO2 Tables'!B$5+16*'Tier 3 CO2 Tables'!C$5))</f>
        <v>9818.1200313083045</v>
      </c>
      <c r="U132" s="46">
        <f>I132*'Tier 3 CO2 Tables'!H$3/10000</f>
        <v>4.5981502728811847</v>
      </c>
      <c r="V132" s="46">
        <f>44.011*(U132/(12.011+1.008*'Tier 3 CO2 Tables'!B$6+16*'Tier 3 CO2 Tables'!C$6))</f>
        <v>14.344652376993873</v>
      </c>
      <c r="W132" s="46">
        <f>I132*'T3 Methane'!D$13</f>
        <v>2536910.4953827225</v>
      </c>
      <c r="X132" s="46" cm="1">
        <f t="array" ref="X132">_xlfn.IFS(E132='Euro Age Table'!C$5,'Euro Age Table'!G$5,E132='Euro Age Table'!C$6,'Euro Age Table'!G$6,E132='Euro Age Table'!C$7,'Euro Age Table'!G$7,E132='Euro Age Table'!C$8,'Euro Age Table'!G$8,E132='Euro Age Table'!C$9,'Euro Age Table'!G$9,E132='Euro Age Table'!C$10,'Euro Age Table'!G$10,E132='Euro Age Table'!C$11,'Euro Age Table'!G$11)</f>
        <v>9</v>
      </c>
      <c r="Y132" s="46">
        <f>X132*'Eilat Car Data'!F$16</f>
        <v>246624.59016393442</v>
      </c>
      <c r="Z132" s="46">
        <f>'T3 N2O PC-Diesel LPG'!B14</f>
        <v>2.1</v>
      </c>
      <c r="AA132" s="124">
        <f t="shared" ref="AA132:AA195" si="10">Z132*I132</f>
        <v>66593.900503796467</v>
      </c>
    </row>
    <row r="133" spans="1:27" ht="12.5">
      <c r="A133" s="49" t="s">
        <v>29</v>
      </c>
      <c r="B133" s="49" t="s">
        <v>23</v>
      </c>
      <c r="C133" s="49" t="s">
        <v>68</v>
      </c>
      <c r="D133" s="49" t="s">
        <v>74</v>
      </c>
      <c r="E133" s="49" t="s">
        <v>60</v>
      </c>
      <c r="F133" s="79">
        <v>7.842891203413227E-6</v>
      </c>
      <c r="G133" s="104">
        <f t="shared" si="7"/>
        <v>6.6507717404944164E-3</v>
      </c>
      <c r="H133" s="76" t="s">
        <v>167</v>
      </c>
      <c r="I133" s="46">
        <f>G133*'Eilat Car Data'!F$16</f>
        <v>182.24931719703471</v>
      </c>
      <c r="J133" s="46">
        <f>I133*'Tier 1 Coefficients'!I$5/0.75</f>
        <v>13972.44765177266</v>
      </c>
      <c r="K133" s="46">
        <f t="shared" si="8"/>
        <v>13.97244765177266</v>
      </c>
      <c r="L133" s="46">
        <f>K133*'Tier 1 Coefficients'!D$5</f>
        <v>42.252681698960522</v>
      </c>
      <c r="M133" s="46">
        <f>K133*'Tier 1 Coefficients'!C$19</f>
        <v>84.812757246260048</v>
      </c>
      <c r="N133" s="46">
        <f>K133*'Tier 1 Coefficients'!C$44*1.02</f>
        <v>0.7981062098692544</v>
      </c>
      <c r="O133" s="46">
        <f>I133*'Tier 2 FC'!D$29*1.28</f>
        <v>18662.330080976357</v>
      </c>
      <c r="P133" s="46">
        <f t="shared" si="9"/>
        <v>18.662330080976357</v>
      </c>
      <c r="Q133" s="46">
        <f>P133*'Tier 1 Coefficients'!D$5</f>
        <v>56.434886164872502</v>
      </c>
      <c r="R133" s="46">
        <f>I133*'T2 LPG'!C17*1.02</f>
        <v>0.74357721416390166</v>
      </c>
      <c r="S133" s="121">
        <f>I133*'T2 LPG'!D17</f>
        <v>72.535228244419827</v>
      </c>
      <c r="T133" s="46">
        <f>44.011*(P133/(12.011+1.008*'Tier 3 CO2 Tables'!B$5+16*'Tier 3 CO2 Tables'!C$5))</f>
        <v>56.425977191427059</v>
      </c>
      <c r="U133" s="46">
        <f>I133*'Tier 3 CO2 Tables'!H$4/10000</f>
        <v>2.3327912601220444E-2</v>
      </c>
      <c r="V133" s="46">
        <f>44.011*(U133/(12.011+1.008*'Tier 3 CO2 Tables'!B$6+16*'Tier 3 CO2 Tables'!C$6))</f>
        <v>7.277508934820516E-2</v>
      </c>
      <c r="W133" s="46">
        <f>I133*'T3 Methane'!D$13</f>
        <v>14579.945375762778</v>
      </c>
      <c r="X133" s="46" cm="1">
        <f t="array" ref="X133">_xlfn.IFS(E133='Euro Age Table'!C$5,'Euro Age Table'!G$5,E133='Euro Age Table'!C$6,'Euro Age Table'!G$6,E133='Euro Age Table'!C$7,'Euro Age Table'!G$7,E133='Euro Age Table'!C$8,'Euro Age Table'!G$8,E133='Euro Age Table'!C$9,'Euro Age Table'!G$9,E133='Euro Age Table'!C$10,'Euro Age Table'!G$10,E133='Euro Age Table'!C$11,'Euro Age Table'!G$11)</f>
        <v>3</v>
      </c>
      <c r="Y133" s="46">
        <f>X133*'Eilat Car Data'!F$16</f>
        <v>82208.196721311484</v>
      </c>
      <c r="Z133" s="46">
        <f>'T3 N2O PC-Diesel LPG'!B15</f>
        <v>2.1</v>
      </c>
      <c r="AA133" s="124">
        <f t="shared" si="10"/>
        <v>382.7235661137729</v>
      </c>
    </row>
    <row r="134" spans="1:27" ht="12.5">
      <c r="A134" s="89" t="s">
        <v>7</v>
      </c>
      <c r="B134" s="53"/>
      <c r="C134" s="53"/>
      <c r="D134" s="53"/>
      <c r="E134" s="53"/>
      <c r="F134" s="96"/>
      <c r="G134" s="95">
        <v>29</v>
      </c>
      <c r="H134" s="46">
        <f>SUM(G146:G165)</f>
        <v>28.939434213024491</v>
      </c>
      <c r="I134" s="46"/>
      <c r="J134" s="46"/>
      <c r="K134" s="46">
        <f t="shared" si="8"/>
        <v>0</v>
      </c>
      <c r="L134" s="46"/>
      <c r="M134" s="46"/>
      <c r="N134" s="46"/>
      <c r="O134" s="46"/>
      <c r="P134" s="46">
        <f t="shared" si="9"/>
        <v>0</v>
      </c>
      <c r="Q134" s="46"/>
      <c r="R134" s="46"/>
      <c r="S134" s="46"/>
      <c r="T134" s="46"/>
      <c r="U134" s="46"/>
      <c r="V134" s="46">
        <f>44.011*(U134/(12.011+1.008*'Tier 3 CO2 Tables'!B$6+16*'Tier 3 CO2 Tables'!C$6))</f>
        <v>0</v>
      </c>
      <c r="W134" s="46"/>
      <c r="X134" s="46" t="e" cm="1">
        <f t="array" ref="X134">_xlfn.IFS(E134='Euro Age Table'!C$5,'Euro Age Table'!G$5,E134='Euro Age Table'!C$6,'Euro Age Table'!G$6,E134='Euro Age Table'!C$7,'Euro Age Table'!G$7,E134='Euro Age Table'!C$8,'Euro Age Table'!G$8,E134='Euro Age Table'!C$9,'Euro Age Table'!G$9,E134='Euro Age Table'!C$10,'Euro Age Table'!G$10,E134='Euro Age Table'!C$11,'Euro Age Table'!G$11)</f>
        <v>#N/A</v>
      </c>
      <c r="Y134" s="46"/>
      <c r="Z134" s="46"/>
      <c r="AA134" s="124">
        <f t="shared" si="10"/>
        <v>0</v>
      </c>
    </row>
    <row r="135" spans="1:27" ht="12.5">
      <c r="A135" s="49" t="s">
        <v>7</v>
      </c>
      <c r="B135" s="49" t="s">
        <v>20</v>
      </c>
      <c r="C135" s="49" t="s">
        <v>52</v>
      </c>
      <c r="D135" s="49" t="s">
        <v>61</v>
      </c>
      <c r="E135" s="50" t="s">
        <v>55</v>
      </c>
      <c r="F135" s="80">
        <v>0</v>
      </c>
      <c r="G135" s="105">
        <f t="shared" ref="G135:G165" si="11">F135*$G$134</f>
        <v>0</v>
      </c>
      <c r="H135" s="46"/>
      <c r="I135" s="46">
        <f>G135*'Eilat Car Data'!F$7</f>
        <v>0</v>
      </c>
      <c r="J135" s="46">
        <f>I135*'Tier 1 Coefficients'!I$8</f>
        <v>0</v>
      </c>
      <c r="K135" s="46">
        <f t="shared" si="8"/>
        <v>0</v>
      </c>
      <c r="L135" s="46">
        <f>K135*'Tier 1 Coefficients'!D$3</f>
        <v>0</v>
      </c>
      <c r="M135" s="46">
        <f>K135*'Tier 1 Coefficients'!C$18</f>
        <v>0</v>
      </c>
      <c r="N135" s="46">
        <f>K135*'Tier 1 Coefficients'!C$43</f>
        <v>0</v>
      </c>
      <c r="O135" s="46">
        <f>I135*'Tier 2 FC'!D$27</f>
        <v>0</v>
      </c>
      <c r="P135" s="46">
        <f t="shared" si="9"/>
        <v>0</v>
      </c>
      <c r="Q135" s="46">
        <f>P135*'Tier 1 Coefficients'!D$3</f>
        <v>0</v>
      </c>
      <c r="R135" s="46">
        <f>$I135*'T2 LPG'!C3</f>
        <v>0</v>
      </c>
      <c r="S135" s="121">
        <f>$I135*'T2 LPG'!D3</f>
        <v>0</v>
      </c>
      <c r="T135" s="46">
        <f>44.011*(P135/(12.011+1.008*'Tier 3 CO2 Tables'!B$3+16*'Tier 3 CO2 Tables'!C$3))</f>
        <v>0</v>
      </c>
      <c r="U135" s="46">
        <f>I135*'Tier 3 CO2 Tables'!H$7/10000</f>
        <v>0</v>
      </c>
      <c r="V135" s="46">
        <f>44.011*(U135/(12.011+1.008*'Tier 3 CO2 Tables'!B$6+16*'Tier 3 CO2 Tables'!C$6))</f>
        <v>0</v>
      </c>
      <c r="W135" s="46">
        <f>I135*'T3 Methane'!D18</f>
        <v>0</v>
      </c>
      <c r="X135" s="46" cm="1">
        <f t="array" ref="X135">_xlfn.IFS(E135='Euro Age Table'!C$5,'Euro Age Table'!G$5,E135='Euro Age Table'!C$6,'Euro Age Table'!G$6,E135='Euro Age Table'!C$7,'Euro Age Table'!G$7,E135='Euro Age Table'!C$8,'Euro Age Table'!G$8,E135='Euro Age Table'!C$9,'Euro Age Table'!G$9,E135='Euro Age Table'!C$10,'Euro Age Table'!G$10,E135='Euro Age Table'!C$11,'Euro Age Table'!G$11)</f>
        <v>23</v>
      </c>
      <c r="Y135" s="46">
        <f>X135*'Eilat Car Data'!F$7</f>
        <v>1136200</v>
      </c>
      <c r="Z135" s="121">
        <f>('T3 N2O LCV-Petrol'!D3*Y135+'T3 N2O LCV-Petrol'!E3)*'T3 N2O LCV-Petrol'!C3</f>
        <v>131.859859</v>
      </c>
      <c r="AA135" s="124">
        <f t="shared" si="10"/>
        <v>0</v>
      </c>
    </row>
    <row r="136" spans="1:27" ht="12.5">
      <c r="A136" s="49" t="s">
        <v>7</v>
      </c>
      <c r="B136" s="49" t="s">
        <v>20</v>
      </c>
      <c r="C136" s="49" t="s">
        <v>52</v>
      </c>
      <c r="D136" s="49" t="s">
        <v>61</v>
      </c>
      <c r="E136" s="51" t="s">
        <v>60</v>
      </c>
      <c r="F136" s="97">
        <v>0</v>
      </c>
      <c r="G136" s="101">
        <f t="shared" si="11"/>
        <v>0</v>
      </c>
      <c r="H136" s="46"/>
      <c r="I136" s="46">
        <f>G136*'Eilat Car Data'!F$7</f>
        <v>0</v>
      </c>
      <c r="J136" s="46">
        <f>I136*'Tier 1 Coefficients'!I$8</f>
        <v>0</v>
      </c>
      <c r="K136" s="46">
        <f t="shared" si="8"/>
        <v>0</v>
      </c>
      <c r="L136" s="46">
        <f>K136*'Tier 1 Coefficients'!D$3</f>
        <v>0</v>
      </c>
      <c r="M136" s="46">
        <f>K136*'Tier 1 Coefficients'!C$18</f>
        <v>0</v>
      </c>
      <c r="N136" s="46">
        <f>K136*'Tier 1 Coefficients'!C$43</f>
        <v>0</v>
      </c>
      <c r="O136" s="46">
        <f>I136*'Tier 2 FC'!D$27</f>
        <v>0</v>
      </c>
      <c r="P136" s="46">
        <f t="shared" si="9"/>
        <v>0</v>
      </c>
      <c r="Q136" s="46">
        <f>P136*'Tier 1 Coefficients'!D$3</f>
        <v>0</v>
      </c>
      <c r="R136" s="46">
        <f>$I136*'T2 LPG'!C8</f>
        <v>0</v>
      </c>
      <c r="S136" s="121">
        <f>$I136*'T2 LPG'!D8</f>
        <v>0</v>
      </c>
      <c r="T136" s="46">
        <f>44.011*(P136/(12.011+1.008*'Tier 3 CO2 Tables'!B$3+16*'Tier 3 CO2 Tables'!C$3))</f>
        <v>0</v>
      </c>
      <c r="U136" s="46">
        <f>I136*'Tier 3 CO2 Tables'!H$8/10000</f>
        <v>0</v>
      </c>
      <c r="V136" s="46">
        <f>44.011*(U136/(12.011+1.008*'Tier 3 CO2 Tables'!B$6+16*'Tier 3 CO2 Tables'!C$6))</f>
        <v>0</v>
      </c>
      <c r="W136" s="46">
        <f>I136*'T3 Methane'!D21</f>
        <v>0</v>
      </c>
      <c r="X136" s="46" cm="1">
        <f t="array" ref="X136">_xlfn.IFS(E136='Euro Age Table'!C$5,'Euro Age Table'!G$5,E136='Euro Age Table'!C$6,'Euro Age Table'!G$6,E136='Euro Age Table'!C$7,'Euro Age Table'!G$7,E136='Euro Age Table'!C$8,'Euro Age Table'!G$8,E136='Euro Age Table'!C$9,'Euro Age Table'!G$9,E136='Euro Age Table'!C$10,'Euro Age Table'!G$10,E136='Euro Age Table'!C$11,'Euro Age Table'!G$11)</f>
        <v>3</v>
      </c>
      <c r="Y136" s="46">
        <f>X136*'Eilat Car Data'!F$7</f>
        <v>148200</v>
      </c>
      <c r="Z136" s="121">
        <f>('T3 N2O LCV-Petrol'!D8*Y136+'T3 N2O LCV-Petrol'!E8)*'T3 N2O LCV-Petrol'!C8</f>
        <v>2.34489744</v>
      </c>
      <c r="AA136" s="124">
        <f t="shared" si="10"/>
        <v>0</v>
      </c>
    </row>
    <row r="137" spans="1:27" ht="12.5">
      <c r="A137" s="49" t="s">
        <v>7</v>
      </c>
      <c r="B137" s="49" t="s">
        <v>20</v>
      </c>
      <c r="C137" s="49" t="s">
        <v>52</v>
      </c>
      <c r="D137" s="52" t="s">
        <v>62</v>
      </c>
      <c r="E137" s="50" t="s">
        <v>55</v>
      </c>
      <c r="F137" s="97">
        <v>0</v>
      </c>
      <c r="G137" s="101">
        <f t="shared" si="11"/>
        <v>0</v>
      </c>
      <c r="H137" s="46"/>
      <c r="I137" s="46">
        <f>G137*'Eilat Car Data'!F$7</f>
        <v>0</v>
      </c>
      <c r="J137" s="46">
        <f>I137*'Tier 1 Coefficients'!I$8</f>
        <v>0</v>
      </c>
      <c r="K137" s="46">
        <f t="shared" si="8"/>
        <v>0</v>
      </c>
      <c r="L137" s="46">
        <f>K137*'Tier 1 Coefficients'!D$3</f>
        <v>0</v>
      </c>
      <c r="M137" s="46">
        <f>K137*'Tier 1 Coefficients'!C$18</f>
        <v>0</v>
      </c>
      <c r="N137" s="46">
        <f>K137*'Tier 1 Coefficients'!C$43</f>
        <v>0</v>
      </c>
      <c r="O137" s="46">
        <f>I137*'Tier 2 FC'!D$27</f>
        <v>0</v>
      </c>
      <c r="P137" s="46">
        <f t="shared" si="9"/>
        <v>0</v>
      </c>
      <c r="Q137" s="46">
        <f>P137*'Tier 1 Coefficients'!D$3</f>
        <v>0</v>
      </c>
      <c r="R137" s="46">
        <f>$I137*'T2 LPG'!C3</f>
        <v>0</v>
      </c>
      <c r="S137" s="121">
        <f>$I137*'T2 LPG'!D3</f>
        <v>0</v>
      </c>
      <c r="T137" s="46">
        <f>44.011*(P137/(12.011+1.008*'Tier 3 CO2 Tables'!B$3+16*'Tier 3 CO2 Tables'!C$3))</f>
        <v>0</v>
      </c>
      <c r="U137" s="46">
        <f>I137*'Tier 3 CO2 Tables'!H$7/10000</f>
        <v>0</v>
      </c>
      <c r="V137" s="46">
        <f>44.011*(U137/(12.011+1.008*'Tier 3 CO2 Tables'!B$6+16*'Tier 3 CO2 Tables'!C$6))</f>
        <v>0</v>
      </c>
      <c r="W137" s="46">
        <f>I137*'T3 Methane'!D18</f>
        <v>0</v>
      </c>
      <c r="X137" s="46" cm="1">
        <f t="array" ref="X137">_xlfn.IFS(E137='Euro Age Table'!C$5,'Euro Age Table'!G$5,E137='Euro Age Table'!C$6,'Euro Age Table'!G$6,E137='Euro Age Table'!C$7,'Euro Age Table'!G$7,E137='Euro Age Table'!C$8,'Euro Age Table'!G$8,E137='Euro Age Table'!C$9,'Euro Age Table'!G$9,E137='Euro Age Table'!C$10,'Euro Age Table'!G$10,E137='Euro Age Table'!C$11,'Euro Age Table'!G$11)</f>
        <v>23</v>
      </c>
      <c r="Y137" s="46">
        <f>X137*'Eilat Car Data'!F$7</f>
        <v>1136200</v>
      </c>
      <c r="Z137" s="121">
        <f>('T3 N2O LCV-Petrol'!D3*Y137+'T3 N2O LCV-Petrol'!E3)*'T3 N2O LCV-Petrol'!C3</f>
        <v>131.859859</v>
      </c>
      <c r="AA137" s="124">
        <f t="shared" si="10"/>
        <v>0</v>
      </c>
    </row>
    <row r="138" spans="1:27" ht="12.5">
      <c r="A138" s="49" t="s">
        <v>7</v>
      </c>
      <c r="B138" s="51" t="s">
        <v>20</v>
      </c>
      <c r="C138" s="49" t="s">
        <v>52</v>
      </c>
      <c r="D138" s="49" t="s">
        <v>62</v>
      </c>
      <c r="E138" s="51" t="s">
        <v>60</v>
      </c>
      <c r="F138" s="97">
        <v>0</v>
      </c>
      <c r="G138" s="101">
        <f t="shared" si="11"/>
        <v>0</v>
      </c>
      <c r="H138" s="46"/>
      <c r="I138" s="46">
        <f>G138*'Eilat Car Data'!F$7</f>
        <v>0</v>
      </c>
      <c r="J138" s="46">
        <f>I138*'Tier 1 Coefficients'!I$8</f>
        <v>0</v>
      </c>
      <c r="K138" s="46">
        <f t="shared" si="8"/>
        <v>0</v>
      </c>
      <c r="L138" s="46">
        <f>K138*'Tier 1 Coefficients'!D$3</f>
        <v>0</v>
      </c>
      <c r="M138" s="46">
        <f>K138*'Tier 1 Coefficients'!C$18</f>
        <v>0</v>
      </c>
      <c r="N138" s="46">
        <f>K138*'Tier 1 Coefficients'!C$43</f>
        <v>0</v>
      </c>
      <c r="O138" s="46">
        <f>I138*'Tier 2 FC'!D$27</f>
        <v>0</v>
      </c>
      <c r="P138" s="46">
        <f t="shared" si="9"/>
        <v>0</v>
      </c>
      <c r="Q138" s="46">
        <f>P138*'Tier 1 Coefficients'!D$3</f>
        <v>0</v>
      </c>
      <c r="R138" s="46">
        <f>$I138*'T2 LPG'!C8</f>
        <v>0</v>
      </c>
      <c r="S138" s="121">
        <f>$I138*'T2 LPG'!D8</f>
        <v>0</v>
      </c>
      <c r="T138" s="46">
        <f>44.011*(P138/(12.011+1.008*'Tier 3 CO2 Tables'!B$3+16*'Tier 3 CO2 Tables'!C$3))</f>
        <v>0</v>
      </c>
      <c r="U138" s="46">
        <f>I138*'Tier 3 CO2 Tables'!H$8/10000</f>
        <v>0</v>
      </c>
      <c r="V138" s="46">
        <f>44.011*(U138/(12.011+1.008*'Tier 3 CO2 Tables'!B$6+16*'Tier 3 CO2 Tables'!C$6))</f>
        <v>0</v>
      </c>
      <c r="W138" s="46">
        <f>I138*'T3 Methane'!D21</f>
        <v>0</v>
      </c>
      <c r="X138" s="46" cm="1">
        <f t="array" ref="X138">_xlfn.IFS(E138='Euro Age Table'!C$5,'Euro Age Table'!G$5,E138='Euro Age Table'!C$6,'Euro Age Table'!G$6,E138='Euro Age Table'!C$7,'Euro Age Table'!G$7,E138='Euro Age Table'!C$8,'Euro Age Table'!G$8,E138='Euro Age Table'!C$9,'Euro Age Table'!G$9,E138='Euro Age Table'!C$10,'Euro Age Table'!G$10,E138='Euro Age Table'!C$11,'Euro Age Table'!G$11)</f>
        <v>3</v>
      </c>
      <c r="Y138" s="46">
        <f>X138*'Eilat Car Data'!F$7</f>
        <v>148200</v>
      </c>
      <c r="Z138" s="121">
        <f>('T3 N2O LCV-Petrol'!D8*Y138+'T3 N2O LCV-Petrol'!E8)*'T3 N2O LCV-Petrol'!C8</f>
        <v>2.34489744</v>
      </c>
      <c r="AA138" s="124">
        <f t="shared" si="10"/>
        <v>0</v>
      </c>
    </row>
    <row r="139" spans="1:27" ht="12.5">
      <c r="A139" s="49" t="s">
        <v>7</v>
      </c>
      <c r="B139" s="49" t="s">
        <v>23</v>
      </c>
      <c r="C139" s="49" t="s">
        <v>52</v>
      </c>
      <c r="D139" s="52" t="s">
        <v>62</v>
      </c>
      <c r="E139" s="50" t="s">
        <v>55</v>
      </c>
      <c r="F139" s="97">
        <v>0</v>
      </c>
      <c r="G139" s="99">
        <f t="shared" si="11"/>
        <v>0</v>
      </c>
      <c r="H139" s="46"/>
      <c r="I139" s="46">
        <f>G139*'Eilat Car Data'!F$7</f>
        <v>0</v>
      </c>
      <c r="J139" s="46">
        <f>I139*'Tier 1 Coefficients'!I$5/0.75</f>
        <v>0</v>
      </c>
      <c r="K139" s="46">
        <f t="shared" si="8"/>
        <v>0</v>
      </c>
      <c r="L139" s="46">
        <f>K139*'Tier 1 Coefficients'!D$5</f>
        <v>0</v>
      </c>
      <c r="M139" s="46">
        <f>K139*'Tier 1 Coefficients'!C$19</f>
        <v>0</v>
      </c>
      <c r="N139" s="46">
        <f>K139*'Tier 1 Coefficients'!C$44*1.02</f>
        <v>0</v>
      </c>
      <c r="O139" s="46">
        <f>I139*'Tier 2 FC'!D$29*1.28</f>
        <v>0</v>
      </c>
      <c r="P139" s="46">
        <f t="shared" si="9"/>
        <v>0</v>
      </c>
      <c r="Q139" s="46">
        <f>P139*'Tier 1 Coefficients'!D$5</f>
        <v>0</v>
      </c>
      <c r="R139" s="46">
        <f>I139*'T2 LPG'!C12*1.02</f>
        <v>0</v>
      </c>
      <c r="S139" s="121">
        <f>I139*'T2 LPG'!D8</f>
        <v>0</v>
      </c>
      <c r="T139" s="46">
        <f>44.011*(P139/(12.011+1.008*'Tier 3 CO2 Tables'!B$5+16*'Tier 3 CO2 Tables'!C$5))</f>
        <v>0</v>
      </c>
      <c r="U139" s="46">
        <f>I139*'Tier 3 CO2 Tables'!H3/10000</f>
        <v>0</v>
      </c>
      <c r="V139" s="46">
        <f>44.011*(U139/(12.011+1.008*'Tier 3 CO2 Tables'!B$6+16*'Tier 3 CO2 Tables'!C$6))</f>
        <v>0</v>
      </c>
      <c r="W139" s="46">
        <f>I139*'T3 Methane'!D$13</f>
        <v>0</v>
      </c>
      <c r="X139" s="46" cm="1">
        <f t="array" ref="X139">_xlfn.IFS(E139='Euro Age Table'!C$5,'Euro Age Table'!G$5,E139='Euro Age Table'!C$6,'Euro Age Table'!G$6,E139='Euro Age Table'!C$7,'Euro Age Table'!G$7,E139='Euro Age Table'!C$8,'Euro Age Table'!G$8,E139='Euro Age Table'!C$9,'Euro Age Table'!G$9,E139='Euro Age Table'!C$10,'Euro Age Table'!G$10,E139='Euro Age Table'!C$11,'Euro Age Table'!G$11)</f>
        <v>23</v>
      </c>
      <c r="Y139" s="46">
        <f>X139*'Eilat Car Data'!F$7</f>
        <v>1136200</v>
      </c>
      <c r="Z139" s="121">
        <f>'T3 N2O PC-Diesel LPG'!B10</f>
        <v>21</v>
      </c>
      <c r="AA139" s="124">
        <f t="shared" si="10"/>
        <v>0</v>
      </c>
    </row>
    <row r="140" spans="1:27" ht="12.5">
      <c r="A140" s="49" t="s">
        <v>7</v>
      </c>
      <c r="B140" s="51" t="s">
        <v>23</v>
      </c>
      <c r="C140" s="49" t="s">
        <v>52</v>
      </c>
      <c r="D140" s="51" t="s">
        <v>62</v>
      </c>
      <c r="E140" s="51" t="s">
        <v>60</v>
      </c>
      <c r="F140" s="97">
        <v>0</v>
      </c>
      <c r="G140" s="99">
        <f t="shared" si="11"/>
        <v>0</v>
      </c>
      <c r="H140" s="46"/>
      <c r="I140" s="46">
        <f>G140*'Eilat Car Data'!F$7</f>
        <v>0</v>
      </c>
      <c r="J140" s="46">
        <f>I140*'Tier 1 Coefficients'!I$5/0.75</f>
        <v>0</v>
      </c>
      <c r="K140" s="46">
        <f t="shared" si="8"/>
        <v>0</v>
      </c>
      <c r="L140" s="46">
        <f>K140*'Tier 1 Coefficients'!D$5</f>
        <v>0</v>
      </c>
      <c r="M140" s="46">
        <f>K140*'Tier 1 Coefficients'!C$19</f>
        <v>0</v>
      </c>
      <c r="N140" s="46">
        <f>K140*'Tier 1 Coefficients'!C$44*1.02</f>
        <v>0</v>
      </c>
      <c r="O140" s="46">
        <f>I140*'Tier 2 FC'!D$29*1.28</f>
        <v>0</v>
      </c>
      <c r="P140" s="46">
        <f t="shared" si="9"/>
        <v>0</v>
      </c>
      <c r="Q140" s="46">
        <f>P140*'Tier 1 Coefficients'!D$5</f>
        <v>0</v>
      </c>
      <c r="R140" s="46">
        <f>I140*'T2 LPG'!C17*1.02</f>
        <v>0</v>
      </c>
      <c r="S140" s="121">
        <f>I140*'T2 LPG'!D8</f>
        <v>0</v>
      </c>
      <c r="T140" s="46">
        <f>44.011*(P140/(12.011+1.008*'Tier 3 CO2 Tables'!B$5+16*'Tier 3 CO2 Tables'!C$5))</f>
        <v>0</v>
      </c>
      <c r="U140" s="46">
        <f>I140*'Tier 3 CO2 Tables'!H4/10000</f>
        <v>0</v>
      </c>
      <c r="V140" s="46">
        <f>44.011*(U140/(12.011+1.008*'Tier 3 CO2 Tables'!B$6+16*'Tier 3 CO2 Tables'!C$6))</f>
        <v>0</v>
      </c>
      <c r="W140" s="46">
        <f>I140*'T3 Methane'!D$13</f>
        <v>0</v>
      </c>
      <c r="X140" s="46" cm="1">
        <f t="array" ref="X140">_xlfn.IFS(E140='Euro Age Table'!C$5,'Euro Age Table'!G$5,E140='Euro Age Table'!C$6,'Euro Age Table'!G$6,E140='Euro Age Table'!C$7,'Euro Age Table'!G$7,E140='Euro Age Table'!C$8,'Euro Age Table'!G$8,E140='Euro Age Table'!C$9,'Euro Age Table'!G$9,E140='Euro Age Table'!C$10,'Euro Age Table'!G$10,E140='Euro Age Table'!C$11,'Euro Age Table'!G$11)</f>
        <v>3</v>
      </c>
      <c r="Y140" s="46">
        <f>X140*'Eilat Car Data'!F$7</f>
        <v>148200</v>
      </c>
      <c r="Z140" s="121">
        <f>'T3 N2O PC-Diesel LPG'!B15</f>
        <v>2.1</v>
      </c>
      <c r="AA140" s="124">
        <f t="shared" si="10"/>
        <v>0</v>
      </c>
    </row>
    <row r="141" spans="1:27" ht="12.5">
      <c r="A141" s="49" t="s">
        <v>7</v>
      </c>
      <c r="B141" s="49" t="s">
        <v>22</v>
      </c>
      <c r="C141" s="49" t="s">
        <v>52</v>
      </c>
      <c r="D141" s="49" t="s">
        <v>53</v>
      </c>
      <c r="E141" s="50" t="s">
        <v>56</v>
      </c>
      <c r="F141" s="97">
        <v>0</v>
      </c>
      <c r="G141" s="99">
        <f t="shared" si="11"/>
        <v>0</v>
      </c>
      <c r="H141" s="46"/>
      <c r="I141" s="46">
        <f>G141*'Eilat Car Data'!F$7</f>
        <v>0</v>
      </c>
      <c r="J141" s="46">
        <f>I141*'Tier 1 Coefficients'!I$9</f>
        <v>0</v>
      </c>
      <c r="K141" s="46">
        <f t="shared" si="8"/>
        <v>0</v>
      </c>
      <c r="L141" s="46">
        <f>K141*'Tier 1 Coefficients'!D$4</f>
        <v>0</v>
      </c>
      <c r="M141" s="46">
        <f>K141*'Tier 1 Coefficients'!C$20</f>
        <v>0</v>
      </c>
      <c r="N141" s="46">
        <f>K141*'Tier 1 Coefficients'!C$44</f>
        <v>0</v>
      </c>
      <c r="O141" s="46">
        <f>I141*'Tier 2 FC'!D$29</f>
        <v>0</v>
      </c>
      <c r="P141" s="46">
        <f t="shared" si="9"/>
        <v>0</v>
      </c>
      <c r="Q141" s="46">
        <f>P141*'Tier 1 Coefficients'!D$4</f>
        <v>0</v>
      </c>
      <c r="R141" s="46">
        <f>I141*'T2 LPG'!C13</f>
        <v>0</v>
      </c>
      <c r="S141" s="121">
        <f>I141*'T2 LPG'!D13</f>
        <v>0</v>
      </c>
      <c r="T141" s="46">
        <f>44.011*(P141/(12.011+1.008*'Tier 3 CO2 Tables'!B$4+16*'Tier 3 CO2 Tables'!C$4))</f>
        <v>0</v>
      </c>
      <c r="U141" s="46">
        <f>I141*'Tier 3 CO2 Tables'!H$9/10000</f>
        <v>0</v>
      </c>
      <c r="V141" s="46">
        <f>44.011*(U141/(12.011+1.008*'Tier 3 CO2 Tables'!B$6+16*'Tier 3 CO2 Tables'!C$6))</f>
        <v>0</v>
      </c>
      <c r="W141" s="46">
        <f>I141*'T3 Methane'!D24</f>
        <v>0</v>
      </c>
      <c r="X141" s="46" cm="1">
        <f t="array" ref="X141">_xlfn.IFS(E141='Euro Age Table'!C$5,'Euro Age Table'!G$5,E141='Euro Age Table'!C$6,'Euro Age Table'!G$6,E141='Euro Age Table'!C$7,'Euro Age Table'!G$7,E141='Euro Age Table'!C$8,'Euro Age Table'!G$8,E141='Euro Age Table'!C$9,'Euro Age Table'!G$9,E141='Euro Age Table'!C$10,'Euro Age Table'!G$10,E141='Euro Age Table'!C$11,'Euro Age Table'!G$11)</f>
        <v>18</v>
      </c>
      <c r="Y141" s="46">
        <f>X141*'Eilat Car Data'!F$7</f>
        <v>889200</v>
      </c>
      <c r="Z141" s="121">
        <f>'T3 N2O PC-Diesel LPG'!B5</f>
        <v>4</v>
      </c>
      <c r="AA141" s="124">
        <f t="shared" si="10"/>
        <v>0</v>
      </c>
    </row>
    <row r="142" spans="1:27" ht="12.5">
      <c r="A142" s="49" t="s">
        <v>7</v>
      </c>
      <c r="B142" s="49" t="s">
        <v>22</v>
      </c>
      <c r="C142" s="49" t="s">
        <v>52</v>
      </c>
      <c r="D142" s="49" t="s">
        <v>53</v>
      </c>
      <c r="E142" s="51" t="s">
        <v>60</v>
      </c>
      <c r="F142" s="97">
        <v>0</v>
      </c>
      <c r="G142" s="99">
        <f t="shared" si="11"/>
        <v>0</v>
      </c>
      <c r="H142" s="46"/>
      <c r="I142" s="46">
        <f>G142*'Eilat Car Data'!F$7</f>
        <v>0</v>
      </c>
      <c r="J142" s="46">
        <f>I142*'Tier 1 Coefficients'!I$9</f>
        <v>0</v>
      </c>
      <c r="K142" s="46">
        <f t="shared" si="8"/>
        <v>0</v>
      </c>
      <c r="L142" s="46">
        <f>K142*'Tier 1 Coefficients'!D$4</f>
        <v>0</v>
      </c>
      <c r="M142" s="46">
        <f>K142*'Tier 1 Coefficients'!C$20</f>
        <v>0</v>
      </c>
      <c r="N142" s="46">
        <f>K142*'Tier 1 Coefficients'!C$44</f>
        <v>0</v>
      </c>
      <c r="O142" s="46">
        <f>I142*'Tier 2 FC'!D$29</f>
        <v>0</v>
      </c>
      <c r="P142" s="46">
        <f t="shared" si="9"/>
        <v>0</v>
      </c>
      <c r="Q142" s="46">
        <f>P142*'Tier 1 Coefficients'!D$4</f>
        <v>0</v>
      </c>
      <c r="R142" s="46">
        <f>I142*'T2 LPG'!C17</f>
        <v>0</v>
      </c>
      <c r="S142" s="121">
        <f>I142*'T2 LPG'!D17</f>
        <v>0</v>
      </c>
      <c r="T142" s="46">
        <f>44.011*(P142/(12.011+1.008*'Tier 3 CO2 Tables'!B$4+16*'Tier 3 CO2 Tables'!C$4))</f>
        <v>0</v>
      </c>
      <c r="U142" s="46">
        <f>I142*'Tier 3 CO2 Tables'!H$9/10000</f>
        <v>0</v>
      </c>
      <c r="V142" s="46">
        <f>44.011*(U142/(12.011+1.008*'Tier 3 CO2 Tables'!B$6+16*'Tier 3 CO2 Tables'!C$6))</f>
        <v>0</v>
      </c>
      <c r="W142" s="46">
        <f>I142*'T3 Methane'!D27</f>
        <v>0</v>
      </c>
      <c r="X142" s="46" cm="1">
        <f t="array" ref="X142">_xlfn.IFS(E142='Euro Age Table'!C$5,'Euro Age Table'!G$5,E142='Euro Age Table'!C$6,'Euro Age Table'!G$6,E142='Euro Age Table'!C$7,'Euro Age Table'!G$7,E142='Euro Age Table'!C$8,'Euro Age Table'!G$8,E142='Euro Age Table'!C$9,'Euro Age Table'!G$9,E142='Euro Age Table'!C$10,'Euro Age Table'!G$10,E142='Euro Age Table'!C$11,'Euro Age Table'!G$11)</f>
        <v>3</v>
      </c>
      <c r="Y142" s="46">
        <f>X142*'Eilat Car Data'!F$7</f>
        <v>148200</v>
      </c>
      <c r="Z142" s="121">
        <f>'T3 N2O PC-Diesel LPG'!B7</f>
        <v>11</v>
      </c>
      <c r="AA142" s="124">
        <f t="shared" si="10"/>
        <v>0</v>
      </c>
    </row>
    <row r="143" spans="1:27" ht="12.5">
      <c r="A143" s="49" t="s">
        <v>7</v>
      </c>
      <c r="B143" s="49" t="s">
        <v>22</v>
      </c>
      <c r="C143" s="49" t="s">
        <v>52</v>
      </c>
      <c r="D143" s="52" t="s">
        <v>61</v>
      </c>
      <c r="E143" s="50" t="s">
        <v>56</v>
      </c>
      <c r="F143" s="97">
        <v>0</v>
      </c>
      <c r="G143" s="99">
        <f t="shared" si="11"/>
        <v>0</v>
      </c>
      <c r="H143" s="46"/>
      <c r="I143" s="46">
        <f>G143*'Eilat Car Data'!F$7</f>
        <v>0</v>
      </c>
      <c r="J143" s="46">
        <f>I143*'Tier 1 Coefficients'!I$9</f>
        <v>0</v>
      </c>
      <c r="K143" s="46">
        <f t="shared" si="8"/>
        <v>0</v>
      </c>
      <c r="L143" s="46">
        <f>K143*'Tier 1 Coefficients'!D$4</f>
        <v>0</v>
      </c>
      <c r="M143" s="46">
        <f>K143*'Tier 1 Coefficients'!C$20</f>
        <v>0</v>
      </c>
      <c r="N143" s="46">
        <f>K143*'Tier 1 Coefficients'!C$44</f>
        <v>0</v>
      </c>
      <c r="O143" s="46">
        <f>I143*'Tier 2 FC'!D$29</f>
        <v>0</v>
      </c>
      <c r="P143" s="46">
        <f t="shared" si="9"/>
        <v>0</v>
      </c>
      <c r="Q143" s="46">
        <f>P143*'Tier 1 Coefficients'!D$4</f>
        <v>0</v>
      </c>
      <c r="R143" s="46">
        <f>$I143*'T2 LPG'!C13</f>
        <v>0</v>
      </c>
      <c r="S143" s="121">
        <f>$I143*'T2 LPG'!D13</f>
        <v>0</v>
      </c>
      <c r="T143" s="46">
        <f>44.011*(P143/(12.011+1.008*'Tier 3 CO2 Tables'!B$4+16*'Tier 3 CO2 Tables'!C$4))</f>
        <v>0</v>
      </c>
      <c r="U143" s="46">
        <f>I143*'Tier 3 CO2 Tables'!H$9/10000</f>
        <v>0</v>
      </c>
      <c r="V143" s="46">
        <f>44.011*(U143/(12.011+1.008*'Tier 3 CO2 Tables'!B$6+16*'Tier 3 CO2 Tables'!C$6))</f>
        <v>0</v>
      </c>
      <c r="W143" s="46">
        <f>I143*'T3 Methane'!D24</f>
        <v>0</v>
      </c>
      <c r="X143" s="46" cm="1">
        <f t="array" ref="X143">_xlfn.IFS(E143='Euro Age Table'!C$5,'Euro Age Table'!G$5,E143='Euro Age Table'!C$6,'Euro Age Table'!G$6,E143='Euro Age Table'!C$7,'Euro Age Table'!G$7,E143='Euro Age Table'!C$8,'Euro Age Table'!G$8,E143='Euro Age Table'!C$9,'Euro Age Table'!G$9,E143='Euro Age Table'!C$10,'Euro Age Table'!G$10,E143='Euro Age Table'!C$11,'Euro Age Table'!G$11)</f>
        <v>18</v>
      </c>
      <c r="Y143" s="46">
        <f>X143*'Eilat Car Data'!F$7</f>
        <v>889200</v>
      </c>
      <c r="Z143" s="121">
        <f>'T3 N2O PC-Diesel LPG'!B5</f>
        <v>4</v>
      </c>
      <c r="AA143" s="124">
        <f t="shared" si="10"/>
        <v>0</v>
      </c>
    </row>
    <row r="144" spans="1:27" ht="12.5">
      <c r="A144" s="49" t="s">
        <v>7</v>
      </c>
      <c r="B144" s="49" t="s">
        <v>22</v>
      </c>
      <c r="C144" s="49" t="s">
        <v>52</v>
      </c>
      <c r="D144" s="49" t="s">
        <v>61</v>
      </c>
      <c r="E144" s="50" t="s">
        <v>57</v>
      </c>
      <c r="F144" s="97">
        <v>6.328713372571356E-5</v>
      </c>
      <c r="G144" s="99">
        <f t="shared" si="11"/>
        <v>1.8353268780456932E-3</v>
      </c>
      <c r="H144" s="46"/>
      <c r="I144" s="46">
        <f>G144*'Eilat Car Data'!F$7</f>
        <v>90.665147775457243</v>
      </c>
      <c r="J144" s="46">
        <f>I144*'Tier 1 Coefficients'!I$9</f>
        <v>7253.2118220365792</v>
      </c>
      <c r="K144" s="46">
        <f t="shared" si="8"/>
        <v>7.2532118220365795</v>
      </c>
      <c r="L144" s="46">
        <f>K144*'Tier 1 Coefficients'!D$4</f>
        <v>22.985428264033921</v>
      </c>
      <c r="M144" s="46">
        <f>K144*'Tier 1 Coefficients'!C$20</f>
        <v>46.493087779254473</v>
      </c>
      <c r="N144" s="46">
        <f>K144*'Tier 1 Coefficients'!C$44</f>
        <v>0.40617986203404849</v>
      </c>
      <c r="O144" s="46">
        <f>I144*'Tier 2 FC'!D$29</f>
        <v>7253.2118220365792</v>
      </c>
      <c r="P144" s="46">
        <f t="shared" si="9"/>
        <v>7.2532118220365795</v>
      </c>
      <c r="Q144" s="46">
        <f>P144*'Tier 1 Coefficients'!D$4</f>
        <v>22.985428264033921</v>
      </c>
      <c r="R144" s="46">
        <f>$I144*'T2 LPG'!C14</f>
        <v>0.81598632997911513</v>
      </c>
      <c r="S144" s="121">
        <f>$I144*'T2 LPG'!D14</f>
        <v>42.068628567812162</v>
      </c>
      <c r="T144" s="46">
        <f>44.011*(P144/(12.011+1.008*'Tier 3 CO2 Tables'!B$4+16*'Tier 3 CO2 Tables'!C$4))</f>
        <v>22.988899911251714</v>
      </c>
      <c r="U144" s="46">
        <f>I144*'Tier 3 CO2 Tables'!H$9/10000</f>
        <v>1.3509107018543128E-2</v>
      </c>
      <c r="V144" s="46">
        <f>44.011*(U144/(12.011+1.008*'Tier 3 CO2 Tables'!B$6+16*'Tier 3 CO2 Tables'!C$6))</f>
        <v>4.2143782304701685E-2</v>
      </c>
      <c r="W144" s="46">
        <f>I144*'T3 Methane'!D25</f>
        <v>271.99544332637174</v>
      </c>
      <c r="X144" s="46" cm="1">
        <f t="array" ref="X144">_xlfn.IFS(E144='Euro Age Table'!C$5,'Euro Age Table'!G$5,E144='Euro Age Table'!C$6,'Euro Age Table'!G$6,E144='Euro Age Table'!C$7,'Euro Age Table'!G$7,E144='Euro Age Table'!C$8,'Euro Age Table'!G$8,E144='Euro Age Table'!C$9,'Euro Age Table'!G$9,E144='Euro Age Table'!C$10,'Euro Age Table'!G$10,E144='Euro Age Table'!C$11,'Euro Age Table'!G$11)</f>
        <v>16</v>
      </c>
      <c r="Y144" s="46">
        <f>X144*'Eilat Car Data'!F$7</f>
        <v>790400</v>
      </c>
      <c r="Z144" s="121">
        <f>'T3 N2O PC-Diesel LPG'!B6</f>
        <v>9</v>
      </c>
      <c r="AA144" s="124">
        <f t="shared" si="10"/>
        <v>815.98632997911523</v>
      </c>
    </row>
    <row r="145" spans="1:27" ht="12.5">
      <c r="A145" s="49" t="s">
        <v>7</v>
      </c>
      <c r="B145" s="49" t="s">
        <v>22</v>
      </c>
      <c r="C145" s="49" t="s">
        <v>52</v>
      </c>
      <c r="D145" s="49" t="s">
        <v>61</v>
      </c>
      <c r="E145" s="50" t="s">
        <v>58</v>
      </c>
      <c r="F145" s="97">
        <v>2.0251882792228339E-3</v>
      </c>
      <c r="G145" s="99">
        <f t="shared" si="11"/>
        <v>5.8730460097462182E-2</v>
      </c>
      <c r="H145" s="46"/>
      <c r="I145" s="46">
        <f>G145*'Eilat Car Data'!F$7</f>
        <v>2901.2847288146318</v>
      </c>
      <c r="J145" s="46">
        <f>I145*'Tier 1 Coefficients'!I$9</f>
        <v>232102.77830517053</v>
      </c>
      <c r="K145" s="46">
        <f t="shared" si="8"/>
        <v>232.10277830517055</v>
      </c>
      <c r="L145" s="46">
        <f>K145*'Tier 1 Coefficients'!D$4</f>
        <v>735.53370444908546</v>
      </c>
      <c r="M145" s="46">
        <f>K145*'Tier 1 Coefficients'!C$20</f>
        <v>1487.7788089361432</v>
      </c>
      <c r="N145" s="46">
        <f>K145*'Tier 1 Coefficients'!C$44</f>
        <v>12.997755585089552</v>
      </c>
      <c r="O145" s="46">
        <f>I145*'Tier 2 FC'!D$29</f>
        <v>232102.77830517053</v>
      </c>
      <c r="P145" s="46">
        <f t="shared" si="9"/>
        <v>232.10277830517055</v>
      </c>
      <c r="Q145" s="46">
        <f>P145*'Tier 1 Coefficients'!D$4</f>
        <v>735.53370444908546</v>
      </c>
      <c r="R145" s="46">
        <f>$I145*'T2 LPG'!C15</f>
        <v>26.111562559331684</v>
      </c>
      <c r="S145" s="121">
        <f>$I145*'T2 LPG'!D15</f>
        <v>1154.7113220682236</v>
      </c>
      <c r="T145" s="46">
        <f>44.011*(P145/(12.011+1.008*'Tier 3 CO2 Tables'!B$4+16*'Tier 3 CO2 Tables'!C$4))</f>
        <v>735.64479716005485</v>
      </c>
      <c r="U145" s="46">
        <f>I145*'Tier 3 CO2 Tables'!H$9/10000</f>
        <v>0.4322914245933801</v>
      </c>
      <c r="V145" s="46">
        <f>44.011*(U145/(12.011+1.008*'Tier 3 CO2 Tables'!B$6+16*'Tier 3 CO2 Tables'!C$6))</f>
        <v>1.3486010337504539</v>
      </c>
      <c r="W145" s="46">
        <f>I145*'T3 Methane'!D26</f>
        <v>3191.4132016960953</v>
      </c>
      <c r="X145" s="46" cm="1">
        <f t="array" ref="X145">_xlfn.IFS(E145='Euro Age Table'!C$5,'Euro Age Table'!G$5,E145='Euro Age Table'!C$6,'Euro Age Table'!G$6,E145='Euro Age Table'!C$7,'Euro Age Table'!G$7,E145='Euro Age Table'!C$8,'Euro Age Table'!G$8,E145='Euro Age Table'!C$9,'Euro Age Table'!G$9,E145='Euro Age Table'!C$10,'Euro Age Table'!G$10,E145='Euro Age Table'!C$11,'Euro Age Table'!G$11)</f>
        <v>13</v>
      </c>
      <c r="Y145" s="46">
        <f>X145*'Eilat Car Data'!F$7</f>
        <v>642200</v>
      </c>
      <c r="Z145" s="121">
        <f>'T3 N2O PC-Diesel LPG'!B6</f>
        <v>9</v>
      </c>
      <c r="AA145" s="124">
        <f t="shared" si="10"/>
        <v>26111.562559331687</v>
      </c>
    </row>
    <row r="146" spans="1:27" ht="12.5">
      <c r="A146" s="49" t="s">
        <v>7</v>
      </c>
      <c r="B146" s="49" t="s">
        <v>22</v>
      </c>
      <c r="C146" s="49" t="s">
        <v>52</v>
      </c>
      <c r="D146" s="49" t="s">
        <v>61</v>
      </c>
      <c r="E146" s="50" t="s">
        <v>59</v>
      </c>
      <c r="F146" s="97">
        <v>2.6011011961268274E-2</v>
      </c>
      <c r="G146" s="99">
        <f t="shared" si="11"/>
        <v>0.75431934687677993</v>
      </c>
      <c r="H146" s="46"/>
      <c r="I146" s="46">
        <f>G146*'Eilat Car Data'!F$7</f>
        <v>37263.375735712929</v>
      </c>
      <c r="J146" s="46">
        <f>I146*'Tier 1 Coefficients'!I$9</f>
        <v>2981070.0588570344</v>
      </c>
      <c r="K146" s="46">
        <f t="shared" si="8"/>
        <v>2981.0700588570344</v>
      </c>
      <c r="L146" s="46">
        <f>K146*'Tier 1 Coefficients'!D$4</f>
        <v>9447.0110165179412</v>
      </c>
      <c r="M146" s="46">
        <f>K146*'Tier 1 Coefficients'!C$20</f>
        <v>19108.659077273591</v>
      </c>
      <c r="N146" s="46">
        <f>K146*'Tier 1 Coefficients'!C$44</f>
        <v>166.93992329599394</v>
      </c>
      <c r="O146" s="46">
        <f>I146*'Tier 2 FC'!D$29</f>
        <v>2981070.0588570344</v>
      </c>
      <c r="P146" s="46">
        <f t="shared" si="9"/>
        <v>2981.0700588570344</v>
      </c>
      <c r="Q146" s="46">
        <f>P146*'Tier 1 Coefficients'!D$4</f>
        <v>9447.0110165179412</v>
      </c>
      <c r="R146" s="46">
        <f>$I146*'T2 LPG'!C16</f>
        <v>149.05350294285171</v>
      </c>
      <c r="S146" s="121">
        <f>$I146*'T2 LPG'!D16</f>
        <v>14830.823542813747</v>
      </c>
      <c r="T146" s="46">
        <f>44.011*(P146/(12.011+1.008*'Tier 3 CO2 Tables'!B$4+16*'Tier 3 CO2 Tables'!C$4))</f>
        <v>9448.4378635244539</v>
      </c>
      <c r="U146" s="46">
        <f>I146*'Tier 3 CO2 Tables'!H$9/10000</f>
        <v>5.552242984621226</v>
      </c>
      <c r="V146" s="46">
        <f>44.011*(U146/(12.011+1.008*'Tier 3 CO2 Tables'!B$6+16*'Tier 3 CO2 Tables'!C$6))</f>
        <v>17.321094527232393</v>
      </c>
      <c r="W146" s="46">
        <f>I146*'T3 Methane'!D27</f>
        <v>279.47531801784697</v>
      </c>
      <c r="X146" s="46" cm="1">
        <f t="array" ref="X146">_xlfn.IFS(E146='Euro Age Table'!C$5,'Euro Age Table'!G$5,E146='Euro Age Table'!C$6,'Euro Age Table'!G$6,E146='Euro Age Table'!C$7,'Euro Age Table'!G$7,E146='Euro Age Table'!C$8,'Euro Age Table'!G$8,E146='Euro Age Table'!C$9,'Euro Age Table'!G$9,E146='Euro Age Table'!C$10,'Euro Age Table'!G$10,E146='Euro Age Table'!C$11,'Euro Age Table'!G$11)</f>
        <v>9</v>
      </c>
      <c r="Y146" s="46">
        <f>X146*'Eilat Car Data'!F$7</f>
        <v>444600</v>
      </c>
      <c r="Z146" s="121">
        <f>'T3 N2O PC-Diesel LPG'!B6</f>
        <v>9</v>
      </c>
      <c r="AA146" s="124">
        <f t="shared" si="10"/>
        <v>335370.38162141637</v>
      </c>
    </row>
    <row r="147" spans="1:27" ht="12.5">
      <c r="A147" s="49" t="s">
        <v>7</v>
      </c>
      <c r="B147" s="49" t="s">
        <v>22</v>
      </c>
      <c r="C147" s="49" t="s">
        <v>52</v>
      </c>
      <c r="D147" s="49" t="s">
        <v>61</v>
      </c>
      <c r="E147" s="51" t="s">
        <v>60</v>
      </c>
      <c r="F147" s="97">
        <v>0</v>
      </c>
      <c r="G147" s="99">
        <f t="shared" si="11"/>
        <v>0</v>
      </c>
      <c r="H147" s="46"/>
      <c r="I147" s="46">
        <f>G147*'Eilat Car Data'!F$7</f>
        <v>0</v>
      </c>
      <c r="J147" s="46">
        <f>I147*'Tier 1 Coefficients'!I$9</f>
        <v>0</v>
      </c>
      <c r="K147" s="46">
        <f t="shared" si="8"/>
        <v>0</v>
      </c>
      <c r="L147" s="46">
        <f>K147*'Tier 1 Coefficients'!D$4</f>
        <v>0</v>
      </c>
      <c r="M147" s="46">
        <f>K147*'Tier 1 Coefficients'!C$20</f>
        <v>0</v>
      </c>
      <c r="N147" s="46">
        <f>K147*'Tier 1 Coefficients'!C$44</f>
        <v>0</v>
      </c>
      <c r="O147" s="46">
        <f>I147*'Tier 2 FC'!D$29</f>
        <v>0</v>
      </c>
      <c r="P147" s="46">
        <f t="shared" si="9"/>
        <v>0</v>
      </c>
      <c r="Q147" s="46">
        <f>P147*'Tier 1 Coefficients'!D$4</f>
        <v>0</v>
      </c>
      <c r="R147" s="46">
        <f>$I147*'T2 LPG'!C17</f>
        <v>0</v>
      </c>
      <c r="S147" s="121">
        <f>$I147*'T2 LPG'!D17</f>
        <v>0</v>
      </c>
      <c r="T147" s="46">
        <f>44.011*(P147/(12.011+1.008*'Tier 3 CO2 Tables'!B$4+16*'Tier 3 CO2 Tables'!C$4))</f>
        <v>0</v>
      </c>
      <c r="U147" s="46">
        <f>I147*'Tier 3 CO2 Tables'!H$10/10000</f>
        <v>0</v>
      </c>
      <c r="V147" s="46">
        <f>44.011*(U147/(12.011+1.008*'Tier 3 CO2 Tables'!B$6+16*'Tier 3 CO2 Tables'!C$6))</f>
        <v>0</v>
      </c>
      <c r="W147" s="46">
        <f>I147*'T3 Methane'!D28</f>
        <v>0</v>
      </c>
      <c r="X147" s="46" cm="1">
        <f t="array" ref="X147">_xlfn.IFS(E147='Euro Age Table'!C$5,'Euro Age Table'!G$5,E147='Euro Age Table'!C$6,'Euro Age Table'!G$6,E147='Euro Age Table'!C$7,'Euro Age Table'!G$7,E147='Euro Age Table'!C$8,'Euro Age Table'!G$8,E147='Euro Age Table'!C$9,'Euro Age Table'!G$9,E147='Euro Age Table'!C$10,'Euro Age Table'!G$10,E147='Euro Age Table'!C$11,'Euro Age Table'!G$11)</f>
        <v>3</v>
      </c>
      <c r="Y147" s="46">
        <f>X147*'Eilat Car Data'!F$7</f>
        <v>148200</v>
      </c>
      <c r="Z147" s="121">
        <f>'T3 N2O PC-Diesel LPG'!B7</f>
        <v>11</v>
      </c>
      <c r="AA147" s="124">
        <f t="shared" si="10"/>
        <v>0</v>
      </c>
    </row>
    <row r="148" spans="1:27" ht="12.5">
      <c r="A148" s="49" t="s">
        <v>7</v>
      </c>
      <c r="B148" s="49" t="s">
        <v>22</v>
      </c>
      <c r="C148" s="49" t="s">
        <v>52</v>
      </c>
      <c r="D148" s="52" t="s">
        <v>62</v>
      </c>
      <c r="E148" s="50" t="s">
        <v>54</v>
      </c>
      <c r="F148" s="97">
        <v>0</v>
      </c>
      <c r="G148" s="99">
        <f t="shared" si="11"/>
        <v>0</v>
      </c>
      <c r="H148" s="46"/>
      <c r="I148" s="46">
        <f>G148*'Eilat Car Data'!F$7</f>
        <v>0</v>
      </c>
      <c r="J148" s="46">
        <f>I148*'Tier 1 Coefficients'!I$9</f>
        <v>0</v>
      </c>
      <c r="K148" s="46">
        <f t="shared" si="8"/>
        <v>0</v>
      </c>
      <c r="L148" s="46">
        <f>K148*'Tier 1 Coefficients'!D$4</f>
        <v>0</v>
      </c>
      <c r="M148" s="46">
        <f>K148*'Tier 1 Coefficients'!C$20</f>
        <v>0</v>
      </c>
      <c r="N148" s="46">
        <f>K148*'Tier 1 Coefficients'!C$44</f>
        <v>0</v>
      </c>
      <c r="O148" s="46">
        <f>I148*'Tier 2 FC'!D$29</f>
        <v>0</v>
      </c>
      <c r="P148" s="46">
        <f t="shared" si="9"/>
        <v>0</v>
      </c>
      <c r="Q148" s="46">
        <f>P148*'Tier 1 Coefficients'!D$4</f>
        <v>0</v>
      </c>
      <c r="R148" s="46">
        <f>$I148*'T2 LPG'!C11</f>
        <v>0</v>
      </c>
      <c r="S148" s="121">
        <f>$I148*'T2 LPG'!D11</f>
        <v>0</v>
      </c>
      <c r="T148" s="46">
        <f>44.011*(P148/(12.011+1.008*'Tier 3 CO2 Tables'!B$4+16*'Tier 3 CO2 Tables'!C$4))</f>
        <v>0</v>
      </c>
      <c r="U148" s="46">
        <f>I148*'Tier 3 CO2 Tables'!H$9/10000</f>
        <v>0</v>
      </c>
      <c r="V148" s="46">
        <f>44.011*(U148/(12.011+1.008*'Tier 3 CO2 Tables'!B$6+16*'Tier 3 CO2 Tables'!C$6))</f>
        <v>0</v>
      </c>
      <c r="W148" s="46">
        <f>I148*'T3 Methane'!D22</f>
        <v>0</v>
      </c>
      <c r="X148" s="46" cm="1">
        <f t="array" ref="X148">_xlfn.IFS(E148='Euro Age Table'!C$5,'Euro Age Table'!G$5,E148='Euro Age Table'!C$6,'Euro Age Table'!G$6,E148='Euro Age Table'!C$7,'Euro Age Table'!G$7,E148='Euro Age Table'!C$8,'Euro Age Table'!G$8,E148='Euro Age Table'!C$9,'Euro Age Table'!G$9,E148='Euro Age Table'!C$10,'Euro Age Table'!G$10,E148='Euro Age Table'!C$11,'Euro Age Table'!G$11)</f>
        <v>27</v>
      </c>
      <c r="Y148" s="46">
        <f>X148*'Eilat Car Data'!F$7</f>
        <v>1333800</v>
      </c>
      <c r="Z148" s="121">
        <f>'T3 N2O PC-Diesel LPG'!B3</f>
        <v>0</v>
      </c>
      <c r="AA148" s="124">
        <f t="shared" si="10"/>
        <v>0</v>
      </c>
    </row>
    <row r="149" spans="1:27" ht="12.5">
      <c r="A149" s="49" t="s">
        <v>7</v>
      </c>
      <c r="B149" s="49" t="s">
        <v>22</v>
      </c>
      <c r="C149" s="49" t="s">
        <v>52</v>
      </c>
      <c r="D149" s="49" t="s">
        <v>62</v>
      </c>
      <c r="E149" s="50" t="s">
        <v>55</v>
      </c>
      <c r="F149" s="97">
        <v>0</v>
      </c>
      <c r="G149" s="99">
        <f t="shared" si="11"/>
        <v>0</v>
      </c>
      <c r="H149" s="46"/>
      <c r="I149" s="46">
        <f>G149*'Eilat Car Data'!F$7</f>
        <v>0</v>
      </c>
      <c r="J149" s="46">
        <f>I149*'Tier 1 Coefficients'!I$9</f>
        <v>0</v>
      </c>
      <c r="K149" s="46">
        <f t="shared" si="8"/>
        <v>0</v>
      </c>
      <c r="L149" s="46">
        <f>K149*'Tier 1 Coefficients'!D$4</f>
        <v>0</v>
      </c>
      <c r="M149" s="46">
        <f>K149*'Tier 1 Coefficients'!C$20</f>
        <v>0</v>
      </c>
      <c r="N149" s="46">
        <f>K149*'Tier 1 Coefficients'!C$44</f>
        <v>0</v>
      </c>
      <c r="O149" s="46">
        <f>I149*'Tier 2 FC'!D$29</f>
        <v>0</v>
      </c>
      <c r="P149" s="46">
        <f t="shared" si="9"/>
        <v>0</v>
      </c>
      <c r="Q149" s="46">
        <f>P149*'Tier 1 Coefficients'!D$4</f>
        <v>0</v>
      </c>
      <c r="R149" s="46">
        <f>$I149*'T2 LPG'!C12</f>
        <v>0</v>
      </c>
      <c r="S149" s="121">
        <f>$I149*'T2 LPG'!D12</f>
        <v>0</v>
      </c>
      <c r="T149" s="46">
        <f>44.011*(P149/(12.011+1.008*'Tier 3 CO2 Tables'!B$4+16*'Tier 3 CO2 Tables'!C$4))</f>
        <v>0</v>
      </c>
      <c r="U149" s="46">
        <f>I149*'Tier 3 CO2 Tables'!H$9/10000</f>
        <v>0</v>
      </c>
      <c r="V149" s="46">
        <f>44.011*(U149/(12.011+1.008*'Tier 3 CO2 Tables'!B$6+16*'Tier 3 CO2 Tables'!C$6))</f>
        <v>0</v>
      </c>
      <c r="W149" s="46">
        <f>I149*'T3 Methane'!D23</f>
        <v>0</v>
      </c>
      <c r="X149" s="46" cm="1">
        <f t="array" ref="X149">_xlfn.IFS(E149='Euro Age Table'!C$5,'Euro Age Table'!G$5,E149='Euro Age Table'!C$6,'Euro Age Table'!G$6,E149='Euro Age Table'!C$7,'Euro Age Table'!G$7,E149='Euro Age Table'!C$8,'Euro Age Table'!G$8,E149='Euro Age Table'!C$9,'Euro Age Table'!G$9,E149='Euro Age Table'!C$10,'Euro Age Table'!G$10,E149='Euro Age Table'!C$11,'Euro Age Table'!G$11)</f>
        <v>23</v>
      </c>
      <c r="Y149" s="46">
        <f>X149*'Eilat Car Data'!F$7</f>
        <v>1136200</v>
      </c>
      <c r="Z149" s="121">
        <f>'T3 N2O PC-Diesel LPG'!B4</f>
        <v>2</v>
      </c>
      <c r="AA149" s="124">
        <f t="shared" si="10"/>
        <v>0</v>
      </c>
    </row>
    <row r="150" spans="1:27" ht="12.5">
      <c r="A150" s="49" t="s">
        <v>7</v>
      </c>
      <c r="B150" s="49" t="s">
        <v>22</v>
      </c>
      <c r="C150" s="49" t="s">
        <v>52</v>
      </c>
      <c r="D150" s="49" t="s">
        <v>62</v>
      </c>
      <c r="E150" s="50" t="s">
        <v>56</v>
      </c>
      <c r="F150" s="97">
        <v>0</v>
      </c>
      <c r="G150" s="99">
        <f t="shared" si="11"/>
        <v>0</v>
      </c>
      <c r="H150" s="46"/>
      <c r="I150" s="46">
        <f>G150*'Eilat Car Data'!F$7</f>
        <v>0</v>
      </c>
      <c r="J150" s="46">
        <f>I150*'Tier 1 Coefficients'!I$9</f>
        <v>0</v>
      </c>
      <c r="K150" s="46">
        <f t="shared" si="8"/>
        <v>0</v>
      </c>
      <c r="L150" s="46">
        <f>K150*'Tier 1 Coefficients'!D$4</f>
        <v>0</v>
      </c>
      <c r="M150" s="46">
        <f>K150*'Tier 1 Coefficients'!C$20</f>
        <v>0</v>
      </c>
      <c r="N150" s="46">
        <f>K150*'Tier 1 Coefficients'!C$44</f>
        <v>0</v>
      </c>
      <c r="O150" s="46">
        <f>I150*'Tier 2 FC'!D$29</f>
        <v>0</v>
      </c>
      <c r="P150" s="46">
        <f t="shared" si="9"/>
        <v>0</v>
      </c>
      <c r="Q150" s="46">
        <f>P150*'Tier 1 Coefficients'!D$4</f>
        <v>0</v>
      </c>
      <c r="R150" s="46">
        <f>$I150*'T2 LPG'!C13</f>
        <v>0</v>
      </c>
      <c r="S150" s="121">
        <f>$I150*'T2 LPG'!D13</f>
        <v>0</v>
      </c>
      <c r="T150" s="46">
        <f>44.011*(P150/(12.011+1.008*'Tier 3 CO2 Tables'!B$4+16*'Tier 3 CO2 Tables'!C$4))</f>
        <v>0</v>
      </c>
      <c r="U150" s="46">
        <f>I150*'Tier 3 CO2 Tables'!H$9/10000</f>
        <v>0</v>
      </c>
      <c r="V150" s="46">
        <f>44.011*(U150/(12.011+1.008*'Tier 3 CO2 Tables'!B$6+16*'Tier 3 CO2 Tables'!C$6))</f>
        <v>0</v>
      </c>
      <c r="W150" s="46">
        <f>I150*'T3 Methane'!D24</f>
        <v>0</v>
      </c>
      <c r="X150" s="46" cm="1">
        <f t="array" ref="X150">_xlfn.IFS(E150='Euro Age Table'!C$5,'Euro Age Table'!G$5,E150='Euro Age Table'!C$6,'Euro Age Table'!G$6,E150='Euro Age Table'!C$7,'Euro Age Table'!G$7,E150='Euro Age Table'!C$8,'Euro Age Table'!G$8,E150='Euro Age Table'!C$9,'Euro Age Table'!G$9,E150='Euro Age Table'!C$10,'Euro Age Table'!G$10,E150='Euro Age Table'!C$11,'Euro Age Table'!G$11)</f>
        <v>18</v>
      </c>
      <c r="Y150" s="46">
        <f>X150*'Eilat Car Data'!F$7</f>
        <v>889200</v>
      </c>
      <c r="Z150" s="121">
        <f>'T3 N2O PC-Diesel LPG'!B5</f>
        <v>4</v>
      </c>
      <c r="AA150" s="124">
        <f t="shared" si="10"/>
        <v>0</v>
      </c>
    </row>
    <row r="151" spans="1:27" ht="12.5">
      <c r="A151" s="49" t="s">
        <v>7</v>
      </c>
      <c r="B151" s="49" t="s">
        <v>22</v>
      </c>
      <c r="C151" s="49" t="s">
        <v>52</v>
      </c>
      <c r="D151" s="49" t="s">
        <v>62</v>
      </c>
      <c r="E151" s="50" t="s">
        <v>57</v>
      </c>
      <c r="F151" s="97">
        <v>1.3923169419656984E-3</v>
      </c>
      <c r="G151" s="99">
        <f t="shared" si="11"/>
        <v>4.0377191317005255E-2</v>
      </c>
      <c r="H151" s="46"/>
      <c r="I151" s="46">
        <f>G151*'Eilat Car Data'!F$7</f>
        <v>1994.6332510600596</v>
      </c>
      <c r="J151" s="46">
        <f>I151*'Tier 1 Coefficients'!I$9</f>
        <v>159570.66008480475</v>
      </c>
      <c r="K151" s="46">
        <f t="shared" si="8"/>
        <v>159.57066008480476</v>
      </c>
      <c r="L151" s="46">
        <f>K151*'Tier 1 Coefficients'!D$4</f>
        <v>505.67942180874627</v>
      </c>
      <c r="M151" s="46">
        <f>K151*'Tier 1 Coefficients'!C$20</f>
        <v>1022.8479311435985</v>
      </c>
      <c r="N151" s="46">
        <f>K151*'Tier 1 Coefficients'!C$44</f>
        <v>8.9359569647490673</v>
      </c>
      <c r="O151" s="46">
        <f>I151*'Tier 2 FC'!D$29</f>
        <v>159570.66008480475</v>
      </c>
      <c r="P151" s="46">
        <f t="shared" si="9"/>
        <v>159.57066008480476</v>
      </c>
      <c r="Q151" s="46">
        <f>P151*'Tier 1 Coefficients'!D$4</f>
        <v>505.67942180874627</v>
      </c>
      <c r="R151" s="46">
        <f>$I151*'T2 LPG'!C14</f>
        <v>17.951699259540536</v>
      </c>
      <c r="S151" s="121">
        <f>$I151*'T2 LPG'!D14</f>
        <v>925.50982849186767</v>
      </c>
      <c r="T151" s="46">
        <f>44.011*(P151/(12.011+1.008*'Tier 3 CO2 Tables'!B$4+16*'Tier 3 CO2 Tables'!C$4))</f>
        <v>505.75579804753772</v>
      </c>
      <c r="U151" s="46">
        <f>I151*'Tier 3 CO2 Tables'!H$9/10000</f>
        <v>0.29720035440794884</v>
      </c>
      <c r="V151" s="46">
        <f>44.011*(U151/(12.011+1.008*'Tier 3 CO2 Tables'!B$6+16*'Tier 3 CO2 Tables'!C$6))</f>
        <v>0.9271632107034371</v>
      </c>
      <c r="W151" s="46">
        <f>I151*'T3 Methane'!D25</f>
        <v>5983.8997531801788</v>
      </c>
      <c r="X151" s="46" cm="1">
        <f t="array" ref="X151">_xlfn.IFS(E151='Euro Age Table'!C$5,'Euro Age Table'!G$5,E151='Euro Age Table'!C$6,'Euro Age Table'!G$6,E151='Euro Age Table'!C$7,'Euro Age Table'!G$7,E151='Euro Age Table'!C$8,'Euro Age Table'!G$8,E151='Euro Age Table'!C$9,'Euro Age Table'!G$9,E151='Euro Age Table'!C$10,'Euro Age Table'!G$10,E151='Euro Age Table'!C$11,'Euro Age Table'!G$11)</f>
        <v>16</v>
      </c>
      <c r="Y151" s="46">
        <f>X151*'Eilat Car Data'!F$7</f>
        <v>790400</v>
      </c>
      <c r="Z151" s="121">
        <f>'T3 N2O PC-Diesel LPG'!B6</f>
        <v>9</v>
      </c>
      <c r="AA151" s="124">
        <f t="shared" si="10"/>
        <v>17951.699259540535</v>
      </c>
    </row>
    <row r="152" spans="1:27" ht="12.5">
      <c r="A152" s="49" t="s">
        <v>7</v>
      </c>
      <c r="B152" s="49" t="s">
        <v>22</v>
      </c>
      <c r="C152" s="49" t="s">
        <v>52</v>
      </c>
      <c r="D152" s="49" t="s">
        <v>62</v>
      </c>
      <c r="E152" s="50" t="s">
        <v>58</v>
      </c>
      <c r="F152" s="97">
        <v>3.4175052211885323E-3</v>
      </c>
      <c r="G152" s="99">
        <f t="shared" si="11"/>
        <v>9.9107651414467438E-2</v>
      </c>
      <c r="H152" s="46"/>
      <c r="I152" s="46">
        <f>G152*'Eilat Car Data'!F$7</f>
        <v>4895.9179798746918</v>
      </c>
      <c r="J152" s="46">
        <f>I152*'Tier 1 Coefficients'!I$9</f>
        <v>391673.43838997534</v>
      </c>
      <c r="K152" s="46">
        <f t="shared" si="8"/>
        <v>391.67343838997533</v>
      </c>
      <c r="L152" s="46">
        <f>K152*'Tier 1 Coefficients'!D$4</f>
        <v>1241.2131262578318</v>
      </c>
      <c r="M152" s="46">
        <f>K152*'Tier 1 Coefficients'!C$20</f>
        <v>2510.6267400797419</v>
      </c>
      <c r="N152" s="46">
        <f>K152*'Tier 1 Coefficients'!C$44</f>
        <v>21.933712549838621</v>
      </c>
      <c r="O152" s="46">
        <f>I152*'Tier 2 FC'!D$29</f>
        <v>391673.43838997534</v>
      </c>
      <c r="P152" s="46">
        <f t="shared" si="9"/>
        <v>391.67343838997533</v>
      </c>
      <c r="Q152" s="46">
        <f>P152*'Tier 1 Coefficients'!D$4</f>
        <v>1241.2131262578318</v>
      </c>
      <c r="R152" s="46">
        <f>$I152*'T2 LPG'!C15</f>
        <v>44.06326181887222</v>
      </c>
      <c r="S152" s="121">
        <f>$I152*'T2 LPG'!D15</f>
        <v>1948.5753559901275</v>
      </c>
      <c r="T152" s="46">
        <f>44.011*(P152/(12.011+1.008*'Tier 3 CO2 Tables'!B$4+16*'Tier 3 CO2 Tables'!C$4))</f>
        <v>1241.4005952075925</v>
      </c>
      <c r="U152" s="46">
        <f>I152*'Tier 3 CO2 Tables'!H$9/10000</f>
        <v>0.72949177900132911</v>
      </c>
      <c r="V152" s="46">
        <f>44.011*(U152/(12.011+1.008*'Tier 3 CO2 Tables'!B$6+16*'Tier 3 CO2 Tables'!C$6))</f>
        <v>2.2757642444538915</v>
      </c>
      <c r="W152" s="46">
        <f>I152*'T3 Methane'!D26</f>
        <v>5385.5097778621612</v>
      </c>
      <c r="X152" s="46" cm="1">
        <f t="array" ref="X152">_xlfn.IFS(E152='Euro Age Table'!C$5,'Euro Age Table'!G$5,E152='Euro Age Table'!C$6,'Euro Age Table'!G$6,E152='Euro Age Table'!C$7,'Euro Age Table'!G$7,E152='Euro Age Table'!C$8,'Euro Age Table'!G$8,E152='Euro Age Table'!C$9,'Euro Age Table'!G$9,E152='Euro Age Table'!C$10,'Euro Age Table'!G$10,E152='Euro Age Table'!C$11,'Euro Age Table'!G$11)</f>
        <v>13</v>
      </c>
      <c r="Y152" s="46">
        <f>X152*'Eilat Car Data'!F$7</f>
        <v>642200</v>
      </c>
      <c r="Z152" s="121">
        <f>'T3 N2O PC-Diesel LPG'!B6</f>
        <v>9</v>
      </c>
      <c r="AA152" s="124">
        <f t="shared" si="10"/>
        <v>44063.261818872226</v>
      </c>
    </row>
    <row r="153" spans="1:27" ht="12.5">
      <c r="A153" s="49" t="s">
        <v>7</v>
      </c>
      <c r="B153" s="49" t="s">
        <v>22</v>
      </c>
      <c r="C153" s="49" t="s">
        <v>52</v>
      </c>
      <c r="D153" s="49" t="s">
        <v>62</v>
      </c>
      <c r="E153" s="50" t="s">
        <v>59</v>
      </c>
      <c r="F153" s="97">
        <v>9.936079994937029E-3</v>
      </c>
      <c r="G153" s="99">
        <f t="shared" si="11"/>
        <v>0.28814631985317385</v>
      </c>
      <c r="H153" s="46"/>
      <c r="I153" s="46">
        <f>G153*'Eilat Car Data'!F$7</f>
        <v>14234.428200746788</v>
      </c>
      <c r="J153" s="46">
        <f>I153*'Tier 1 Coefficients'!I$9</f>
        <v>1138754.256059743</v>
      </c>
      <c r="K153" s="46">
        <f t="shared" si="8"/>
        <v>1138.7542560597431</v>
      </c>
      <c r="L153" s="46">
        <f>K153*'Tier 1 Coefficients'!D$4</f>
        <v>3608.712237453326</v>
      </c>
      <c r="M153" s="46">
        <f>K153*'Tier 1 Coefficients'!C$20</f>
        <v>7299.4147813429536</v>
      </c>
      <c r="N153" s="46">
        <f>K153*'Tier 1 Coefficients'!C$44</f>
        <v>63.77023833934561</v>
      </c>
      <c r="O153" s="46">
        <f>I153*'Tier 2 FC'!D$29</f>
        <v>1138754.256059743</v>
      </c>
      <c r="P153" s="46">
        <f t="shared" si="9"/>
        <v>1138.7542560597431</v>
      </c>
      <c r="Q153" s="46">
        <f>P153*'Tier 1 Coefficients'!D$4</f>
        <v>3608.712237453326</v>
      </c>
      <c r="R153" s="46">
        <f>$I153*'T2 LPG'!C16</f>
        <v>56.937712802987157</v>
      </c>
      <c r="S153" s="121">
        <f>$I153*'T2 LPG'!D16</f>
        <v>5665.3024238972221</v>
      </c>
      <c r="T153" s="46">
        <f>44.011*(P153/(12.011+1.008*'Tier 3 CO2 Tables'!B$4+16*'Tier 3 CO2 Tables'!C$4))</f>
        <v>3609.2572860665191</v>
      </c>
      <c r="U153" s="46">
        <f>I153*'Tier 3 CO2 Tables'!H$9/10000</f>
        <v>2.1209298019112715</v>
      </c>
      <c r="V153" s="46">
        <f>44.011*(U153/(12.011+1.008*'Tier 3 CO2 Tables'!B$6+16*'Tier 3 CO2 Tables'!C$6))</f>
        <v>6.6165738218381653</v>
      </c>
      <c r="W153" s="46">
        <f>I153*'T3 Methane'!D27</f>
        <v>106.75821150560091</v>
      </c>
      <c r="X153" s="46" cm="1">
        <f t="array" ref="X153">_xlfn.IFS(E153='Euro Age Table'!C$5,'Euro Age Table'!G$5,E153='Euro Age Table'!C$6,'Euro Age Table'!G$6,E153='Euro Age Table'!C$7,'Euro Age Table'!G$7,E153='Euro Age Table'!C$8,'Euro Age Table'!G$8,E153='Euro Age Table'!C$9,'Euro Age Table'!G$9,E153='Euro Age Table'!C$10,'Euro Age Table'!G$10,E153='Euro Age Table'!C$11,'Euro Age Table'!G$11)</f>
        <v>9</v>
      </c>
      <c r="Y153" s="46">
        <f>X153*'Eilat Car Data'!F$7</f>
        <v>444600</v>
      </c>
      <c r="Z153" s="121">
        <f>'T3 N2O PC-Diesel LPG'!B6</f>
        <v>9</v>
      </c>
      <c r="AA153" s="124">
        <f t="shared" si="10"/>
        <v>128109.85380672109</v>
      </c>
    </row>
    <row r="154" spans="1:27" ht="12.5">
      <c r="A154" s="49" t="s">
        <v>7</v>
      </c>
      <c r="B154" s="49" t="s">
        <v>22</v>
      </c>
      <c r="C154" s="51" t="s">
        <v>52</v>
      </c>
      <c r="D154" s="51" t="s">
        <v>62</v>
      </c>
      <c r="E154" s="51" t="s">
        <v>60</v>
      </c>
      <c r="F154" s="97">
        <v>0</v>
      </c>
      <c r="G154" s="99">
        <f t="shared" si="11"/>
        <v>0</v>
      </c>
      <c r="H154" s="46"/>
      <c r="I154" s="46">
        <f>G154*'Eilat Car Data'!F$7</f>
        <v>0</v>
      </c>
      <c r="J154" s="46">
        <f>I154*'Tier 1 Coefficients'!I$9</f>
        <v>0</v>
      </c>
      <c r="K154" s="46">
        <f t="shared" si="8"/>
        <v>0</v>
      </c>
      <c r="L154" s="46">
        <f>K154*'Tier 1 Coefficients'!D$4</f>
        <v>0</v>
      </c>
      <c r="M154" s="46">
        <f>K154*'Tier 1 Coefficients'!C$20</f>
        <v>0</v>
      </c>
      <c r="N154" s="46">
        <f>K154*'Tier 1 Coefficients'!C$44</f>
        <v>0</v>
      </c>
      <c r="O154" s="46">
        <f>I154*'Tier 2 FC'!D$29</f>
        <v>0</v>
      </c>
      <c r="P154" s="46">
        <f t="shared" si="9"/>
        <v>0</v>
      </c>
      <c r="Q154" s="46">
        <f>P154*'Tier 1 Coefficients'!D$4</f>
        <v>0</v>
      </c>
      <c r="R154" s="46">
        <f>$I154*'T2 LPG'!C17</f>
        <v>0</v>
      </c>
      <c r="S154" s="121">
        <f>$I154*'T2 LPG'!D17</f>
        <v>0</v>
      </c>
      <c r="T154" s="46">
        <f>44.011*(P154/(12.011+1.008*'Tier 3 CO2 Tables'!B$4+16*'Tier 3 CO2 Tables'!C$4))</f>
        <v>0</v>
      </c>
      <c r="U154" s="46">
        <f>I154*'Tier 3 CO2 Tables'!H$10/10000</f>
        <v>0</v>
      </c>
      <c r="V154" s="46">
        <f>44.011*(U154/(12.011+1.008*'Tier 3 CO2 Tables'!B$6+16*'Tier 3 CO2 Tables'!C$6))</f>
        <v>0</v>
      </c>
      <c r="W154" s="46">
        <f>I154*'T3 Methane'!D27</f>
        <v>0</v>
      </c>
      <c r="X154" s="46" cm="1">
        <f t="array" ref="X154">_xlfn.IFS(E154='Euro Age Table'!C$5,'Euro Age Table'!G$5,E154='Euro Age Table'!C$6,'Euro Age Table'!G$6,E154='Euro Age Table'!C$7,'Euro Age Table'!G$7,E154='Euro Age Table'!C$8,'Euro Age Table'!G$8,E154='Euro Age Table'!C$9,'Euro Age Table'!G$9,E154='Euro Age Table'!C$10,'Euro Age Table'!G$10,E154='Euro Age Table'!C$11,'Euro Age Table'!G$11)</f>
        <v>3</v>
      </c>
      <c r="Y154" s="46">
        <f>X154*'Eilat Car Data'!F$7</f>
        <v>148200</v>
      </c>
      <c r="Z154" s="121">
        <f>'T3 N2O PC-Diesel LPG'!B7</f>
        <v>11</v>
      </c>
      <c r="AA154" s="124">
        <f t="shared" si="10"/>
        <v>0</v>
      </c>
    </row>
    <row r="155" spans="1:27" ht="12.5">
      <c r="A155" s="49" t="s">
        <v>7</v>
      </c>
      <c r="B155" s="52" t="s">
        <v>20</v>
      </c>
      <c r="C155" s="49" t="s">
        <v>65</v>
      </c>
      <c r="D155" s="49" t="s">
        <v>66</v>
      </c>
      <c r="E155" s="50" t="s">
        <v>55</v>
      </c>
      <c r="F155" s="97">
        <v>0</v>
      </c>
      <c r="G155" s="99">
        <f t="shared" si="11"/>
        <v>0</v>
      </c>
      <c r="H155" s="76"/>
      <c r="I155" s="46">
        <f>G155*'Eilat Car Data'!F$7</f>
        <v>0</v>
      </c>
      <c r="J155" s="46">
        <f>I155*'Tier 1 Coefficients'!I$8</f>
        <v>0</v>
      </c>
      <c r="K155" s="46">
        <f t="shared" si="8"/>
        <v>0</v>
      </c>
      <c r="L155" s="46">
        <f>K155*'Tier 1 Coefficients'!D$3</f>
        <v>0</v>
      </c>
      <c r="M155" s="46">
        <f>K155*'Tier 1 Coefficients'!C$18</f>
        <v>0</v>
      </c>
      <c r="N155" s="46">
        <f>K155*'Tier 1 Coefficients'!C$43</f>
        <v>0</v>
      </c>
      <c r="O155" s="46">
        <f>I155*'Tier 2 FC'!D$27</f>
        <v>0</v>
      </c>
      <c r="P155" s="46">
        <f t="shared" si="9"/>
        <v>0</v>
      </c>
      <c r="Q155" s="46">
        <f>P155*'Tier 1 Coefficients'!D$3</f>
        <v>0</v>
      </c>
      <c r="R155" s="46">
        <f>$I155*'T2 LPG'!C3</f>
        <v>0</v>
      </c>
      <c r="S155" s="121">
        <f>$I155*'T2 LPG'!D3</f>
        <v>0</v>
      </c>
      <c r="T155" s="46">
        <f>44.011*(P155/(12.011+1.008*'Tier 3 CO2 Tables'!B$3+16*'Tier 3 CO2 Tables'!C$3))</f>
        <v>0</v>
      </c>
      <c r="U155" s="46">
        <f>I155*'Tier 3 CO2 Tables'!H$7/10000</f>
        <v>0</v>
      </c>
      <c r="V155" s="46">
        <f>44.011*(U155/(12.011+1.008*'Tier 3 CO2 Tables'!B$6+16*'Tier 3 CO2 Tables'!C$6))</f>
        <v>0</v>
      </c>
      <c r="W155" s="46">
        <f>I155*'T3 Methane'!D18</f>
        <v>0</v>
      </c>
      <c r="X155" s="46" cm="1">
        <f t="array" ref="X155">_xlfn.IFS(E155='Euro Age Table'!C$5,'Euro Age Table'!G$5,E155='Euro Age Table'!C$6,'Euro Age Table'!G$6,E155='Euro Age Table'!C$7,'Euro Age Table'!G$7,E155='Euro Age Table'!C$8,'Euro Age Table'!G$8,E155='Euro Age Table'!C$9,'Euro Age Table'!G$9,E155='Euro Age Table'!C$10,'Euro Age Table'!G$10,E155='Euro Age Table'!C$11,'Euro Age Table'!G$11)</f>
        <v>23</v>
      </c>
      <c r="Y155" s="46">
        <f>X155*'Eilat Car Data'!F$7</f>
        <v>1136200</v>
      </c>
      <c r="Z155" s="121">
        <f>('T3 N2O LCV-Petrol'!D3*Y155+'T3 N2O LCV-Petrol'!E3)*'T3 N2O LCV-Petrol'!C3</f>
        <v>131.859859</v>
      </c>
      <c r="AA155" s="124">
        <f t="shared" si="10"/>
        <v>0</v>
      </c>
    </row>
    <row r="156" spans="1:27" ht="12.5">
      <c r="A156" s="49" t="s">
        <v>7</v>
      </c>
      <c r="B156" s="49" t="s">
        <v>20</v>
      </c>
      <c r="C156" s="49" t="s">
        <v>65</v>
      </c>
      <c r="D156" s="49" t="s">
        <v>66</v>
      </c>
      <c r="E156" s="50" t="s">
        <v>59</v>
      </c>
      <c r="F156" s="97">
        <v>1.2657426745142712E-4</v>
      </c>
      <c r="G156" s="99">
        <f t="shared" si="11"/>
        <v>3.6706537560913864E-3</v>
      </c>
      <c r="H156" s="76"/>
      <c r="I156" s="46">
        <f>G156*'Eilat Car Data'!F$7</f>
        <v>181.33029555091449</v>
      </c>
      <c r="J156" s="46">
        <f>I156*'Tier 1 Coefficients'!I$8</f>
        <v>18133.029555091449</v>
      </c>
      <c r="K156" s="46">
        <f t="shared" si="8"/>
        <v>18.133029555091447</v>
      </c>
      <c r="L156" s="46">
        <f>K156*'Tier 1 Coefficients'!D$3</f>
        <v>57.463570660084798</v>
      </c>
      <c r="M156" s="46">
        <f>K156*'Tier 1 Coefficients'!C$19</f>
        <v>110.06748939940509</v>
      </c>
      <c r="N156" s="46">
        <f>K156*'Tier 1 Coefficients'!C$43</f>
        <v>3.3727434972470092</v>
      </c>
      <c r="O156" s="46">
        <f>I156*'Tier 2 FC'!D$27</f>
        <v>12693.120688564013</v>
      </c>
      <c r="P156" s="46">
        <f t="shared" si="9"/>
        <v>12.693120688564013</v>
      </c>
      <c r="Q156" s="46">
        <f>P156*'Tier 1 Coefficients'!D$3</f>
        <v>40.224499462059356</v>
      </c>
      <c r="R156" s="46">
        <f>$I156*'T2 LPG'!C7</f>
        <v>0.23572938421618883</v>
      </c>
      <c r="S156" s="121">
        <f>$I156*'T2 LPG'!D7</f>
        <v>72.169457629263974</v>
      </c>
      <c r="T156" s="46">
        <f>44.011*(P156/(12.011+1.008*'Tier 3 CO2 Tables'!B$3+16*'Tier 3 CO2 Tables'!C$3))</f>
        <v>40.230574844690487</v>
      </c>
      <c r="U156" s="46">
        <f>I156*'Tier 3 CO2 Tables'!H$7/10000</f>
        <v>2.6292892854882597E-2</v>
      </c>
      <c r="V156" s="46">
        <f>44.011*(U156/(12.011+1.008*'Tier 3 CO2 Tables'!B$6+16*'Tier 3 CO2 Tables'!C$6))</f>
        <v>8.2024811197070391E-2</v>
      </c>
      <c r="W156" s="46">
        <f>I156*'T3 Methane'!D21</f>
        <v>362.66059110182897</v>
      </c>
      <c r="X156" s="46" cm="1">
        <f t="array" ref="X156">_xlfn.IFS(E156='Euro Age Table'!C$5,'Euro Age Table'!G$5,E156='Euro Age Table'!C$6,'Euro Age Table'!G$6,E156='Euro Age Table'!C$7,'Euro Age Table'!G$7,E156='Euro Age Table'!C$8,'Euro Age Table'!G$8,E156='Euro Age Table'!C$9,'Euro Age Table'!G$9,E156='Euro Age Table'!C$10,'Euro Age Table'!G$10,E156='Euro Age Table'!C$11,'Euro Age Table'!G$11)</f>
        <v>9</v>
      </c>
      <c r="Y156" s="46">
        <f>X156*'Eilat Car Data'!F$7</f>
        <v>444600</v>
      </c>
      <c r="Z156" s="121">
        <f>('T3 N2O LCV-Petrol'!D7*Y156+'T3 N2O LCV-Petrol'!E7)*'T3 N2O LCV-Petrol'!C7</f>
        <v>2.9018923199999995</v>
      </c>
      <c r="AA156" s="124">
        <f t="shared" si="10"/>
        <v>526.20099204252881</v>
      </c>
    </row>
    <row r="157" spans="1:27" ht="12.5">
      <c r="A157" s="49" t="s">
        <v>7</v>
      </c>
      <c r="B157" s="49" t="s">
        <v>20</v>
      </c>
      <c r="C157" s="49" t="s">
        <v>65</v>
      </c>
      <c r="D157" s="49" t="s">
        <v>66</v>
      </c>
      <c r="E157" s="51" t="s">
        <v>60</v>
      </c>
      <c r="F157" s="97">
        <v>1.2657426745142712E-4</v>
      </c>
      <c r="G157" s="99">
        <f t="shared" si="11"/>
        <v>3.6706537560913864E-3</v>
      </c>
      <c r="H157" s="76"/>
      <c r="I157" s="46">
        <f>G157*'Eilat Car Data'!F$7</f>
        <v>181.33029555091449</v>
      </c>
      <c r="J157" s="46">
        <f>I157*'Tier 1 Coefficients'!I$8</f>
        <v>18133.029555091449</v>
      </c>
      <c r="K157" s="46">
        <f t="shared" si="8"/>
        <v>18.133029555091447</v>
      </c>
      <c r="L157" s="46">
        <f>K157*'Tier 1 Coefficients'!D$3</f>
        <v>57.463570660084798</v>
      </c>
      <c r="M157" s="46">
        <f>K157*'Tier 1 Coefficients'!C$19</f>
        <v>110.06748939940509</v>
      </c>
      <c r="N157" s="46">
        <f>K157*'Tier 1 Coefficients'!C$43</f>
        <v>3.3727434972470092</v>
      </c>
      <c r="O157" s="46">
        <f>I157*'Tier 2 FC'!D$27</f>
        <v>12693.120688564013</v>
      </c>
      <c r="P157" s="46">
        <f t="shared" si="9"/>
        <v>12.693120688564013</v>
      </c>
      <c r="Q157" s="46">
        <f>P157*'Tier 1 Coefficients'!D$3</f>
        <v>40.224499462059356</v>
      </c>
      <c r="R157" s="46">
        <f>$I157*'T2 LPG'!C8</f>
        <v>0.23572938421618883</v>
      </c>
      <c r="S157" s="121">
        <f>$I157*'T2 LPG'!D8</f>
        <v>72.169457629263974</v>
      </c>
      <c r="T157" s="46">
        <f>44.011*(P157/(12.011+1.008*'Tier 3 CO2 Tables'!B$3+16*'Tier 3 CO2 Tables'!C$3))</f>
        <v>40.230574844690487</v>
      </c>
      <c r="U157" s="46">
        <f>I157*'Tier 3 CO2 Tables'!H$8/10000</f>
        <v>2.3210277830517056E-2</v>
      </c>
      <c r="V157" s="46">
        <f>44.011*(U157/(12.011+1.008*'Tier 3 CO2 Tables'!B$6+16*'Tier 3 CO2 Tables'!C$6))</f>
        <v>7.2408109194655249E-2</v>
      </c>
      <c r="W157" s="46">
        <f>I157*'T3 Methane'!D21</f>
        <v>362.66059110182897</v>
      </c>
      <c r="X157" s="46" cm="1">
        <f t="array" ref="X157">_xlfn.IFS(E157='Euro Age Table'!C$5,'Euro Age Table'!G$5,E157='Euro Age Table'!C$6,'Euro Age Table'!G$6,E157='Euro Age Table'!C$7,'Euro Age Table'!G$7,E157='Euro Age Table'!C$8,'Euro Age Table'!G$8,E157='Euro Age Table'!C$9,'Euro Age Table'!G$9,E157='Euro Age Table'!C$10,'Euro Age Table'!G$10,E157='Euro Age Table'!C$11,'Euro Age Table'!G$11)</f>
        <v>3</v>
      </c>
      <c r="Y157" s="46">
        <f>X157*'Eilat Car Data'!F$7</f>
        <v>148200</v>
      </c>
      <c r="Z157" s="121">
        <f>('T3 N2O LCV-Petrol'!D8*Y157+'T3 N2O LCV-Petrol'!E8)*'T3 N2O LCV-Petrol'!C8</f>
        <v>2.34489744</v>
      </c>
      <c r="AA157" s="124">
        <f t="shared" si="10"/>
        <v>425.20094583178275</v>
      </c>
    </row>
    <row r="158" spans="1:27" ht="12.5">
      <c r="A158" s="49" t="s">
        <v>7</v>
      </c>
      <c r="B158" s="52" t="s">
        <v>23</v>
      </c>
      <c r="C158" s="49" t="s">
        <v>65</v>
      </c>
      <c r="D158" s="49" t="s">
        <v>66</v>
      </c>
      <c r="E158" s="50" t="s">
        <v>55</v>
      </c>
      <c r="F158" s="97">
        <v>0</v>
      </c>
      <c r="G158" s="99">
        <f t="shared" si="11"/>
        <v>0</v>
      </c>
      <c r="H158" s="76" t="s">
        <v>167</v>
      </c>
      <c r="I158" s="46">
        <f>G158*'Eilat Car Data'!F$7</f>
        <v>0</v>
      </c>
      <c r="J158" s="46">
        <f>I158*'Tier 1 Coefficients'!I$5/0.75</f>
        <v>0</v>
      </c>
      <c r="K158" s="46">
        <f t="shared" si="8"/>
        <v>0</v>
      </c>
      <c r="L158" s="46">
        <f>K158*'Tier 1 Coefficients'!D$5</f>
        <v>0</v>
      </c>
      <c r="M158" s="46">
        <f>K158*'Tier 1 Coefficients'!C$19</f>
        <v>0</v>
      </c>
      <c r="N158" s="46">
        <f>K158*'Tier 1 Coefficients'!C$44*1.02</f>
        <v>0</v>
      </c>
      <c r="O158" s="46">
        <f>I158*'Tier 2 FC'!D$29*1.28</f>
        <v>0</v>
      </c>
      <c r="P158" s="46">
        <f t="shared" si="9"/>
        <v>0</v>
      </c>
      <c r="Q158" s="46">
        <f>P158*'Tier 1 Coefficients'!D$5</f>
        <v>0</v>
      </c>
      <c r="R158" s="46"/>
      <c r="S158" s="46"/>
      <c r="T158" s="46">
        <f>44.011*(P158/(12.011+1.008*'Tier 3 CO2 Tables'!B$5+16*'Tier 3 CO2 Tables'!C$5))</f>
        <v>0</v>
      </c>
      <c r="U158" s="46">
        <f>I158*'Tier 3 CO2 Tables'!H3/10000</f>
        <v>0</v>
      </c>
      <c r="V158" s="46">
        <f>44.011*(U158/(12.011+1.008*'Tier 3 CO2 Tables'!B$6+16*'Tier 3 CO2 Tables'!C$6))</f>
        <v>0</v>
      </c>
      <c r="W158" s="46">
        <f>I158*'T3 Methane'!D$13</f>
        <v>0</v>
      </c>
      <c r="X158" s="46" cm="1">
        <f t="array" ref="X158">_xlfn.IFS(E158='Euro Age Table'!C$5,'Euro Age Table'!G$5,E158='Euro Age Table'!C$6,'Euro Age Table'!G$6,E158='Euro Age Table'!C$7,'Euro Age Table'!G$7,E158='Euro Age Table'!C$8,'Euro Age Table'!G$8,E158='Euro Age Table'!C$9,'Euro Age Table'!G$9,E158='Euro Age Table'!C$10,'Euro Age Table'!G$10,E158='Euro Age Table'!C$11,'Euro Age Table'!G$11)</f>
        <v>23</v>
      </c>
      <c r="Y158" s="46">
        <f>X158*'Eilat Car Data'!F$7</f>
        <v>1136200</v>
      </c>
      <c r="Z158" s="121">
        <f>'T3 N2O PC-Diesel LPG'!B10</f>
        <v>21</v>
      </c>
      <c r="AA158" s="124">
        <f t="shared" si="10"/>
        <v>0</v>
      </c>
    </row>
    <row r="159" spans="1:27" ht="12.5">
      <c r="A159" s="49" t="s">
        <v>7</v>
      </c>
      <c r="B159" s="51" t="s">
        <v>23</v>
      </c>
      <c r="C159" s="49" t="s">
        <v>65</v>
      </c>
      <c r="D159" s="49" t="s">
        <v>66</v>
      </c>
      <c r="E159" s="51" t="s">
        <v>60</v>
      </c>
      <c r="F159" s="97">
        <v>0</v>
      </c>
      <c r="G159" s="99">
        <f t="shared" si="11"/>
        <v>0</v>
      </c>
      <c r="H159" s="76" t="s">
        <v>167</v>
      </c>
      <c r="I159" s="46">
        <f>G159*'Eilat Car Data'!F$7</f>
        <v>0</v>
      </c>
      <c r="J159" s="46">
        <f>I159*'Tier 1 Coefficients'!I$5/0.75</f>
        <v>0</v>
      </c>
      <c r="K159" s="46">
        <f t="shared" si="8"/>
        <v>0</v>
      </c>
      <c r="L159" s="46">
        <f>K159*'Tier 1 Coefficients'!D$5</f>
        <v>0</v>
      </c>
      <c r="M159" s="46">
        <f>K159*'Tier 1 Coefficients'!C$19</f>
        <v>0</v>
      </c>
      <c r="N159" s="46">
        <f>K159*'Tier 1 Coefficients'!C$44*1.02</f>
        <v>0</v>
      </c>
      <c r="O159" s="46">
        <f>I159*'Tier 2 FC'!D$29*1.28</f>
        <v>0</v>
      </c>
      <c r="P159" s="46">
        <f t="shared" si="9"/>
        <v>0</v>
      </c>
      <c r="Q159" s="46">
        <f>P159*'Tier 1 Coefficients'!D$5</f>
        <v>0</v>
      </c>
      <c r="R159" s="46"/>
      <c r="S159" s="46"/>
      <c r="T159" s="46">
        <f>44.011*(P159/(12.011+1.008*'Tier 3 CO2 Tables'!B$5+16*'Tier 3 CO2 Tables'!C$5))</f>
        <v>0</v>
      </c>
      <c r="U159" s="46">
        <f>I159*'Tier 3 CO2 Tables'!H4/10000</f>
        <v>0</v>
      </c>
      <c r="V159" s="46">
        <f>44.011*(U159/(12.011+1.008*'Tier 3 CO2 Tables'!B$6+16*'Tier 3 CO2 Tables'!C$6))</f>
        <v>0</v>
      </c>
      <c r="W159" s="46">
        <f>I159*'T3 Methane'!D$13</f>
        <v>0</v>
      </c>
      <c r="X159" s="46" cm="1">
        <f t="array" ref="X159">_xlfn.IFS(E159='Euro Age Table'!C$5,'Euro Age Table'!G$5,E159='Euro Age Table'!C$6,'Euro Age Table'!G$6,E159='Euro Age Table'!C$7,'Euro Age Table'!G$7,E159='Euro Age Table'!C$8,'Euro Age Table'!G$8,E159='Euro Age Table'!C$9,'Euro Age Table'!G$9,E159='Euro Age Table'!C$10,'Euro Age Table'!G$10,E159='Euro Age Table'!C$11,'Euro Age Table'!G$11)</f>
        <v>3</v>
      </c>
      <c r="Y159" s="46">
        <f>X159*'Eilat Car Data'!F$7</f>
        <v>148200</v>
      </c>
      <c r="Z159" s="121">
        <f>'T3 N2O PC-Diesel LPG'!B15</f>
        <v>2.1</v>
      </c>
      <c r="AA159" s="124">
        <f t="shared" si="10"/>
        <v>0</v>
      </c>
    </row>
    <row r="160" spans="1:27" ht="12.5">
      <c r="A160" s="49" t="s">
        <v>7</v>
      </c>
      <c r="B160" s="49" t="s">
        <v>22</v>
      </c>
      <c r="C160" s="49" t="s">
        <v>65</v>
      </c>
      <c r="D160" s="49" t="s">
        <v>66</v>
      </c>
      <c r="E160" s="50" t="s">
        <v>55</v>
      </c>
      <c r="F160" s="97">
        <v>2.5314853490285424E-4</v>
      </c>
      <c r="G160" s="99">
        <f t="shared" si="11"/>
        <v>7.3413075121827728E-3</v>
      </c>
      <c r="H160" s="76"/>
      <c r="I160" s="46">
        <f>G160*'Eilat Car Data'!F$7</f>
        <v>362.66059110182897</v>
      </c>
      <c r="J160" s="46">
        <f>I160*'Tier 1 Coefficients'!I$9</f>
        <v>29012.847288146317</v>
      </c>
      <c r="K160" s="46">
        <f t="shared" si="8"/>
        <v>29.012847288146318</v>
      </c>
      <c r="L160" s="46">
        <f>K160*'Tier 1 Coefficients'!D$4</f>
        <v>91.941713056135683</v>
      </c>
      <c r="M160" s="46">
        <f>K160*'Tier 1 Coefficients'!C$20</f>
        <v>185.97235111701789</v>
      </c>
      <c r="N160" s="46">
        <f>K160*'Tier 1 Coefficients'!C$44</f>
        <v>1.624719448136194</v>
      </c>
      <c r="O160" s="46">
        <f>I160*'Tier 2 FC'!D$29</f>
        <v>29012.847288146317</v>
      </c>
      <c r="P160" s="46">
        <f t="shared" si="9"/>
        <v>29.012847288146318</v>
      </c>
      <c r="Q160" s="46">
        <f>P160*'Tier 1 Coefficients'!D$4</f>
        <v>91.941713056135683</v>
      </c>
      <c r="R160" s="46">
        <f>$I160*'T2 LPG'!C12</f>
        <v>1.0879817733054868</v>
      </c>
      <c r="S160" s="121">
        <f>$I160*'T2 LPG'!D12</f>
        <v>216.14571229669005</v>
      </c>
      <c r="T160" s="46">
        <f>44.011*(P160/(12.011+1.008*'Tier 3 CO2 Tables'!B$4+16*'Tier 3 CO2 Tables'!C$4))</f>
        <v>91.955599645006856</v>
      </c>
      <c r="U160" s="46">
        <f>I160*'Tier 3 CO2 Tables'!H$9/10000</f>
        <v>5.4036428074172513E-2</v>
      </c>
      <c r="V160" s="46">
        <f>44.011*(U160/(12.011+1.008*'Tier 3 CO2 Tables'!B$6+16*'Tier 3 CO2 Tables'!C$6))</f>
        <v>0.16857512921880674</v>
      </c>
      <c r="W160" s="46">
        <f>I160*'T3 Methane'!D23</f>
        <v>3989.2665021201187</v>
      </c>
      <c r="X160" s="46" cm="1">
        <f t="array" ref="X160">_xlfn.IFS(E160='Euro Age Table'!C$5,'Euro Age Table'!G$5,E160='Euro Age Table'!C$6,'Euro Age Table'!G$6,E160='Euro Age Table'!C$7,'Euro Age Table'!G$7,E160='Euro Age Table'!C$8,'Euro Age Table'!G$8,E160='Euro Age Table'!C$9,'Euro Age Table'!G$9,E160='Euro Age Table'!C$10,'Euro Age Table'!G$10,E160='Euro Age Table'!C$11,'Euro Age Table'!G$11)</f>
        <v>23</v>
      </c>
      <c r="Y160" s="46">
        <f>X160*'Eilat Car Data'!F$7</f>
        <v>1136200</v>
      </c>
      <c r="Z160" s="123">
        <f>'T3 N2O PC-Diesel LPG'!B4</f>
        <v>2</v>
      </c>
      <c r="AA160" s="124">
        <f t="shared" si="10"/>
        <v>725.32118220365794</v>
      </c>
    </row>
    <row r="161" spans="1:27" ht="12.5">
      <c r="A161" s="49" t="s">
        <v>7</v>
      </c>
      <c r="B161" s="49" t="s">
        <v>22</v>
      </c>
      <c r="C161" s="49" t="s">
        <v>65</v>
      </c>
      <c r="D161" s="49" t="s">
        <v>66</v>
      </c>
      <c r="E161" s="50" t="s">
        <v>56</v>
      </c>
      <c r="F161" s="97">
        <v>1.5125624960445542E-2</v>
      </c>
      <c r="G161" s="99">
        <f t="shared" si="11"/>
        <v>0.4386431238529207</v>
      </c>
      <c r="H161" s="76"/>
      <c r="I161" s="46">
        <f>G161*'Eilat Car Data'!F$7</f>
        <v>21668.970318334283</v>
      </c>
      <c r="J161" s="46">
        <f>I161*'Tier 1 Coefficients'!I$9</f>
        <v>1733517.6254667426</v>
      </c>
      <c r="K161" s="46">
        <f t="shared" si="8"/>
        <v>1733.5176254667426</v>
      </c>
      <c r="L161" s="46">
        <f>K161*'Tier 1 Coefficients'!D$4</f>
        <v>5493.5173551041071</v>
      </c>
      <c r="M161" s="46">
        <f>K161*'Tier 1 Coefficients'!C$20</f>
        <v>11111.84797924182</v>
      </c>
      <c r="N161" s="46">
        <f>K161*'Tier 1 Coefficients'!C$44</f>
        <v>97.076987026137587</v>
      </c>
      <c r="O161" s="46">
        <f>I161*'Tier 2 FC'!D$29</f>
        <v>1733517.6254667426</v>
      </c>
      <c r="P161" s="46">
        <f t="shared" si="9"/>
        <v>1733.5176254667426</v>
      </c>
      <c r="Q161" s="46">
        <f>P161*'Tier 1 Coefficients'!D$4</f>
        <v>5493.5173551041071</v>
      </c>
      <c r="R161" s="46">
        <f>$I161*'T2 LPG'!C13</f>
        <v>130.0138219100057</v>
      </c>
      <c r="S161" s="121">
        <f>$I161*'T2 LPG'!D13</f>
        <v>11484.554268717171</v>
      </c>
      <c r="T161" s="46">
        <f>44.011*(P161/(12.011+1.008*'Tier 3 CO2 Tables'!B$4+16*'Tier 3 CO2 Tables'!C$4))</f>
        <v>5494.3470787891602</v>
      </c>
      <c r="U161" s="46">
        <f>I161*'Tier 3 CO2 Tables'!H$9/10000</f>
        <v>3.2286765774318082</v>
      </c>
      <c r="V161" s="46">
        <f>44.011*(U161/(12.011+1.008*'Tier 3 CO2 Tables'!B$6+16*'Tier 3 CO2 Tables'!C$6))</f>
        <v>10.072363970823705</v>
      </c>
      <c r="W161" s="46">
        <f>I161*'T3 Methane'!D24</f>
        <v>151682.79222833997</v>
      </c>
      <c r="X161" s="46" cm="1">
        <f t="array" ref="X161">_xlfn.IFS(E161='Euro Age Table'!C$5,'Euro Age Table'!G$5,E161='Euro Age Table'!C$6,'Euro Age Table'!G$6,E161='Euro Age Table'!C$7,'Euro Age Table'!G$7,E161='Euro Age Table'!C$8,'Euro Age Table'!G$8,E161='Euro Age Table'!C$9,'Euro Age Table'!G$9,E161='Euro Age Table'!C$10,'Euro Age Table'!G$10,E161='Euro Age Table'!C$11,'Euro Age Table'!G$11)</f>
        <v>18</v>
      </c>
      <c r="Y161" s="46">
        <f>X161*'Eilat Car Data'!F$7</f>
        <v>889200</v>
      </c>
      <c r="Z161" s="123">
        <f>'T3 N2O PC-Diesel LPG'!B5</f>
        <v>4</v>
      </c>
      <c r="AA161" s="124">
        <f t="shared" si="10"/>
        <v>86675.881273337131</v>
      </c>
    </row>
    <row r="162" spans="1:27" ht="12.5">
      <c r="A162" s="49" t="s">
        <v>7</v>
      </c>
      <c r="B162" s="49" t="s">
        <v>22</v>
      </c>
      <c r="C162" s="49" t="s">
        <v>65</v>
      </c>
      <c r="D162" s="49" t="s">
        <v>66</v>
      </c>
      <c r="E162" s="50" t="s">
        <v>57</v>
      </c>
      <c r="F162" s="97">
        <v>5.4300360736662237E-2</v>
      </c>
      <c r="G162" s="99">
        <f t="shared" si="11"/>
        <v>1.5747104613632048</v>
      </c>
      <c r="H162" s="76"/>
      <c r="I162" s="46">
        <f>G162*'Eilat Car Data'!F$7</f>
        <v>77790.696791342314</v>
      </c>
      <c r="J162" s="46">
        <f>I162*'Tier 1 Coefficients'!I$9</f>
        <v>6223255.7433073856</v>
      </c>
      <c r="K162" s="46">
        <f t="shared" si="8"/>
        <v>6223.2557433073853</v>
      </c>
      <c r="L162" s="46">
        <f>K162*'Tier 1 Coefficients'!D$4</f>
        <v>19721.497450541105</v>
      </c>
      <c r="M162" s="46">
        <f>K162*'Tier 1 Coefficients'!C$20</f>
        <v>39891.06931460034</v>
      </c>
      <c r="N162" s="46">
        <f>K162*'Tier 1 Coefficients'!C$44</f>
        <v>348.5023216252136</v>
      </c>
      <c r="O162" s="46">
        <f>I162*'Tier 2 FC'!D$29</f>
        <v>6223255.7433073856</v>
      </c>
      <c r="P162" s="46">
        <f t="shared" si="9"/>
        <v>6223.2557433073853</v>
      </c>
      <c r="Q162" s="46">
        <f>P162*'Tier 1 Coefficients'!D$4</f>
        <v>19721.497450541105</v>
      </c>
      <c r="R162" s="46">
        <f>$I162*'T2 LPG'!C14</f>
        <v>700.11627112208078</v>
      </c>
      <c r="S162" s="121">
        <f>$I162*'T2 LPG'!D14</f>
        <v>36094.883311182835</v>
      </c>
      <c r="T162" s="46">
        <f>44.011*(P162/(12.011+1.008*'Tier 3 CO2 Tables'!B$4+16*'Tier 3 CO2 Tables'!C$4))</f>
        <v>19724.476123853969</v>
      </c>
      <c r="U162" s="46">
        <f>I162*'Tier 3 CO2 Tables'!H$9/10000</f>
        <v>11.590813821910004</v>
      </c>
      <c r="V162" s="46">
        <f>44.011*(U162/(12.011+1.008*'Tier 3 CO2 Tables'!B$6+16*'Tier 3 CO2 Tables'!C$6))</f>
        <v>36.159365217434043</v>
      </c>
      <c r="W162" s="46">
        <f>I162*'T3 Methane'!D25</f>
        <v>233372.09037402694</v>
      </c>
      <c r="X162" s="46" cm="1">
        <f t="array" ref="X162">_xlfn.IFS(E162='Euro Age Table'!C$5,'Euro Age Table'!G$5,E162='Euro Age Table'!C$6,'Euro Age Table'!G$6,E162='Euro Age Table'!C$7,'Euro Age Table'!G$7,E162='Euro Age Table'!C$8,'Euro Age Table'!G$8,E162='Euro Age Table'!C$9,'Euro Age Table'!G$9,E162='Euro Age Table'!C$10,'Euro Age Table'!G$10,E162='Euro Age Table'!C$11,'Euro Age Table'!G$11)</f>
        <v>16</v>
      </c>
      <c r="Y162" s="46">
        <f>X162*'Eilat Car Data'!F$7</f>
        <v>790400</v>
      </c>
      <c r="Z162" s="123">
        <f>'T3 N2O PC-Diesel LPG'!B6</f>
        <v>9</v>
      </c>
      <c r="AA162" s="124">
        <f t="shared" si="10"/>
        <v>700116.27112208086</v>
      </c>
    </row>
    <row r="163" spans="1:27" ht="12.5">
      <c r="A163" s="49" t="s">
        <v>7</v>
      </c>
      <c r="B163" s="49" t="s">
        <v>22</v>
      </c>
      <c r="C163" s="49" t="s">
        <v>65</v>
      </c>
      <c r="D163" s="49" t="s">
        <v>66</v>
      </c>
      <c r="E163" s="50" t="s">
        <v>58</v>
      </c>
      <c r="F163" s="97">
        <v>0.13252325802164419</v>
      </c>
      <c r="G163" s="99">
        <f t="shared" si="11"/>
        <v>3.8431744826276817</v>
      </c>
      <c r="H163" s="76"/>
      <c r="I163" s="46">
        <f>G163*'Eilat Car Data'!F$7</f>
        <v>189852.81944180749</v>
      </c>
      <c r="J163" s="46">
        <f>I163*'Tier 1 Coefficients'!I$9</f>
        <v>15188225.555344598</v>
      </c>
      <c r="K163" s="46">
        <f t="shared" si="8"/>
        <v>15188.225555344598</v>
      </c>
      <c r="L163" s="46">
        <f>K163*'Tier 1 Coefficients'!D$4</f>
        <v>48131.486784887027</v>
      </c>
      <c r="M163" s="46">
        <f>K163*'Tier 1 Coefficients'!C$20</f>
        <v>97356.525809758867</v>
      </c>
      <c r="N163" s="46">
        <f>K163*'Tier 1 Coefficients'!C$44</f>
        <v>850.54063109929746</v>
      </c>
      <c r="O163" s="46">
        <f>I163*'Tier 2 FC'!D$29</f>
        <v>15188225.555344598</v>
      </c>
      <c r="P163" s="46">
        <f t="shared" si="9"/>
        <v>15188.225555344598</v>
      </c>
      <c r="Q163" s="46">
        <f>P163*'Tier 1 Coefficients'!D$4</f>
        <v>48131.486784887027</v>
      </c>
      <c r="R163" s="46">
        <f>$I163*'T2 LPG'!C15</f>
        <v>1708.6753749762672</v>
      </c>
      <c r="S163" s="121">
        <f>$I163*'T2 LPG'!D15</f>
        <v>75561.422137839385</v>
      </c>
      <c r="T163" s="46">
        <f>44.011*(P163/(12.011+1.008*'Tier 3 CO2 Tables'!B$4+16*'Tier 3 CO2 Tables'!C$4))</f>
        <v>48138.756414161086</v>
      </c>
      <c r="U163" s="46">
        <f>I163*'Tier 3 CO2 Tables'!H$9/10000</f>
        <v>28.288070096829312</v>
      </c>
      <c r="V163" s="46">
        <f>44.011*(U163/(12.011+1.008*'Tier 3 CO2 Tables'!B$6+16*'Tier 3 CO2 Tables'!C$6))</f>
        <v>88.24908014604533</v>
      </c>
      <c r="W163" s="46">
        <f>I163*'T3 Methane'!D26</f>
        <v>208838.10138598824</v>
      </c>
      <c r="X163" s="46" cm="1">
        <f t="array" ref="X163">_xlfn.IFS(E163='Euro Age Table'!C$5,'Euro Age Table'!G$5,E163='Euro Age Table'!C$6,'Euro Age Table'!G$6,E163='Euro Age Table'!C$7,'Euro Age Table'!G$7,E163='Euro Age Table'!C$8,'Euro Age Table'!G$8,E163='Euro Age Table'!C$9,'Euro Age Table'!G$9,E163='Euro Age Table'!C$10,'Euro Age Table'!G$10,E163='Euro Age Table'!C$11,'Euro Age Table'!G$11)</f>
        <v>13</v>
      </c>
      <c r="Y163" s="46">
        <f>X163*'Eilat Car Data'!F$7</f>
        <v>642200</v>
      </c>
      <c r="Z163" s="121">
        <f>'T3 N2O PC-Diesel LPG'!B6</f>
        <v>9</v>
      </c>
      <c r="AA163" s="124">
        <f t="shared" si="10"/>
        <v>1708675.3749762673</v>
      </c>
    </row>
    <row r="164" spans="1:27" ht="12.5">
      <c r="A164" s="49" t="s">
        <v>7</v>
      </c>
      <c r="B164" s="49" t="s">
        <v>22</v>
      </c>
      <c r="C164" s="49" t="s">
        <v>65</v>
      </c>
      <c r="D164" s="49" t="s">
        <v>66</v>
      </c>
      <c r="E164" s="50" t="s">
        <v>59</v>
      </c>
      <c r="F164" s="97">
        <v>0.34023163090943609</v>
      </c>
      <c r="G164" s="99">
        <f t="shared" si="11"/>
        <v>9.8667172963736469</v>
      </c>
      <c r="H164" s="76"/>
      <c r="I164" s="46">
        <f>G164*'Eilat Car Data'!F$7</f>
        <v>487415.83444085816</v>
      </c>
      <c r="J164" s="46">
        <f>I164*'Tier 1 Coefficients'!I$9</f>
        <v>38993266.755268656</v>
      </c>
      <c r="K164" s="46">
        <f t="shared" si="8"/>
        <v>38993.266755268654</v>
      </c>
      <c r="L164" s="46">
        <f>K164*'Tier 1 Coefficients'!D$4</f>
        <v>123569.66234744637</v>
      </c>
      <c r="M164" s="46">
        <f>K164*'Tier 1 Coefficients'!C$20</f>
        <v>249946.83990127209</v>
      </c>
      <c r="N164" s="46">
        <f>K164*'Tier 1 Coefficients'!C$44</f>
        <v>2183.6229382950446</v>
      </c>
      <c r="O164" s="46">
        <f>I164*'Tier 2 FC'!D$29</f>
        <v>38993266.755268656</v>
      </c>
      <c r="P164" s="46">
        <f t="shared" si="9"/>
        <v>38993.266755268654</v>
      </c>
      <c r="Q164" s="46">
        <f>P164*'Tier 1 Coefficients'!D$4</f>
        <v>123569.66234744637</v>
      </c>
      <c r="R164" s="46">
        <f>$I164*'T2 LPG'!C16</f>
        <v>1949.6633377634328</v>
      </c>
      <c r="S164" s="121">
        <f>$I164*'T2 LPG'!D16</f>
        <v>193991.50210746157</v>
      </c>
      <c r="T164" s="46">
        <f>44.011*(P164/(12.011+1.008*'Tier 3 CO2 Tables'!B$4+16*'Tier 3 CO2 Tables'!C$4))</f>
        <v>123588.32592288921</v>
      </c>
      <c r="U164" s="46">
        <f>I164*'Tier 3 CO2 Tables'!H$9/10000</f>
        <v>72.624959331687862</v>
      </c>
      <c r="V164" s="46">
        <f>44.011*(U164/(12.011+1.008*'Tier 3 CO2 Tables'!B$6+16*'Tier 3 CO2 Tables'!C$6))</f>
        <v>226.56497367007628</v>
      </c>
      <c r="W164" s="46">
        <f>I164*'T3 Methane'!D27</f>
        <v>3655.6187583064361</v>
      </c>
      <c r="X164" s="46" cm="1">
        <f t="array" ref="X164">_xlfn.IFS(E164='Euro Age Table'!C$5,'Euro Age Table'!G$5,E164='Euro Age Table'!C$6,'Euro Age Table'!G$6,E164='Euro Age Table'!C$7,'Euro Age Table'!G$7,E164='Euro Age Table'!C$8,'Euro Age Table'!G$8,E164='Euro Age Table'!C$9,'Euro Age Table'!G$9,E164='Euro Age Table'!C$10,'Euro Age Table'!G$10,E164='Euro Age Table'!C$11,'Euro Age Table'!G$11)</f>
        <v>9</v>
      </c>
      <c r="Y164" s="46">
        <f>X164*'Eilat Car Data'!F$7</f>
        <v>444600</v>
      </c>
      <c r="Z164" s="121">
        <f>'T3 N2O PC-Diesel LPG'!B6</f>
        <v>9</v>
      </c>
      <c r="AA164" s="124">
        <f t="shared" si="10"/>
        <v>4386742.5099677239</v>
      </c>
    </row>
    <row r="165" spans="1:27" ht="12.5">
      <c r="A165" s="49" t="s">
        <v>7</v>
      </c>
      <c r="B165" s="49" t="s">
        <v>22</v>
      </c>
      <c r="C165" s="49" t="s">
        <v>65</v>
      </c>
      <c r="D165" s="49" t="s">
        <v>66</v>
      </c>
      <c r="E165" s="91" t="s">
        <v>60</v>
      </c>
      <c r="F165" s="79">
        <v>0.4144674387696981</v>
      </c>
      <c r="G165" s="104">
        <f t="shared" si="11"/>
        <v>12.019555724321245</v>
      </c>
      <c r="H165" s="76"/>
      <c r="I165" s="46">
        <f>G165*'Eilat Car Data'!F$7</f>
        <v>593766.05278146954</v>
      </c>
      <c r="J165" s="46">
        <f>I165*'Tier 1 Coefficients'!I$9</f>
        <v>47501284.222517565</v>
      </c>
      <c r="K165" s="46">
        <f t="shared" si="8"/>
        <v>47501.284222517563</v>
      </c>
      <c r="L165" s="46">
        <f>K165*'Tier 1 Coefficients'!D$4</f>
        <v>150531.56970115815</v>
      </c>
      <c r="M165" s="46">
        <f>K165*'Tier 1 Coefficients'!C$20</f>
        <v>304483.23186633759</v>
      </c>
      <c r="N165" s="46">
        <f>K165*'Tier 1 Coefficients'!C$44</f>
        <v>2660.0719164609836</v>
      </c>
      <c r="O165" s="46">
        <f>I165*'Tier 2 FC'!D$29</f>
        <v>47501284.222517565</v>
      </c>
      <c r="P165" s="46">
        <f t="shared" si="9"/>
        <v>47501.284222517563</v>
      </c>
      <c r="Q165" s="46">
        <f>P165*'Tier 1 Coefficients'!D$4</f>
        <v>150531.56970115815</v>
      </c>
      <c r="R165" s="46">
        <f>$I165*'T2 LPG'!C17</f>
        <v>2375.064211125878</v>
      </c>
      <c r="S165" s="121">
        <f>$I165*'T2 LPG'!D17</f>
        <v>236318.88900702487</v>
      </c>
      <c r="T165" s="46">
        <f>44.011*(P165/(12.011+1.008*'Tier 3 CO2 Tables'!B$4+16*'Tier 3 CO2 Tables'!C$4))</f>
        <v>150554.30551878747</v>
      </c>
      <c r="U165" s="46">
        <f>I165*'Tier 3 CO2 Tables'!H$10/10000</f>
        <v>76.002054756028102</v>
      </c>
      <c r="V165" s="46">
        <f>44.011*(U165/(12.011+1.008*'Tier 3 CO2 Tables'!B$6+16*'Tier 3 CO2 Tables'!C$6))</f>
        <v>237.10035355789864</v>
      </c>
      <c r="W165" s="46">
        <f>I165*'T3 Methane'!D27</f>
        <v>4453.2453958610213</v>
      </c>
      <c r="X165" s="46" cm="1">
        <f t="array" ref="X165">_xlfn.IFS(E165='Euro Age Table'!C$5,'Euro Age Table'!G$5,E165='Euro Age Table'!C$6,'Euro Age Table'!G$6,E165='Euro Age Table'!C$7,'Euro Age Table'!G$7,E165='Euro Age Table'!C$8,'Euro Age Table'!G$8,E165='Euro Age Table'!C$9,'Euro Age Table'!G$9,E165='Euro Age Table'!C$10,'Euro Age Table'!G$10,E165='Euro Age Table'!C$11,'Euro Age Table'!G$11)</f>
        <v>3</v>
      </c>
      <c r="Y165" s="46">
        <f>X165*'Eilat Car Data'!F$7</f>
        <v>148200</v>
      </c>
      <c r="Z165" s="121">
        <f>'T3 N2O PC-Diesel LPG'!B7</f>
        <v>11</v>
      </c>
      <c r="AA165" s="124">
        <f t="shared" si="10"/>
        <v>6531426.5805961648</v>
      </c>
    </row>
    <row r="166" spans="1:27" ht="12.5">
      <c r="A166" s="54" t="s">
        <v>6</v>
      </c>
      <c r="B166" s="53"/>
      <c r="C166" s="53"/>
      <c r="D166" s="53"/>
      <c r="E166" s="53"/>
      <c r="F166" s="94"/>
      <c r="G166" s="93">
        <v>763</v>
      </c>
      <c r="H166" s="46">
        <f>SUM(G199:G260)</f>
        <v>751.71061470032396</v>
      </c>
      <c r="I166" s="46"/>
      <c r="J166" s="46"/>
      <c r="K166" s="46">
        <f t="shared" si="8"/>
        <v>0</v>
      </c>
      <c r="L166" s="46"/>
      <c r="M166" s="46"/>
      <c r="N166" s="46"/>
      <c r="O166" s="46"/>
      <c r="P166" s="46">
        <f t="shared" si="9"/>
        <v>0</v>
      </c>
      <c r="Q166" s="46"/>
      <c r="R166" s="46"/>
      <c r="S166" s="46"/>
      <c r="T166" s="46"/>
      <c r="U166" s="46"/>
      <c r="V166" s="46">
        <f>44.011*(U166/(12.011+1.008*'Tier 3 CO2 Tables'!B$6+16*'Tier 3 CO2 Tables'!C$6))</f>
        <v>0</v>
      </c>
      <c r="W166" s="46"/>
      <c r="X166" s="46" t="e" cm="1">
        <f t="array" ref="X166">_xlfn.IFS(E166='Euro Age Table'!C$5,'Euro Age Table'!G$5,E166='Euro Age Table'!C$6,'Euro Age Table'!G$6,E166='Euro Age Table'!C$7,'Euro Age Table'!G$7,E166='Euro Age Table'!C$8,'Euro Age Table'!G$8,E166='Euro Age Table'!C$9,'Euro Age Table'!G$9,E166='Euro Age Table'!C$10,'Euro Age Table'!G$10,E166='Euro Age Table'!C$11,'Euro Age Table'!G$11)</f>
        <v>#N/A</v>
      </c>
      <c r="Y166" s="46"/>
      <c r="Z166" s="46"/>
      <c r="AA166" s="124">
        <f t="shared" si="10"/>
        <v>0</v>
      </c>
    </row>
    <row r="167" spans="1:27" ht="12.5">
      <c r="A167" s="55" t="s">
        <v>75</v>
      </c>
      <c r="B167" s="48" t="s">
        <v>20</v>
      </c>
      <c r="C167" s="49" t="s">
        <v>76</v>
      </c>
      <c r="D167" s="56" t="s">
        <v>77</v>
      </c>
      <c r="E167" s="50" t="s">
        <v>54</v>
      </c>
      <c r="F167" s="80">
        <v>2.0630296828710773E-4</v>
      </c>
      <c r="G167" s="103">
        <f t="shared" ref="G167:G267" si="12">F167*$G$166</f>
        <v>0.15740916480306319</v>
      </c>
      <c r="H167" s="46"/>
      <c r="I167" s="46">
        <f>G167*'Eilat Car Data'!F$6</f>
        <v>4360.2338650448501</v>
      </c>
      <c r="J167" s="46">
        <f>I167*'Tier 1 Coefficients'!I$8*3</f>
        <v>1308070.1595134549</v>
      </c>
      <c r="K167" s="46">
        <f t="shared" si="8"/>
        <v>1308.0701595134549</v>
      </c>
      <c r="L167" s="46">
        <f>K167*'Tier 1 Coefficients'!D$3</f>
        <v>4145.2743354981385</v>
      </c>
      <c r="M167" s="46">
        <f>K167*0.95*'Tier 1 Coefficients'!C$21</f>
        <v>3156.3732949059668</v>
      </c>
      <c r="N167" s="46">
        <f>K167*3.32*'Tier 1 Coefficients'!C$45</f>
        <v>221.48243940881815</v>
      </c>
      <c r="O167" s="46">
        <f>I167*'Tier 2 FC'!D$30</f>
        <v>771761.39411293843</v>
      </c>
      <c r="P167" s="46">
        <f t="shared" si="9"/>
        <v>771.76139411293843</v>
      </c>
      <c r="Q167" s="46">
        <f>P167*'Tier 1 Coefficients'!D$3</f>
        <v>2445.711857943902</v>
      </c>
      <c r="R167" s="46">
        <f>$I167*'T2 HDV'!D$2</f>
        <v>26.161403190269102</v>
      </c>
      <c r="S167" s="46">
        <f>$I167*'T2 HDV'!E$2</f>
        <v>8676.8653914392507</v>
      </c>
      <c r="T167" s="46">
        <f>44.011*(P167/(12.011+1.008*'Tier 3 CO2 Tables'!B$3+16*'Tier 3 CO2 Tables'!C$3))</f>
        <v>2446.0812506160601</v>
      </c>
      <c r="U167" s="46">
        <f>I167*'Tier 3 CO2 Tables'!H$15/10000</f>
        <v>0.68019648294699664</v>
      </c>
      <c r="V167" s="46">
        <f>44.011*(U167/(12.011+1.008*'Tier 3 CO2 Tables'!B$6+16*'Tier 3 CO2 Tables'!C$6))</f>
        <v>2.1219798216413426</v>
      </c>
      <c r="W167" s="46">
        <f>I167*'T3 Methane'!D$28</f>
        <v>610432.74110627896</v>
      </c>
      <c r="X167" s="46" cm="1">
        <f t="array" ref="X167">_xlfn.IFS(E167='Euro Age Table'!C$5,'Euro Age Table'!G$5,E167='Euro Age Table'!C$6,'Euro Age Table'!G$6,E167='Euro Age Table'!C$7,'Euro Age Table'!G$7,E167='Euro Age Table'!C$8,'Euro Age Table'!G$8,E167='Euro Age Table'!C$9,'Euro Age Table'!G$9,E167='Euro Age Table'!C$10,'Euro Age Table'!G$10,E167='Euro Age Table'!C$11,'Euro Age Table'!G$11)</f>
        <v>27</v>
      </c>
      <c r="Y167" s="46">
        <f>X167*'Eilat Car Data'!F$6</f>
        <v>747900</v>
      </c>
      <c r="Z167" s="46">
        <f>'T3 N2O HDV'!C$2</f>
        <v>6</v>
      </c>
      <c r="AA167" s="124">
        <f t="shared" si="10"/>
        <v>26161.403190269099</v>
      </c>
    </row>
    <row r="168" spans="1:27" ht="12.5">
      <c r="A168" s="55" t="s">
        <v>75</v>
      </c>
      <c r="B168" s="48" t="s">
        <v>20</v>
      </c>
      <c r="C168" s="49" t="s">
        <v>76</v>
      </c>
      <c r="D168" s="56" t="s">
        <v>77</v>
      </c>
      <c r="E168" s="50" t="s">
        <v>55</v>
      </c>
      <c r="F168" s="97">
        <v>5.6114407374093303E-4</v>
      </c>
      <c r="G168" s="99">
        <f t="shared" si="12"/>
        <v>0.42815292826433188</v>
      </c>
      <c r="H168" s="46"/>
      <c r="I168" s="46">
        <f>G168*'Eilat Car Data'!F$6</f>
        <v>11859.836112921994</v>
      </c>
      <c r="J168" s="46">
        <f>I168*'Tier 1 Coefficients'!I$8*3</f>
        <v>3557950.8338765986</v>
      </c>
      <c r="K168" s="46">
        <f t="shared" si="8"/>
        <v>3557.9508338765986</v>
      </c>
      <c r="L168" s="46">
        <f>K168*'Tier 1 Coefficients'!D$3</f>
        <v>11275.146192554941</v>
      </c>
      <c r="M168" s="46">
        <f>K168*0.95*'Tier 1 Coefficients'!C$21</f>
        <v>8585.3353621442329</v>
      </c>
      <c r="N168" s="46">
        <f>K168*3.32*'Tier 1 Coefficients'!C$45</f>
        <v>602.43223519198568</v>
      </c>
      <c r="O168" s="46">
        <f>I168*'Tier 2 FC'!D$30</f>
        <v>2099190.991987193</v>
      </c>
      <c r="P168" s="46">
        <f t="shared" si="9"/>
        <v>2099.1909919871932</v>
      </c>
      <c r="Q168" s="46">
        <f>P168*'Tier 1 Coefficients'!D$3</f>
        <v>6652.3362536074155</v>
      </c>
      <c r="R168" s="46">
        <f>$I168*'T2 HDV'!D$2</f>
        <v>71.159016677531966</v>
      </c>
      <c r="S168" s="46">
        <f>$I168*'T2 HDV'!E$2</f>
        <v>23601.073864714766</v>
      </c>
      <c r="T168" s="46">
        <f>44.011*(P168/(12.011+1.008*'Tier 3 CO2 Tables'!B$3+16*'Tier 3 CO2 Tables'!C$3))</f>
        <v>6653.3410016756852</v>
      </c>
      <c r="U168" s="46">
        <f>I168*'Tier 3 CO2 Tables'!H$15/10000</f>
        <v>1.8501344336158312</v>
      </c>
      <c r="V168" s="46">
        <f>44.011*(U168/(12.011+1.008*'Tier 3 CO2 Tables'!B$6+16*'Tier 3 CO2 Tables'!C$6))</f>
        <v>5.7717851148644534</v>
      </c>
      <c r="W168" s="46">
        <f>I168*'T3 Methane'!D$28</f>
        <v>1660377.0558090792</v>
      </c>
      <c r="X168" s="46" cm="1">
        <f t="array" ref="X168">_xlfn.IFS(E168='Euro Age Table'!C$5,'Euro Age Table'!G$5,E168='Euro Age Table'!C$6,'Euro Age Table'!G$6,E168='Euro Age Table'!C$7,'Euro Age Table'!G$7,E168='Euro Age Table'!C$8,'Euro Age Table'!G$8,E168='Euro Age Table'!C$9,'Euro Age Table'!G$9,E168='Euro Age Table'!C$10,'Euro Age Table'!G$10,E168='Euro Age Table'!C$11,'Euro Age Table'!G$11)</f>
        <v>23</v>
      </c>
      <c r="Y168" s="46">
        <f>X168*'Eilat Car Data'!F$6</f>
        <v>637100</v>
      </c>
      <c r="Z168" s="46">
        <f>'T3 N2O HDV'!C$2</f>
        <v>6</v>
      </c>
      <c r="AA168" s="124">
        <f t="shared" si="10"/>
        <v>71159.016677531967</v>
      </c>
    </row>
    <row r="169" spans="1:27" ht="12.5">
      <c r="A169" s="55" t="s">
        <v>75</v>
      </c>
      <c r="B169" s="48" t="s">
        <v>20</v>
      </c>
      <c r="C169" s="49" t="s">
        <v>76</v>
      </c>
      <c r="D169" s="56" t="s">
        <v>77</v>
      </c>
      <c r="E169" s="50" t="s">
        <v>56</v>
      </c>
      <c r="F169" s="97">
        <v>2.6406779940749787E-4</v>
      </c>
      <c r="G169" s="99">
        <f t="shared" si="12"/>
        <v>0.20148373094792088</v>
      </c>
      <c r="H169" s="46"/>
      <c r="I169" s="46">
        <f>G169*'Eilat Car Data'!F$6</f>
        <v>5581.0993472574082</v>
      </c>
      <c r="J169" s="46">
        <f>I169*'Tier 1 Coefficients'!I$8*3</f>
        <v>1674329.8041772223</v>
      </c>
      <c r="K169" s="46">
        <f t="shared" si="8"/>
        <v>1674.3298041772223</v>
      </c>
      <c r="L169" s="46">
        <f>K169*'Tier 1 Coefficients'!D$3</f>
        <v>5305.9511494376175</v>
      </c>
      <c r="M169" s="46">
        <f>K169*0.95*'Tier 1 Coefficients'!C$21</f>
        <v>4040.1578174796373</v>
      </c>
      <c r="N169" s="46">
        <f>K169*3.32*'Tier 1 Coefficients'!C$45</f>
        <v>283.49752244328727</v>
      </c>
      <c r="O169" s="46">
        <f>I169*'Tier 2 FC'!D$30</f>
        <v>987854.58446456131</v>
      </c>
      <c r="P169" s="46">
        <f t="shared" si="9"/>
        <v>987.8545844645613</v>
      </c>
      <c r="Q169" s="46">
        <f>P169*'Tier 1 Coefficients'!D$3</f>
        <v>3130.5111781681949</v>
      </c>
      <c r="R169" s="46">
        <f>$I169*'T2 HDV'!D$2</f>
        <v>33.486596083544448</v>
      </c>
      <c r="S169" s="46">
        <f>$I169*'T2 HDV'!E$2</f>
        <v>11106.387701042242</v>
      </c>
      <c r="T169" s="46">
        <f>44.011*(P169/(12.011+1.008*'Tier 3 CO2 Tables'!B$3+16*'Tier 3 CO2 Tables'!C$3))</f>
        <v>3130.9840007885573</v>
      </c>
      <c r="U169" s="46">
        <f>I169*'Tier 3 CO2 Tables'!H$15/10000</f>
        <v>0.8706514981721557</v>
      </c>
      <c r="V169" s="46">
        <f>44.011*(U169/(12.011+1.008*'Tier 3 CO2 Tables'!B$6+16*'Tier 3 CO2 Tables'!C$6))</f>
        <v>2.7161341717009186</v>
      </c>
      <c r="W169" s="46">
        <f>I169*'T3 Methane'!D$28</f>
        <v>781353.90861603711</v>
      </c>
      <c r="X169" s="46" cm="1">
        <f t="array" ref="X169">_xlfn.IFS(E169='Euro Age Table'!C$5,'Euro Age Table'!G$5,E169='Euro Age Table'!C$6,'Euro Age Table'!G$6,E169='Euro Age Table'!C$7,'Euro Age Table'!G$7,E169='Euro Age Table'!C$8,'Euro Age Table'!G$8,E169='Euro Age Table'!C$9,'Euro Age Table'!G$9,E169='Euro Age Table'!C$10,'Euro Age Table'!G$10,E169='Euro Age Table'!C$11,'Euro Age Table'!G$11)</f>
        <v>18</v>
      </c>
      <c r="Y169" s="46">
        <f>X169*'Eilat Car Data'!F$6</f>
        <v>498600</v>
      </c>
      <c r="Z169" s="46">
        <f>'T3 N2O HDV'!C$2</f>
        <v>6</v>
      </c>
      <c r="AA169" s="124">
        <f t="shared" si="10"/>
        <v>33486.596083544449</v>
      </c>
    </row>
    <row r="170" spans="1:27" ht="12.5">
      <c r="A170" s="55" t="s">
        <v>75</v>
      </c>
      <c r="B170" s="48" t="s">
        <v>20</v>
      </c>
      <c r="C170" s="49" t="s">
        <v>76</v>
      </c>
      <c r="D170" s="56" t="s">
        <v>77</v>
      </c>
      <c r="E170" s="50" t="s">
        <v>57</v>
      </c>
      <c r="F170" s="97">
        <v>5.5289195500944871E-4</v>
      </c>
      <c r="G170" s="99">
        <f t="shared" si="12"/>
        <v>0.42185656167220936</v>
      </c>
      <c r="H170" s="46"/>
      <c r="I170" s="46">
        <f>G170*'Eilat Car Data'!F$6</f>
        <v>11685.4267583202</v>
      </c>
      <c r="J170" s="46">
        <f>I170*'Tier 1 Coefficients'!I$8*3</f>
        <v>3505628.0274960594</v>
      </c>
      <c r="K170" s="46">
        <f t="shared" si="8"/>
        <v>3505.6280274960595</v>
      </c>
      <c r="L170" s="46">
        <f>K170*'Tier 1 Coefficients'!D$3</f>
        <v>11109.335219135013</v>
      </c>
      <c r="M170" s="46">
        <f>K170*0.95*'Tier 1 Coefficients'!C$21</f>
        <v>8459.0804303479927</v>
      </c>
      <c r="N170" s="46">
        <f>K170*3.32*'Tier 1 Coefficients'!C$45</f>
        <v>593.57293761563267</v>
      </c>
      <c r="O170" s="46">
        <f>I170*'Tier 2 FC'!D$30</f>
        <v>2068320.5362226753</v>
      </c>
      <c r="P170" s="46">
        <f t="shared" si="9"/>
        <v>2068.3205362226754</v>
      </c>
      <c r="Q170" s="46">
        <f>P170*'Tier 1 Coefficients'!D$3</f>
        <v>6554.5077792896582</v>
      </c>
      <c r="R170" s="46">
        <f>$I170*'T2 HDV'!D$2</f>
        <v>70.112560549921199</v>
      </c>
      <c r="S170" s="46">
        <f>$I170*'T2 HDV'!E$2</f>
        <v>23253.999249057197</v>
      </c>
      <c r="T170" s="46">
        <f>44.011*(P170/(12.011+1.008*'Tier 3 CO2 Tables'!B$3+16*'Tier 3 CO2 Tables'!C$3))</f>
        <v>6555.4977516510426</v>
      </c>
      <c r="U170" s="46">
        <f>I170*'Tier 3 CO2 Tables'!H$15/10000</f>
        <v>1.822926574297951</v>
      </c>
      <c r="V170" s="46">
        <f>44.011*(U170/(12.011+1.008*'Tier 3 CO2 Tables'!B$6+16*'Tier 3 CO2 Tables'!C$6))</f>
        <v>5.6869059219987985</v>
      </c>
      <c r="W170" s="46">
        <f>I170*'T3 Methane'!D$28</f>
        <v>1635959.7461648281</v>
      </c>
      <c r="X170" s="46" cm="1">
        <f t="array" ref="X170">_xlfn.IFS(E170='Euro Age Table'!C$5,'Euro Age Table'!G$5,E170='Euro Age Table'!C$6,'Euro Age Table'!G$6,E170='Euro Age Table'!C$7,'Euro Age Table'!G$7,E170='Euro Age Table'!C$8,'Euro Age Table'!G$8,E170='Euro Age Table'!C$9,'Euro Age Table'!G$9,E170='Euro Age Table'!C$10,'Euro Age Table'!G$10,E170='Euro Age Table'!C$11,'Euro Age Table'!G$11)</f>
        <v>16</v>
      </c>
      <c r="Y170" s="46">
        <f>X170*'Eilat Car Data'!F$6</f>
        <v>443200</v>
      </c>
      <c r="Z170" s="46">
        <f>'T3 N2O HDV'!C$2</f>
        <v>6</v>
      </c>
      <c r="AA170" s="124">
        <f t="shared" si="10"/>
        <v>70112.560549921196</v>
      </c>
    </row>
    <row r="171" spans="1:27" ht="12.5">
      <c r="A171" s="55" t="s">
        <v>75</v>
      </c>
      <c r="B171" s="48" t="s">
        <v>20</v>
      </c>
      <c r="C171" s="49" t="s">
        <v>76</v>
      </c>
      <c r="D171" s="56" t="s">
        <v>77</v>
      </c>
      <c r="E171" s="50" t="s">
        <v>58</v>
      </c>
      <c r="F171" s="97">
        <v>5.8590042993538589E-4</v>
      </c>
      <c r="G171" s="99">
        <f t="shared" si="12"/>
        <v>0.44704202804069942</v>
      </c>
      <c r="H171" s="46"/>
      <c r="I171" s="46">
        <f>G171*'Eilat Car Data'!F$6</f>
        <v>12383.064176727374</v>
      </c>
      <c r="J171" s="46">
        <f>I171*'Tier 1 Coefficients'!I$8*3</f>
        <v>3714919.2530182116</v>
      </c>
      <c r="K171" s="46">
        <f t="shared" si="8"/>
        <v>3714.9192530182117</v>
      </c>
      <c r="L171" s="46">
        <f>K171*'Tier 1 Coefficients'!D$3</f>
        <v>11772.579112814714</v>
      </c>
      <c r="M171" s="46">
        <f>K171*0.95*'Tier 1 Coefficients'!C$21</f>
        <v>8964.1001575329446</v>
      </c>
      <c r="N171" s="46">
        <f>K171*3.32*'Tier 1 Coefficients'!C$45</f>
        <v>629.01012792104359</v>
      </c>
      <c r="O171" s="46">
        <f>I171*'Tier 2 FC'!D$30</f>
        <v>2191802.359280745</v>
      </c>
      <c r="P171" s="46">
        <f t="shared" si="9"/>
        <v>2191.8023592807449</v>
      </c>
      <c r="Q171" s="46">
        <f>P171*'Tier 1 Coefficients'!D$3</f>
        <v>6945.8216765606803</v>
      </c>
      <c r="R171" s="46">
        <f>$I171*'T2 HDV'!D$2</f>
        <v>74.29838506036424</v>
      </c>
      <c r="S171" s="46">
        <f>$I171*'T2 HDV'!E$2</f>
        <v>24642.297711687475</v>
      </c>
      <c r="T171" s="46">
        <f>44.011*(P171/(12.011+1.008*'Tier 3 CO2 Tables'!B$3+16*'Tier 3 CO2 Tables'!C$3))</f>
        <v>6946.8707517496096</v>
      </c>
      <c r="U171" s="46">
        <f>I171*'Tier 3 CO2 Tables'!H$15/10000</f>
        <v>1.9317580115694706</v>
      </c>
      <c r="V171" s="46">
        <f>44.011*(U171/(12.011+1.008*'Tier 3 CO2 Tables'!B$6+16*'Tier 3 CO2 Tables'!C$6))</f>
        <v>6.0264226934614138</v>
      </c>
      <c r="W171" s="46">
        <f>I171*'T3 Methane'!D$28</f>
        <v>1733628.9847418324</v>
      </c>
      <c r="X171" s="46" cm="1">
        <f t="array" ref="X171">_xlfn.IFS(E171='Euro Age Table'!C$5,'Euro Age Table'!G$5,E171='Euro Age Table'!C$6,'Euro Age Table'!G$6,E171='Euro Age Table'!C$7,'Euro Age Table'!G$7,E171='Euro Age Table'!C$8,'Euro Age Table'!G$8,E171='Euro Age Table'!C$9,'Euro Age Table'!G$9,E171='Euro Age Table'!C$10,'Euro Age Table'!G$10,E171='Euro Age Table'!C$11,'Euro Age Table'!G$11)</f>
        <v>13</v>
      </c>
      <c r="Y171" s="46">
        <f>X171*'Eilat Car Data'!F$6</f>
        <v>360100</v>
      </c>
      <c r="Z171" s="46">
        <f>'T3 N2O HDV'!C$2</f>
        <v>6</v>
      </c>
      <c r="AA171" s="124">
        <f t="shared" si="10"/>
        <v>74298.385060364235</v>
      </c>
    </row>
    <row r="172" spans="1:27" ht="12.5">
      <c r="A172" s="55" t="s">
        <v>75</v>
      </c>
      <c r="B172" s="48" t="s">
        <v>20</v>
      </c>
      <c r="C172" s="49" t="s">
        <v>76</v>
      </c>
      <c r="D172" s="56" t="s">
        <v>77</v>
      </c>
      <c r="E172" s="50" t="s">
        <v>59</v>
      </c>
      <c r="F172" s="97">
        <v>1.254322047185615E-3</v>
      </c>
      <c r="G172" s="99">
        <f t="shared" si="12"/>
        <v>0.95704772200262422</v>
      </c>
      <c r="H172" s="46"/>
      <c r="I172" s="46">
        <f>G172*'Eilat Car Data'!F$6</f>
        <v>26510.22189947269</v>
      </c>
      <c r="J172" s="46">
        <f>I172*'Tier 1 Coefficients'!I$8*3</f>
        <v>7953066.5698418068</v>
      </c>
      <c r="K172" s="46">
        <f t="shared" si="8"/>
        <v>7953.066569841807</v>
      </c>
      <c r="L172" s="46">
        <f>K172*'Tier 1 Coefficients'!D$3</f>
        <v>25203.267959828685</v>
      </c>
      <c r="M172" s="46">
        <f>K172*0.95*'Tier 1 Coefficients'!C$21</f>
        <v>19190.749633028281</v>
      </c>
      <c r="N172" s="46">
        <f>K172*3.32*'Tier 1 Coefficients'!C$45</f>
        <v>1346.6132316056146</v>
      </c>
      <c r="O172" s="46">
        <f>I172*'Tier 2 FC'!D$30</f>
        <v>4692309.2762066657</v>
      </c>
      <c r="P172" s="46">
        <f t="shared" si="9"/>
        <v>4692.3092762066653</v>
      </c>
      <c r="Q172" s="46">
        <f>P172*'Tier 1 Coefficients'!D$3</f>
        <v>14869.928096298923</v>
      </c>
      <c r="R172" s="46">
        <f>$I172*'T2 HDV'!D$2</f>
        <v>159.06133139683615</v>
      </c>
      <c r="S172" s="46">
        <f>$I172*'T2 HDV'!E$2</f>
        <v>52755.341579950655</v>
      </c>
      <c r="T172" s="46">
        <f>44.011*(P172/(12.011+1.008*'Tier 3 CO2 Tables'!B$3+16*'Tier 3 CO2 Tables'!C$3))</f>
        <v>14872.174003745644</v>
      </c>
      <c r="U172" s="46">
        <f>I172*'Tier 3 CO2 Tables'!H$15/10000</f>
        <v>4.1355946163177393</v>
      </c>
      <c r="V172" s="46">
        <f>44.011*(U172/(12.011+1.008*'Tier 3 CO2 Tables'!B$6+16*'Tier 3 CO2 Tables'!C$6))</f>
        <v>12.901637315579361</v>
      </c>
      <c r="W172" s="46">
        <f>I172*'T3 Methane'!D$28</f>
        <v>3711431.0659261765</v>
      </c>
      <c r="X172" s="46" cm="1">
        <f t="array" ref="X172">_xlfn.IFS(E172='Euro Age Table'!C$5,'Euro Age Table'!G$5,E172='Euro Age Table'!C$6,'Euro Age Table'!G$6,E172='Euro Age Table'!C$7,'Euro Age Table'!G$7,E172='Euro Age Table'!C$8,'Euro Age Table'!G$8,E172='Euro Age Table'!C$9,'Euro Age Table'!G$9,E172='Euro Age Table'!C$10,'Euro Age Table'!G$10,E172='Euro Age Table'!C$11,'Euro Age Table'!G$11)</f>
        <v>9</v>
      </c>
      <c r="Y172" s="46">
        <f>X172*'Eilat Car Data'!F$6</f>
        <v>249300</v>
      </c>
      <c r="Z172" s="46">
        <f>'T3 N2O HDV'!C$2</f>
        <v>6</v>
      </c>
      <c r="AA172" s="124">
        <f t="shared" si="10"/>
        <v>159061.33139683615</v>
      </c>
    </row>
    <row r="173" spans="1:27" ht="12.5">
      <c r="A173" s="57" t="s">
        <v>75</v>
      </c>
      <c r="B173" s="51" t="s">
        <v>20</v>
      </c>
      <c r="C173" s="51" t="s">
        <v>76</v>
      </c>
      <c r="D173" s="56" t="s">
        <v>77</v>
      </c>
      <c r="E173" s="51" t="s">
        <v>60</v>
      </c>
      <c r="F173" s="97">
        <v>0</v>
      </c>
      <c r="G173" s="99">
        <f t="shared" si="12"/>
        <v>0</v>
      </c>
      <c r="H173" s="46"/>
      <c r="I173" s="46">
        <f>G173*'Eilat Car Data'!F$6</f>
        <v>0</v>
      </c>
      <c r="J173" s="46">
        <f>I173*'Tier 1 Coefficients'!I$8*3</f>
        <v>0</v>
      </c>
      <c r="K173" s="46">
        <f t="shared" si="8"/>
        <v>0</v>
      </c>
      <c r="L173" s="46">
        <f>K173*'Tier 1 Coefficients'!D$3</f>
        <v>0</v>
      </c>
      <c r="M173" s="46">
        <f>K173*0.95*'Tier 1 Coefficients'!C$21</f>
        <v>0</v>
      </c>
      <c r="N173" s="46">
        <f>K173*3.32*'Tier 1 Coefficients'!C$45</f>
        <v>0</v>
      </c>
      <c r="O173" s="46">
        <f>I173*'Tier 2 FC'!D$30</f>
        <v>0</v>
      </c>
      <c r="P173" s="46">
        <f t="shared" si="9"/>
        <v>0</v>
      </c>
      <c r="Q173" s="46">
        <f>P173*'Tier 1 Coefficients'!D$3</f>
        <v>0</v>
      </c>
      <c r="R173" s="46">
        <f>$I173*'T2 HDV'!D$2</f>
        <v>0</v>
      </c>
      <c r="S173" s="46">
        <f>$I173*'T2 HDV'!E$2</f>
        <v>0</v>
      </c>
      <c r="T173" s="46">
        <f>44.011*(P173/(12.011+1.008*'Tier 3 CO2 Tables'!B$3+16*'Tier 3 CO2 Tables'!C$3))</f>
        <v>0</v>
      </c>
      <c r="U173" s="46">
        <f>I173*'Tier 3 CO2 Tables'!H$15/10000</f>
        <v>0</v>
      </c>
      <c r="V173" s="46">
        <f>44.011*(U173/(12.011+1.008*'Tier 3 CO2 Tables'!B$6+16*'Tier 3 CO2 Tables'!C$6))</f>
        <v>0</v>
      </c>
      <c r="W173" s="46">
        <f>I173*'T3 Methane'!D$28</f>
        <v>0</v>
      </c>
      <c r="X173" s="46" cm="1">
        <f t="array" ref="X173">_xlfn.IFS(E173='Euro Age Table'!C$5,'Euro Age Table'!G$5,E173='Euro Age Table'!C$6,'Euro Age Table'!G$6,E173='Euro Age Table'!C$7,'Euro Age Table'!G$7,E173='Euro Age Table'!C$8,'Euro Age Table'!G$8,E173='Euro Age Table'!C$9,'Euro Age Table'!G$9,E173='Euro Age Table'!C$10,'Euro Age Table'!G$10,E173='Euro Age Table'!C$11,'Euro Age Table'!G$11)</f>
        <v>3</v>
      </c>
      <c r="Y173" s="46">
        <f>X173*'Eilat Car Data'!F$6</f>
        <v>83100</v>
      </c>
      <c r="Z173" s="46">
        <f>'T3 N2O HDV'!C$2</f>
        <v>6</v>
      </c>
      <c r="AA173" s="124">
        <f t="shared" si="10"/>
        <v>0</v>
      </c>
    </row>
    <row r="174" spans="1:27" ht="12.5">
      <c r="A174" s="58" t="s">
        <v>78</v>
      </c>
      <c r="B174" s="49" t="s">
        <v>22</v>
      </c>
      <c r="C174" s="49" t="s">
        <v>79</v>
      </c>
      <c r="D174" s="59" t="s">
        <v>80</v>
      </c>
      <c r="E174" s="50" t="s">
        <v>59</v>
      </c>
      <c r="F174" s="97">
        <v>1.5018856091301442E-3</v>
      </c>
      <c r="G174" s="99">
        <f t="shared" si="12"/>
        <v>1.1459387197663</v>
      </c>
      <c r="H174" s="46"/>
      <c r="I174" s="46">
        <f>G174*'Eilat Car Data'!F$6</f>
        <v>31742.50253752651</v>
      </c>
      <c r="J174" s="46">
        <f>I174*'Tier 1 Coefficients'!I$10</f>
        <v>7618200.609006362</v>
      </c>
      <c r="K174" s="46">
        <f t="shared" si="8"/>
        <v>7618.2006090063624</v>
      </c>
      <c r="L174" s="46">
        <f>K174*'Tier 1 Coefficients'!D$4</f>
        <v>24142.077729941164</v>
      </c>
      <c r="M174" s="46">
        <f>K174*'Tier 1 Coefficients'!C$21</f>
        <v>19350.229546876162</v>
      </c>
      <c r="N174" s="46">
        <f>K174*'Tier 1 Coefficients'!C$45</f>
        <v>388.52823105932447</v>
      </c>
      <c r="O174" s="46">
        <f>I174*'Tier 2 FC'!D$36</f>
        <v>6665925.532880567</v>
      </c>
      <c r="P174" s="46">
        <f t="shared" si="9"/>
        <v>6665.9255328805666</v>
      </c>
      <c r="Q174" s="46">
        <f>P174*'Tier 1 Coefficients'!D$4</f>
        <v>21124.318013698517</v>
      </c>
      <c r="R174" s="46">
        <f>$I174*'T2 HDV'!D16</f>
        <v>349.16752791279157</v>
      </c>
      <c r="S174" s="121">
        <f>$I174*'T2 HDV'!E16</f>
        <v>15426.856233237884</v>
      </c>
      <c r="T174" s="46">
        <f>44.011*(P174/(12.011+1.008*'Tier 3 CO2 Tables'!B$4+16*'Tier 3 CO2 Tables'!C$4))</f>
        <v>21127.508564643122</v>
      </c>
      <c r="U174" s="46">
        <f>I174*'Tier 3 CO2 Tables'!H$15/10000</f>
        <v>4.9518303958541354</v>
      </c>
      <c r="V174" s="46">
        <f>44.011*(U174/(12.011+1.008*'Tier 3 CO2 Tables'!B$6+16*'Tier 3 CO2 Tables'!C$6))</f>
        <v>15.448013101548975</v>
      </c>
      <c r="W174" s="46">
        <f>I174*'T3 Methane'!D$30</f>
        <v>5554937.9440671392</v>
      </c>
      <c r="X174" s="46" cm="1">
        <f t="array" ref="X174">_xlfn.IFS(E174='Euro Age Table'!C$5,'Euro Age Table'!G$5,E174='Euro Age Table'!C$6,'Euro Age Table'!G$6,E174='Euro Age Table'!C$7,'Euro Age Table'!G$7,E174='Euro Age Table'!C$8,'Euro Age Table'!G$8,E174='Euro Age Table'!C$9,'Euro Age Table'!G$9,E174='Euro Age Table'!C$10,'Euro Age Table'!G$10,E174='Euro Age Table'!C$11,'Euro Age Table'!G$11)</f>
        <v>9</v>
      </c>
      <c r="Y174" s="46">
        <f>X174*'Eilat Car Data'!F$6</f>
        <v>249300</v>
      </c>
      <c r="Z174" s="46">
        <f>'T3 N2O HDV'!C15</f>
        <v>29.8</v>
      </c>
      <c r="AA174" s="124">
        <f t="shared" si="10"/>
        <v>945926.57561828999</v>
      </c>
    </row>
    <row r="175" spans="1:27" ht="12.5">
      <c r="A175" s="58" t="s">
        <v>78</v>
      </c>
      <c r="B175" s="49" t="s">
        <v>22</v>
      </c>
      <c r="C175" s="49" t="s">
        <v>79</v>
      </c>
      <c r="D175" s="57" t="s">
        <v>80</v>
      </c>
      <c r="E175" s="50" t="s">
        <v>60</v>
      </c>
      <c r="F175" s="97">
        <v>1.3698517094263953E-3</v>
      </c>
      <c r="G175" s="99">
        <f t="shared" si="12"/>
        <v>1.0451968542923395</v>
      </c>
      <c r="H175" s="46"/>
      <c r="I175" s="46">
        <f>G175*'Eilat Car Data'!F$6</f>
        <v>28951.952863897804</v>
      </c>
      <c r="J175" s="46">
        <f>I175*'Tier 1 Coefficients'!I$10</f>
        <v>6948468.6873354735</v>
      </c>
      <c r="K175" s="46">
        <f t="shared" si="8"/>
        <v>6948.4686873354731</v>
      </c>
      <c r="L175" s="46">
        <f>K175*'Tier 1 Coefficients'!D$4</f>
        <v>22019.697270166114</v>
      </c>
      <c r="M175" s="46">
        <f>K175*'Tier 1 Coefficients'!C$21</f>
        <v>17649.110465832102</v>
      </c>
      <c r="N175" s="46">
        <f>K175*'Tier 1 Coefficients'!C$45</f>
        <v>354.37190305410911</v>
      </c>
      <c r="O175" s="46">
        <f>I175*'Tier 2 FC'!D$36</f>
        <v>6079910.101418539</v>
      </c>
      <c r="P175" s="46">
        <f t="shared" si="9"/>
        <v>6079.9101014185389</v>
      </c>
      <c r="Q175" s="46">
        <f>P175*'Tier 1 Coefficients'!D$4</f>
        <v>19267.235111395352</v>
      </c>
      <c r="R175" s="46">
        <f>$I175*'T2 HDV'!D17</f>
        <v>260.56757577508023</v>
      </c>
      <c r="S175" s="121">
        <f>$I175*'T2 HDV'!E17</f>
        <v>14070.649091854333</v>
      </c>
      <c r="T175" s="46">
        <f>44.011*(P175/(12.011+1.008*'Tier 3 CO2 Tables'!B$4+16*'Tier 3 CO2 Tables'!C$4))</f>
        <v>19270.145174344827</v>
      </c>
      <c r="U175" s="46">
        <f>I175*'Tier 3 CO2 Tables'!H$15/10000</f>
        <v>4.5165046467680581</v>
      </c>
      <c r="V175" s="46">
        <f>44.011*(U175/(12.011+1.008*'Tier 3 CO2 Tables'!B$6+16*'Tier 3 CO2 Tables'!C$6))</f>
        <v>14.089946015698517</v>
      </c>
      <c r="W175" s="46">
        <f>I175*'T3 Methane'!D$30</f>
        <v>5066591.7511821156</v>
      </c>
      <c r="X175" s="46" cm="1">
        <f t="array" ref="X175">_xlfn.IFS(E175='Euro Age Table'!C$5,'Euro Age Table'!G$5,E175='Euro Age Table'!C$6,'Euro Age Table'!G$6,E175='Euro Age Table'!C$7,'Euro Age Table'!G$7,E175='Euro Age Table'!C$8,'Euro Age Table'!G$8,E175='Euro Age Table'!C$9,'Euro Age Table'!G$9,E175='Euro Age Table'!C$10,'Euro Age Table'!G$10,E175='Euro Age Table'!C$11,'Euro Age Table'!G$11)</f>
        <v>3</v>
      </c>
      <c r="Y175" s="46">
        <f>X175*'Eilat Car Data'!F$6</f>
        <v>83100</v>
      </c>
      <c r="Z175" s="46">
        <f>'T3 N2O HDV'!C16</f>
        <v>37</v>
      </c>
      <c r="AA175" s="124">
        <f t="shared" si="10"/>
        <v>1071222.2559642189</v>
      </c>
    </row>
    <row r="176" spans="1:27" ht="12.5">
      <c r="A176" s="58" t="s">
        <v>78</v>
      </c>
      <c r="B176" s="49" t="s">
        <v>22</v>
      </c>
      <c r="C176" s="49" t="s">
        <v>79</v>
      </c>
      <c r="D176" s="56" t="s">
        <v>81</v>
      </c>
      <c r="E176" s="50" t="s">
        <v>57</v>
      </c>
      <c r="F176" s="97">
        <v>1.5679025589820187E-4</v>
      </c>
      <c r="G176" s="99">
        <f t="shared" si="12"/>
        <v>0.11963096525032803</v>
      </c>
      <c r="H176" s="46"/>
      <c r="I176" s="46">
        <f>G176*'Eilat Car Data'!F$6</f>
        <v>3313.7777374340862</v>
      </c>
      <c r="J176" s="46">
        <f>I176*'Tier 1 Coefficients'!I$10</f>
        <v>795306.65698418068</v>
      </c>
      <c r="K176" s="46">
        <f t="shared" si="8"/>
        <v>795.30665698418068</v>
      </c>
      <c r="L176" s="46">
        <f>K176*'Tier 1 Coefficients'!D$4</f>
        <v>2520.3267959828686</v>
      </c>
      <c r="M176" s="46">
        <f>K176*'Tier 1 Coefficients'!C$21</f>
        <v>2020.0789087398189</v>
      </c>
      <c r="N176" s="46">
        <f>K176*'Tier 1 Coefficients'!C$45</f>
        <v>40.560639506193212</v>
      </c>
      <c r="O176" s="46">
        <f>I176*'Tier 2 FC'!D$36</f>
        <v>695893.32486115815</v>
      </c>
      <c r="P176" s="46">
        <f t="shared" si="9"/>
        <v>695.89332486115813</v>
      </c>
      <c r="Q176" s="46">
        <f>P176*'Tier 1 Coefficients'!D$4</f>
        <v>2205.2859464850103</v>
      </c>
      <c r="R176" s="46">
        <f>$I176*'T2 HDV'!D14</f>
        <v>9.609955438558849</v>
      </c>
      <c r="S176" s="121">
        <f>$I176*'T2 HDV'!E14</f>
        <v>1610.495980392966</v>
      </c>
      <c r="T176" s="46">
        <f>44.011*(P176/(12.011+1.008*'Tier 3 CO2 Tables'!B$4+16*'Tier 3 CO2 Tables'!C$4))</f>
        <v>2205.6190259792274</v>
      </c>
      <c r="U176" s="46">
        <f>I176*'Tier 3 CO2 Tables'!H$15/10000</f>
        <v>0.51694932703971741</v>
      </c>
      <c r="V176" s="46">
        <f>44.011*(U176/(12.011+1.008*'Tier 3 CO2 Tables'!B$6+16*'Tier 3 CO2 Tables'!C$6))</f>
        <v>1.6127046644474201</v>
      </c>
      <c r="W176" s="46">
        <f>I176*'T3 Methane'!D$30</f>
        <v>579911.10405096505</v>
      </c>
      <c r="X176" s="46" cm="1">
        <f t="array" ref="X176">_xlfn.IFS(E176='Euro Age Table'!C$5,'Euro Age Table'!G$5,E176='Euro Age Table'!C$6,'Euro Age Table'!G$6,E176='Euro Age Table'!C$7,'Euro Age Table'!G$7,E176='Euro Age Table'!C$8,'Euro Age Table'!G$8,E176='Euro Age Table'!C$9,'Euro Age Table'!G$9,E176='Euro Age Table'!C$10,'Euro Age Table'!G$10,E176='Euro Age Table'!C$11,'Euro Age Table'!G$11)</f>
        <v>16</v>
      </c>
      <c r="Y176" s="46">
        <f>X176*'Eilat Car Data'!F$6</f>
        <v>443200</v>
      </c>
      <c r="Z176" s="46">
        <f>'T3 N2O HDV'!C13</f>
        <v>5</v>
      </c>
      <c r="AA176" s="124">
        <f t="shared" si="10"/>
        <v>16568.888687170431</v>
      </c>
    </row>
    <row r="177" spans="1:27" ht="12.5">
      <c r="A177" s="58" t="s">
        <v>78</v>
      </c>
      <c r="B177" s="49" t="s">
        <v>22</v>
      </c>
      <c r="C177" s="49" t="s">
        <v>79</v>
      </c>
      <c r="D177" s="56" t="s">
        <v>81</v>
      </c>
      <c r="E177" s="51" t="s">
        <v>60</v>
      </c>
      <c r="F177" s="97">
        <v>1.2460699284541307E-3</v>
      </c>
      <c r="G177" s="99">
        <f t="shared" si="12"/>
        <v>0.95075135541050171</v>
      </c>
      <c r="H177" s="46"/>
      <c r="I177" s="46">
        <f>G177*'Eilat Car Data'!F$6</f>
        <v>26335.812544870896</v>
      </c>
      <c r="J177" s="46">
        <f>I177*'Tier 1 Coefficients'!I$10</f>
        <v>6320595.0107690152</v>
      </c>
      <c r="K177" s="46">
        <f t="shared" si="8"/>
        <v>6320.5950107690151</v>
      </c>
      <c r="L177" s="46">
        <f>K177*'Tier 1 Coefficients'!D$4</f>
        <v>20029.965589127009</v>
      </c>
      <c r="M177" s="46">
        <f>K177*'Tier 1 Coefficients'!C$21</f>
        <v>16054.311327353298</v>
      </c>
      <c r="N177" s="46">
        <f>K177*'Tier 1 Coefficients'!C$45</f>
        <v>322.35034554921975</v>
      </c>
      <c r="O177" s="46">
        <f>I177*'Tier 2 FC'!D$36</f>
        <v>5530520.634422888</v>
      </c>
      <c r="P177" s="46">
        <f t="shared" si="9"/>
        <v>5530.5206344228882</v>
      </c>
      <c r="Q177" s="46">
        <f>P177*'Tier 1 Coefficients'!D$4</f>
        <v>17526.219890486132</v>
      </c>
      <c r="R177" s="46">
        <f>$I177*'T2 HDV'!D17</f>
        <v>237.02231290383804</v>
      </c>
      <c r="S177" s="121">
        <f>$I177*'T2 HDV'!E17</f>
        <v>12799.204896807256</v>
      </c>
      <c r="T177" s="46">
        <f>44.011*(P177/(12.011+1.008*'Tier 3 CO2 Tables'!B$4+16*'Tier 3 CO2 Tables'!C$4))</f>
        <v>17528.866995940174</v>
      </c>
      <c r="U177" s="46">
        <f>I177*'Tier 3 CO2 Tables'!H$15/10000</f>
        <v>4.1083867569998596</v>
      </c>
      <c r="V177" s="46">
        <f>44.011*(U177/(12.011+1.008*'Tier 3 CO2 Tables'!B$6+16*'Tier 3 CO2 Tables'!C$6))</f>
        <v>12.81675812271371</v>
      </c>
      <c r="W177" s="46">
        <f>I177*'T3 Methane'!D$30</f>
        <v>4608767.1953524072</v>
      </c>
      <c r="X177" s="46" cm="1">
        <f t="array" ref="X177">_xlfn.IFS(E177='Euro Age Table'!C$5,'Euro Age Table'!G$5,E177='Euro Age Table'!C$6,'Euro Age Table'!G$6,E177='Euro Age Table'!C$7,'Euro Age Table'!G$7,E177='Euro Age Table'!C$8,'Euro Age Table'!G$8,E177='Euro Age Table'!C$9,'Euro Age Table'!G$9,E177='Euro Age Table'!C$10,'Euro Age Table'!G$10,E177='Euro Age Table'!C$11,'Euro Age Table'!G$11)</f>
        <v>3</v>
      </c>
      <c r="Y177" s="46">
        <f>X177*'Eilat Car Data'!F$6</f>
        <v>83100</v>
      </c>
      <c r="Z177" s="46">
        <f>'T3 N2O HDV'!C16</f>
        <v>37</v>
      </c>
      <c r="AA177" s="124">
        <f t="shared" si="10"/>
        <v>974425.06416022312</v>
      </c>
    </row>
    <row r="178" spans="1:27" ht="12.5">
      <c r="A178" s="58" t="s">
        <v>78</v>
      </c>
      <c r="B178" s="49" t="s">
        <v>22</v>
      </c>
      <c r="C178" s="49" t="s">
        <v>79</v>
      </c>
      <c r="D178" s="59" t="s">
        <v>82</v>
      </c>
      <c r="E178" s="50" t="s">
        <v>54</v>
      </c>
      <c r="F178" s="97">
        <v>4.1260593657421542E-5</v>
      </c>
      <c r="G178" s="99">
        <f t="shared" si="12"/>
        <v>3.1481832960612639E-2</v>
      </c>
      <c r="H178" s="46"/>
      <c r="I178" s="46">
        <f>G178*'Eilat Car Data'!F$6</f>
        <v>872.04677300897015</v>
      </c>
      <c r="J178" s="46">
        <f>I178*'Tier 1 Coefficients'!I$10</f>
        <v>209291.22552215285</v>
      </c>
      <c r="K178" s="46">
        <f t="shared" si="8"/>
        <v>209.29122552215284</v>
      </c>
      <c r="L178" s="46">
        <f>K178*'Tier 1 Coefficients'!D$4</f>
        <v>663.24389367970241</v>
      </c>
      <c r="M178" s="46">
        <f>K178*'Tier 1 Coefficients'!C$21</f>
        <v>531.59971282626827</v>
      </c>
      <c r="N178" s="46">
        <f>K178*'Tier 1 Coefficients'!C$45</f>
        <v>10.673852501629794</v>
      </c>
      <c r="O178" s="46">
        <f>I178*'Tier 2 FC'!D$36</f>
        <v>183129.82233188374</v>
      </c>
      <c r="P178" s="46">
        <f t="shared" si="9"/>
        <v>183.12982233188373</v>
      </c>
      <c r="Q178" s="46">
        <f>P178*'Tier 1 Coefficients'!D$4</f>
        <v>580.33840696973959</v>
      </c>
      <c r="R178" s="46">
        <f>$I178*'T2 HDV'!D19</f>
        <v>2.5289356417260134</v>
      </c>
      <c r="S178" s="121">
        <f>$I178*'T2 HDV'!E19</f>
        <v>423.81473168235948</v>
      </c>
      <c r="T178" s="46">
        <f>44.011*(P178/(12.011+1.008*'Tier 3 CO2 Tables'!B$4+16*'Tier 3 CO2 Tables'!C$4))</f>
        <v>580.42605946821766</v>
      </c>
      <c r="U178" s="46">
        <f>I178*'Tier 3 CO2 Tables'!H$15/10000</f>
        <v>0.13603929658939934</v>
      </c>
      <c r="V178" s="46">
        <f>44.011*(U178/(12.011+1.008*'Tier 3 CO2 Tables'!B$6+16*'Tier 3 CO2 Tables'!C$6))</f>
        <v>0.42439596432826854</v>
      </c>
      <c r="W178" s="46">
        <f>I178*'T3 Methane'!D$30</f>
        <v>152608.18527656977</v>
      </c>
      <c r="X178" s="46" cm="1">
        <f t="array" ref="X178">_xlfn.IFS(E178='Euro Age Table'!C$5,'Euro Age Table'!G$5,E178='Euro Age Table'!C$6,'Euro Age Table'!G$6,E178='Euro Age Table'!C$7,'Euro Age Table'!G$7,E178='Euro Age Table'!C$8,'Euro Age Table'!G$8,E178='Euro Age Table'!C$9,'Euro Age Table'!G$9,E178='Euro Age Table'!C$10,'Euro Age Table'!G$10,E178='Euro Age Table'!C$11,'Euro Age Table'!G$11)</f>
        <v>27</v>
      </c>
      <c r="Y178" s="46">
        <f>X178*'Eilat Car Data'!F$6</f>
        <v>747900</v>
      </c>
      <c r="Z178" s="46">
        <f>'T3 N2O HDV'!C17</f>
        <v>30</v>
      </c>
      <c r="AA178" s="124">
        <f t="shared" si="10"/>
        <v>26161.403190269106</v>
      </c>
    </row>
    <row r="179" spans="1:27" ht="12.5">
      <c r="A179" s="58" t="s">
        <v>78</v>
      </c>
      <c r="B179" s="49" t="s">
        <v>22</v>
      </c>
      <c r="C179" s="49" t="s">
        <v>79</v>
      </c>
      <c r="D179" s="56" t="s">
        <v>82</v>
      </c>
      <c r="E179" s="50" t="s">
        <v>55</v>
      </c>
      <c r="F179" s="97">
        <v>8.2521187314843085E-6</v>
      </c>
      <c r="G179" s="99">
        <f t="shared" si="12"/>
        <v>6.2963665921225275E-3</v>
      </c>
      <c r="H179" s="46"/>
      <c r="I179" s="46">
        <f>G179*'Eilat Car Data'!F$6</f>
        <v>174.40935460179401</v>
      </c>
      <c r="J179" s="46">
        <f>I179*'Tier 1 Coefficients'!I$10</f>
        <v>41858.245104430564</v>
      </c>
      <c r="K179" s="46">
        <f t="shared" si="8"/>
        <v>41.858245104430566</v>
      </c>
      <c r="L179" s="46">
        <f>K179*'Tier 1 Coefficients'!D$4</f>
        <v>132.64877873594045</v>
      </c>
      <c r="M179" s="46">
        <f>K179*'Tier 1 Coefficients'!C$21</f>
        <v>106.31994256525364</v>
      </c>
      <c r="N179" s="46">
        <f>K179*'Tier 1 Coefficients'!C$45</f>
        <v>2.1347705003259585</v>
      </c>
      <c r="O179" s="46">
        <f>I179*'Tier 2 FC'!D$36</f>
        <v>36625.964466376739</v>
      </c>
      <c r="P179" s="46">
        <f t="shared" si="9"/>
        <v>36.625964466376736</v>
      </c>
      <c r="Q179" s="46">
        <f>P179*'Tier 1 Coefficients'!D$4</f>
        <v>116.06768139394788</v>
      </c>
      <c r="R179" s="46">
        <f>$I179*'T2 HDV'!D20</f>
        <v>0.50578712834520256</v>
      </c>
      <c r="S179" s="121">
        <f>$I179*'T2 HDV'!E20</f>
        <v>84.762946336471884</v>
      </c>
      <c r="T179" s="46">
        <f>44.011*(P179/(12.011+1.008*'Tier 3 CO2 Tables'!B$4+16*'Tier 3 CO2 Tables'!C$4))</f>
        <v>116.0852118936435</v>
      </c>
      <c r="U179" s="46">
        <f>I179*'Tier 3 CO2 Tables'!H$15/10000</f>
        <v>2.7207859317879866E-2</v>
      </c>
      <c r="V179" s="46">
        <f>44.011*(U179/(12.011+1.008*'Tier 3 CO2 Tables'!B$6+16*'Tier 3 CO2 Tables'!C$6))</f>
        <v>8.4879192865653708E-2</v>
      </c>
      <c r="W179" s="46">
        <f>I179*'T3 Methane'!D$30</f>
        <v>30521.63705531395</v>
      </c>
      <c r="X179" s="46" cm="1">
        <f t="array" ref="X179">_xlfn.IFS(E179='Euro Age Table'!C$5,'Euro Age Table'!G$5,E179='Euro Age Table'!C$6,'Euro Age Table'!G$6,E179='Euro Age Table'!C$7,'Euro Age Table'!G$7,E179='Euro Age Table'!C$8,'Euro Age Table'!G$8,E179='Euro Age Table'!C$9,'Euro Age Table'!G$9,E179='Euro Age Table'!C$10,'Euro Age Table'!G$10,E179='Euro Age Table'!C$11,'Euro Age Table'!G$11)</f>
        <v>23</v>
      </c>
      <c r="Y179" s="46">
        <f>X179*'Eilat Car Data'!F$6</f>
        <v>637100</v>
      </c>
      <c r="Z179" s="46">
        <f>'T3 N2O HDV'!C18</f>
        <v>17</v>
      </c>
      <c r="AA179" s="124">
        <f t="shared" si="10"/>
        <v>2964.959028230498</v>
      </c>
    </row>
    <row r="180" spans="1:27" ht="12.5">
      <c r="A180" s="58" t="s">
        <v>78</v>
      </c>
      <c r="B180" s="49" t="s">
        <v>22</v>
      </c>
      <c r="C180" s="49" t="s">
        <v>79</v>
      </c>
      <c r="D180" s="56" t="s">
        <v>82</v>
      </c>
      <c r="E180" s="50" t="s">
        <v>56</v>
      </c>
      <c r="F180" s="97">
        <v>8.2521187314843085E-6</v>
      </c>
      <c r="G180" s="99">
        <f t="shared" si="12"/>
        <v>6.2963665921225275E-3</v>
      </c>
      <c r="H180" s="46"/>
      <c r="I180" s="46">
        <f>G180*'Eilat Car Data'!F$6</f>
        <v>174.40935460179401</v>
      </c>
      <c r="J180" s="46">
        <f>I180*'Tier 1 Coefficients'!I$10</f>
        <v>41858.245104430564</v>
      </c>
      <c r="K180" s="46">
        <f t="shared" si="8"/>
        <v>41.858245104430566</v>
      </c>
      <c r="L180" s="46">
        <f>K180*'Tier 1 Coefficients'!D$4</f>
        <v>132.64877873594045</v>
      </c>
      <c r="M180" s="46">
        <f>K180*'Tier 1 Coefficients'!C$21</f>
        <v>106.31994256525364</v>
      </c>
      <c r="N180" s="46">
        <f>K180*'Tier 1 Coefficients'!C$45</f>
        <v>2.1347705003259585</v>
      </c>
      <c r="O180" s="46">
        <f>I180*'Tier 2 FC'!D$36</f>
        <v>36625.964466376739</v>
      </c>
      <c r="P180" s="46">
        <f t="shared" si="9"/>
        <v>36.625964466376736</v>
      </c>
      <c r="Q180" s="46">
        <f>P180*'Tier 1 Coefficients'!D$4</f>
        <v>116.06768139394788</v>
      </c>
      <c r="R180" s="46">
        <f>$I180*'T2 HDV'!D21</f>
        <v>0.50578712834520256</v>
      </c>
      <c r="S180" s="121">
        <f>$I180*'T2 HDV'!E21</f>
        <v>84.762946336471884</v>
      </c>
      <c r="T180" s="46">
        <f>44.011*(P180/(12.011+1.008*'Tier 3 CO2 Tables'!B$4+16*'Tier 3 CO2 Tables'!C$4))</f>
        <v>116.0852118936435</v>
      </c>
      <c r="U180" s="46">
        <f>I180*'Tier 3 CO2 Tables'!H$15/10000</f>
        <v>2.7207859317879866E-2</v>
      </c>
      <c r="V180" s="46">
        <f>44.011*(U180/(12.011+1.008*'Tier 3 CO2 Tables'!B$6+16*'Tier 3 CO2 Tables'!C$6))</f>
        <v>8.4879192865653708E-2</v>
      </c>
      <c r="W180" s="46">
        <f>I180*'T3 Methane'!D$30</f>
        <v>30521.63705531395</v>
      </c>
      <c r="X180" s="46" cm="1">
        <f t="array" ref="X180">_xlfn.IFS(E180='Euro Age Table'!C$5,'Euro Age Table'!G$5,E180='Euro Age Table'!C$6,'Euro Age Table'!G$6,E180='Euro Age Table'!C$7,'Euro Age Table'!G$7,E180='Euro Age Table'!C$8,'Euro Age Table'!G$8,E180='Euro Age Table'!C$9,'Euro Age Table'!G$9,E180='Euro Age Table'!C$10,'Euro Age Table'!G$10,E180='Euro Age Table'!C$11,'Euro Age Table'!G$11)</f>
        <v>18</v>
      </c>
      <c r="Y180" s="46">
        <f>X180*'Eilat Car Data'!F$6</f>
        <v>498600</v>
      </c>
      <c r="Z180" s="46">
        <f>'T3 N2O HDV'!C19</f>
        <v>17</v>
      </c>
      <c r="AA180" s="124">
        <f t="shared" si="10"/>
        <v>2964.959028230498</v>
      </c>
    </row>
    <row r="181" spans="1:27" ht="12.5">
      <c r="A181" s="58" t="s">
        <v>78</v>
      </c>
      <c r="B181" s="49" t="s">
        <v>22</v>
      </c>
      <c r="C181" s="49" t="s">
        <v>79</v>
      </c>
      <c r="D181" s="56" t="s">
        <v>82</v>
      </c>
      <c r="E181" s="50" t="s">
        <v>57</v>
      </c>
      <c r="F181" s="97">
        <v>1.6504237462968617E-5</v>
      </c>
      <c r="G181" s="99">
        <f t="shared" si="12"/>
        <v>1.2592733184245055E-2</v>
      </c>
      <c r="H181" s="46"/>
      <c r="I181" s="46">
        <f>G181*'Eilat Car Data'!F$6</f>
        <v>348.81870920358801</v>
      </c>
      <c r="J181" s="46">
        <f>I181*'Tier 1 Coefficients'!I$10</f>
        <v>83716.490208861127</v>
      </c>
      <c r="K181" s="46">
        <f t="shared" si="8"/>
        <v>83.716490208861131</v>
      </c>
      <c r="L181" s="46">
        <f>K181*'Tier 1 Coefficients'!D$4</f>
        <v>265.29755747188091</v>
      </c>
      <c r="M181" s="46">
        <f>K181*'Tier 1 Coefficients'!C$21</f>
        <v>212.63988513050728</v>
      </c>
      <c r="N181" s="46">
        <f>K181*'Tier 1 Coefficients'!C$45</f>
        <v>4.269541000651917</v>
      </c>
      <c r="O181" s="46">
        <f>I181*'Tier 2 FC'!D$36</f>
        <v>73251.928932753479</v>
      </c>
      <c r="P181" s="46">
        <f t="shared" si="9"/>
        <v>73.251928932753472</v>
      </c>
      <c r="Q181" s="46">
        <f>P181*'Tier 1 Coefficients'!D$4</f>
        <v>232.13536278789576</v>
      </c>
      <c r="R181" s="46">
        <f>$I181*'T2 HDV'!D22</f>
        <v>1.0115742566904051</v>
      </c>
      <c r="S181" s="121">
        <f>$I181*'T2 HDV'!E22</f>
        <v>169.52589267294377</v>
      </c>
      <c r="T181" s="46">
        <f>44.011*(P181/(12.011+1.008*'Tier 3 CO2 Tables'!B$4+16*'Tier 3 CO2 Tables'!C$4))</f>
        <v>232.17042378728701</v>
      </c>
      <c r="U181" s="46">
        <f>I181*'Tier 3 CO2 Tables'!H$15/10000</f>
        <v>5.4415718635759731E-2</v>
      </c>
      <c r="V181" s="46">
        <f>44.011*(U181/(12.011+1.008*'Tier 3 CO2 Tables'!B$6+16*'Tier 3 CO2 Tables'!C$6))</f>
        <v>0.16975838573130742</v>
      </c>
      <c r="W181" s="46">
        <f>I181*'T3 Methane'!D$30</f>
        <v>61043.274110627899</v>
      </c>
      <c r="X181" s="46" cm="1">
        <f t="array" ref="X181">_xlfn.IFS(E181='Euro Age Table'!C$5,'Euro Age Table'!G$5,E181='Euro Age Table'!C$6,'Euro Age Table'!G$6,E181='Euro Age Table'!C$7,'Euro Age Table'!G$7,E181='Euro Age Table'!C$8,'Euro Age Table'!G$8,E181='Euro Age Table'!C$9,'Euro Age Table'!G$9,E181='Euro Age Table'!C$10,'Euro Age Table'!G$10,E181='Euro Age Table'!C$11,'Euro Age Table'!G$11)</f>
        <v>16</v>
      </c>
      <c r="Y181" s="46">
        <f>X181*'Eilat Car Data'!F$6</f>
        <v>443200</v>
      </c>
      <c r="Z181" s="46">
        <f>'T3 N2O HDV'!C20</f>
        <v>8</v>
      </c>
      <c r="AA181" s="124">
        <f t="shared" si="10"/>
        <v>2790.5496736287041</v>
      </c>
    </row>
    <row r="182" spans="1:27" ht="12.5">
      <c r="A182" s="58" t="s">
        <v>78</v>
      </c>
      <c r="B182" s="49" t="s">
        <v>22</v>
      </c>
      <c r="C182" s="49" t="s">
        <v>79</v>
      </c>
      <c r="D182" s="56" t="s">
        <v>82</v>
      </c>
      <c r="E182" s="50" t="s">
        <v>58</v>
      </c>
      <c r="F182" s="97">
        <v>1.4853813716671755E-4</v>
      </c>
      <c r="G182" s="99">
        <f t="shared" si="12"/>
        <v>0.1133345986582055</v>
      </c>
      <c r="H182" s="46"/>
      <c r="I182" s="46">
        <f>G182*'Eilat Car Data'!F$6</f>
        <v>3139.3683828322924</v>
      </c>
      <c r="J182" s="46">
        <f>I182*'Tier 1 Coefficients'!I$10</f>
        <v>753448.4118797502</v>
      </c>
      <c r="K182" s="46">
        <f t="shared" si="8"/>
        <v>753.44841187975021</v>
      </c>
      <c r="L182" s="46">
        <f>K182*'Tier 1 Coefficients'!D$4</f>
        <v>2387.6780172469284</v>
      </c>
      <c r="M182" s="46">
        <f>K182*'Tier 1 Coefficients'!C$21</f>
        <v>1913.7589661745656</v>
      </c>
      <c r="N182" s="46">
        <f>K182*'Tier 1 Coefficients'!C$45</f>
        <v>38.425869005867256</v>
      </c>
      <c r="O182" s="46">
        <f>I182*'Tier 2 FC'!D$36</f>
        <v>659267.36039478134</v>
      </c>
      <c r="P182" s="46">
        <f t="shared" si="9"/>
        <v>659.26736039478135</v>
      </c>
      <c r="Q182" s="46">
        <f>P182*'Tier 1 Coefficients'!D$4</f>
        <v>2089.2182650910622</v>
      </c>
      <c r="R182" s="46">
        <f>$I182*'T2 HDV'!D23</f>
        <v>9.1041683102136464</v>
      </c>
      <c r="S182" s="121">
        <f>$I182*'T2 HDV'!E23</f>
        <v>1525.733034056494</v>
      </c>
      <c r="T182" s="46">
        <f>44.011*(P182/(12.011+1.008*'Tier 3 CO2 Tables'!B$4+16*'Tier 3 CO2 Tables'!C$4))</f>
        <v>2089.5338140855838</v>
      </c>
      <c r="U182" s="46">
        <f>I182*'Tier 3 CO2 Tables'!H$15/10000</f>
        <v>0.48974146772183758</v>
      </c>
      <c r="V182" s="46">
        <f>44.011*(U182/(12.011+1.008*'Tier 3 CO2 Tables'!B$6+16*'Tier 3 CO2 Tables'!C$6))</f>
        <v>1.5278254715817667</v>
      </c>
      <c r="W182" s="46">
        <f>I182*'T3 Methane'!D$30</f>
        <v>549389.46699565114</v>
      </c>
      <c r="X182" s="46" cm="1">
        <f t="array" ref="X182">_xlfn.IFS(E182='Euro Age Table'!C$5,'Euro Age Table'!G$5,E182='Euro Age Table'!C$6,'Euro Age Table'!G$6,E182='Euro Age Table'!C$7,'Euro Age Table'!G$7,E182='Euro Age Table'!C$8,'Euro Age Table'!G$8,E182='Euro Age Table'!C$9,'Euro Age Table'!G$9,E182='Euro Age Table'!C$10,'Euro Age Table'!G$10,E182='Euro Age Table'!C$11,'Euro Age Table'!G$11)</f>
        <v>13</v>
      </c>
      <c r="Y182" s="46">
        <f>X182*'Eilat Car Data'!F$6</f>
        <v>360100</v>
      </c>
      <c r="Z182" s="46">
        <f>'T3 N2O HDV'!C21</f>
        <v>17.399999999999999</v>
      </c>
      <c r="AA182" s="124">
        <f t="shared" si="10"/>
        <v>54625.009861281884</v>
      </c>
    </row>
    <row r="183" spans="1:27" ht="12.5">
      <c r="A183" s="58" t="s">
        <v>78</v>
      </c>
      <c r="B183" s="49" t="s">
        <v>22</v>
      </c>
      <c r="C183" s="49" t="s">
        <v>79</v>
      </c>
      <c r="D183" s="56" t="s">
        <v>82</v>
      </c>
      <c r="E183" s="50" t="s">
        <v>59</v>
      </c>
      <c r="F183" s="97">
        <v>3.9610169911124681E-4</v>
      </c>
      <c r="G183" s="99">
        <f t="shared" si="12"/>
        <v>0.30222559642188129</v>
      </c>
      <c r="H183" s="46"/>
      <c r="I183" s="46">
        <f>G183*'Eilat Car Data'!F$6</f>
        <v>8371.6490208861123</v>
      </c>
      <c r="J183" s="46">
        <f>I183*'Tier 1 Coefficients'!I$10</f>
        <v>2009195.765012667</v>
      </c>
      <c r="K183" s="46">
        <f t="shared" si="8"/>
        <v>2009.1957650126672</v>
      </c>
      <c r="L183" s="46">
        <f>K183*'Tier 1 Coefficients'!D$4</f>
        <v>6367.1413793251422</v>
      </c>
      <c r="M183" s="46">
        <f>K183*'Tier 1 Coefficients'!C$21</f>
        <v>5103.3572431321745</v>
      </c>
      <c r="N183" s="46">
        <f>K183*'Tier 1 Coefficients'!C$45</f>
        <v>102.46898401564601</v>
      </c>
      <c r="O183" s="46">
        <f>I183*'Tier 2 FC'!D$36</f>
        <v>1758046.2943860835</v>
      </c>
      <c r="P183" s="46">
        <f t="shared" si="9"/>
        <v>1758.0462943860834</v>
      </c>
      <c r="Q183" s="46">
        <f>P183*'Tier 1 Coefficients'!D$4</f>
        <v>5571.2487069094987</v>
      </c>
      <c r="R183" s="46">
        <f>$I183*'T2 HDV'!D24</f>
        <v>92.088139229747227</v>
      </c>
      <c r="S183" s="121">
        <f>$I183*'T2 HDV'!E24</f>
        <v>4068.6214241506505</v>
      </c>
      <c r="T183" s="46">
        <f>44.011*(P183/(12.011+1.008*'Tier 3 CO2 Tables'!B$4+16*'Tier 3 CO2 Tables'!C$4))</f>
        <v>5572.0901708948895</v>
      </c>
      <c r="U183" s="46">
        <f>I183*'Tier 3 CO2 Tables'!H$15/10000</f>
        <v>1.3059772472582336</v>
      </c>
      <c r="V183" s="46">
        <f>44.011*(U183/(12.011+1.008*'Tier 3 CO2 Tables'!B$6+16*'Tier 3 CO2 Tables'!C$6))</f>
        <v>4.074201257551378</v>
      </c>
      <c r="W183" s="46">
        <f>I183*'T3 Methane'!D$30</f>
        <v>1465038.5786550697</v>
      </c>
      <c r="X183" s="46" cm="1">
        <f t="array" ref="X183">_xlfn.IFS(E183='Euro Age Table'!C$5,'Euro Age Table'!G$5,E183='Euro Age Table'!C$6,'Euro Age Table'!G$6,E183='Euro Age Table'!C$7,'Euro Age Table'!G$7,E183='Euro Age Table'!C$8,'Euro Age Table'!G$8,E183='Euro Age Table'!C$9,'Euro Age Table'!G$9,E183='Euro Age Table'!C$10,'Euro Age Table'!G$10,E183='Euro Age Table'!C$11,'Euro Age Table'!G$11)</f>
        <v>9</v>
      </c>
      <c r="Y183" s="46">
        <f>X183*'Eilat Car Data'!F$6</f>
        <v>249300</v>
      </c>
      <c r="Z183" s="46">
        <f>'T3 N2O HDV'!C22</f>
        <v>45.6</v>
      </c>
      <c r="AA183" s="124">
        <f t="shared" si="10"/>
        <v>381747.19535240671</v>
      </c>
    </row>
    <row r="184" spans="1:27" ht="12.5">
      <c r="A184" s="58" t="s">
        <v>78</v>
      </c>
      <c r="B184" s="49" t="s">
        <v>22</v>
      </c>
      <c r="C184" s="49" t="s">
        <v>79</v>
      </c>
      <c r="D184" s="57" t="s">
        <v>82</v>
      </c>
      <c r="E184" s="51" t="s">
        <v>60</v>
      </c>
      <c r="F184" s="97">
        <v>7.096822109076505E-4</v>
      </c>
      <c r="G184" s="99">
        <f t="shared" si="12"/>
        <v>0.54148752692253732</v>
      </c>
      <c r="H184" s="46"/>
      <c r="I184" s="46">
        <f>G184*'Eilat Car Data'!F$6</f>
        <v>14999.204495754284</v>
      </c>
      <c r="J184" s="46">
        <f>I184*'Tier 1 Coefficients'!I$10</f>
        <v>3599809.0789810279</v>
      </c>
      <c r="K184" s="46">
        <f t="shared" si="8"/>
        <v>3599.8090789810281</v>
      </c>
      <c r="L184" s="46">
        <f>K184*'Tier 1 Coefficients'!D$4</f>
        <v>11407.794971290878</v>
      </c>
      <c r="M184" s="46">
        <f>K184*'Tier 1 Coefficients'!C$21</f>
        <v>9143.5150606118114</v>
      </c>
      <c r="N184" s="46">
        <f>K184*'Tier 1 Coefficients'!C$45</f>
        <v>183.59026302803241</v>
      </c>
      <c r="O184" s="46">
        <f>I184*'Tier 2 FC'!D$36</f>
        <v>3149832.9441083996</v>
      </c>
      <c r="P184" s="46">
        <f t="shared" si="9"/>
        <v>3149.8329441083997</v>
      </c>
      <c r="Q184" s="46">
        <f>P184*'Tier 1 Coefficients'!D$4</f>
        <v>9981.8205998795183</v>
      </c>
      <c r="R184" s="46">
        <f>$I184*'T2 HDV'!D25</f>
        <v>134.99284046178855</v>
      </c>
      <c r="S184" s="121">
        <f>$I184*'T2 HDV'!E25</f>
        <v>7289.6133849365815</v>
      </c>
      <c r="T184" s="46">
        <f>44.011*(P184/(12.011+1.008*'Tier 3 CO2 Tables'!B$4+16*'Tier 3 CO2 Tables'!C$4))</f>
        <v>9983.3282228533426</v>
      </c>
      <c r="U184" s="46">
        <f>I184*'Tier 3 CO2 Tables'!H$15/10000</f>
        <v>2.3398759013376682</v>
      </c>
      <c r="V184" s="46">
        <f>44.011*(U184/(12.011+1.008*'Tier 3 CO2 Tables'!B$6+16*'Tier 3 CO2 Tables'!C$6))</f>
        <v>7.2996105864462182</v>
      </c>
      <c r="W184" s="46">
        <f>I184*'T3 Methane'!D$30</f>
        <v>2624860.7867569998</v>
      </c>
      <c r="X184" s="46" cm="1">
        <f t="array" ref="X184">_xlfn.IFS(E184='Euro Age Table'!C$5,'Euro Age Table'!G$5,E184='Euro Age Table'!C$6,'Euro Age Table'!G$6,E184='Euro Age Table'!C$7,'Euro Age Table'!G$7,E184='Euro Age Table'!C$8,'Euro Age Table'!G$8,E184='Euro Age Table'!C$9,'Euro Age Table'!G$9,E184='Euro Age Table'!C$10,'Euro Age Table'!G$10,E184='Euro Age Table'!C$11,'Euro Age Table'!G$11)</f>
        <v>3</v>
      </c>
      <c r="Y184" s="46">
        <f>X184*'Eilat Car Data'!F$6</f>
        <v>83100</v>
      </c>
      <c r="Z184" s="46">
        <f>'T3 N2O HDV'!C23</f>
        <v>56.5</v>
      </c>
      <c r="AA184" s="124">
        <f t="shared" si="10"/>
        <v>847455.05401011708</v>
      </c>
    </row>
    <row r="185" spans="1:27" ht="12.5">
      <c r="A185" s="58" t="s">
        <v>78</v>
      </c>
      <c r="B185" s="49" t="s">
        <v>22</v>
      </c>
      <c r="C185" s="49" t="s">
        <v>79</v>
      </c>
      <c r="D185" s="56" t="s">
        <v>83</v>
      </c>
      <c r="E185" s="50" t="s">
        <v>54</v>
      </c>
      <c r="F185" s="97">
        <v>4.1260593657421542E-5</v>
      </c>
      <c r="G185" s="99">
        <f t="shared" si="12"/>
        <v>3.1481832960612639E-2</v>
      </c>
      <c r="H185" s="46"/>
      <c r="I185" s="46">
        <f>G185*'Eilat Car Data'!F$6</f>
        <v>872.04677300897015</v>
      </c>
      <c r="J185" s="46">
        <f>I185*'Tier 1 Coefficients'!I$10</f>
        <v>209291.22552215285</v>
      </c>
      <c r="K185" s="46">
        <f t="shared" si="8"/>
        <v>209.29122552215284</v>
      </c>
      <c r="L185" s="46">
        <f>K185*'Tier 1 Coefficients'!D$4</f>
        <v>663.24389367970241</v>
      </c>
      <c r="M185" s="46">
        <f>K185*'Tier 1 Coefficients'!C$21</f>
        <v>531.59971282626827</v>
      </c>
      <c r="N185" s="46">
        <f>K185*'Tier 1 Coefficients'!C$45</f>
        <v>10.673852501629794</v>
      </c>
      <c r="O185" s="46">
        <f>I185*'Tier 2 FC'!D$37</f>
        <v>258997.89158366414</v>
      </c>
      <c r="P185" s="46">
        <f t="shared" si="9"/>
        <v>258.99789158366411</v>
      </c>
      <c r="Q185" s="46">
        <f>P185*'Tier 1 Coefficients'!D$4</f>
        <v>820.76431842863155</v>
      </c>
      <c r="R185" s="46">
        <f>$I185*'T2 HDV'!D19</f>
        <v>2.5289356417260134</v>
      </c>
      <c r="S185" s="121">
        <f>$I185*'T2 HDV'!E19</f>
        <v>423.81473168235948</v>
      </c>
      <c r="T185" s="46">
        <f>44.011*(P185/(12.011+1.008*'Tier 3 CO2 Tables'!B$4+16*'Tier 3 CO2 Tables'!C$4))</f>
        <v>820.88828410505062</v>
      </c>
      <c r="U185" s="46">
        <f>I185*'Tier 3 CO2 Tables'!H$15/10000</f>
        <v>0.13603929658939934</v>
      </c>
      <c r="V185" s="46">
        <f>44.011*(U185/(12.011+1.008*'Tier 3 CO2 Tables'!B$6+16*'Tier 3 CO2 Tables'!C$6))</f>
        <v>0.42439596432826854</v>
      </c>
      <c r="W185" s="46">
        <f>I185*'T3 Methane'!D$30</f>
        <v>152608.18527656977</v>
      </c>
      <c r="X185" s="46" cm="1">
        <f t="array" ref="X185">_xlfn.IFS(E185='Euro Age Table'!C$5,'Euro Age Table'!G$5,E185='Euro Age Table'!C$6,'Euro Age Table'!G$6,E185='Euro Age Table'!C$7,'Euro Age Table'!G$7,E185='Euro Age Table'!C$8,'Euro Age Table'!G$8,E185='Euro Age Table'!C$9,'Euro Age Table'!G$9,E185='Euro Age Table'!C$10,'Euro Age Table'!G$10,E185='Euro Age Table'!C$11,'Euro Age Table'!G$11)</f>
        <v>27</v>
      </c>
      <c r="Y185" s="46">
        <f>X185*'Eilat Car Data'!F$6</f>
        <v>747900</v>
      </c>
      <c r="Z185" s="46">
        <f>'T3 N2O HDV'!C24</f>
        <v>30</v>
      </c>
      <c r="AA185" s="124">
        <f t="shared" si="10"/>
        <v>26161.403190269106</v>
      </c>
    </row>
    <row r="186" spans="1:27" ht="12.5">
      <c r="A186" s="58" t="s">
        <v>78</v>
      </c>
      <c r="B186" s="49" t="s">
        <v>22</v>
      </c>
      <c r="C186" s="49" t="s">
        <v>79</v>
      </c>
      <c r="D186" s="56" t="s">
        <v>83</v>
      </c>
      <c r="E186" s="50" t="s">
        <v>55</v>
      </c>
      <c r="F186" s="97">
        <v>8.2521187314843085E-6</v>
      </c>
      <c r="G186" s="99">
        <f t="shared" si="12"/>
        <v>6.2963665921225275E-3</v>
      </c>
      <c r="H186" s="46"/>
      <c r="I186" s="46">
        <f>G186*'Eilat Car Data'!F$6</f>
        <v>174.40935460179401</v>
      </c>
      <c r="J186" s="46">
        <f>I186*'Tier 1 Coefficients'!I$10</f>
        <v>41858.245104430564</v>
      </c>
      <c r="K186" s="46">
        <f t="shared" si="8"/>
        <v>41.858245104430566</v>
      </c>
      <c r="L186" s="46">
        <f>K186*'Tier 1 Coefficients'!D$4</f>
        <v>132.64877873594045</v>
      </c>
      <c r="M186" s="46">
        <f>K186*'Tier 1 Coefficients'!C$21</f>
        <v>106.31994256525364</v>
      </c>
      <c r="N186" s="46">
        <f>K186*'Tier 1 Coefficients'!C$45</f>
        <v>2.1347705003259585</v>
      </c>
      <c r="O186" s="46">
        <f>I186*'Tier 2 FC'!D$38</f>
        <v>43776.748005050293</v>
      </c>
      <c r="P186" s="46">
        <f t="shared" si="9"/>
        <v>43.776748005050294</v>
      </c>
      <c r="Q186" s="46">
        <f>P186*'Tier 1 Coefficients'!D$4</f>
        <v>138.72851442800439</v>
      </c>
      <c r="R186" s="46">
        <f>$I186*'T2 HDV'!D20</f>
        <v>0.50578712834520256</v>
      </c>
      <c r="S186" s="121">
        <f>$I186*'T2 HDV'!E20</f>
        <v>84.762946336471884</v>
      </c>
      <c r="T186" s="46">
        <f>44.011*(P186/(12.011+1.008*'Tier 3 CO2 Tables'!B$4+16*'Tier 3 CO2 Tables'!C$4))</f>
        <v>138.74946754906915</v>
      </c>
      <c r="U186" s="46">
        <f>I186*'Tier 3 CO2 Tables'!H$15/10000</f>
        <v>2.7207859317879866E-2</v>
      </c>
      <c r="V186" s="46">
        <f>44.011*(U186/(12.011+1.008*'Tier 3 CO2 Tables'!B$6+16*'Tier 3 CO2 Tables'!C$6))</f>
        <v>8.4879192865653708E-2</v>
      </c>
      <c r="W186" s="46">
        <f>I186*'T3 Methane'!D$30</f>
        <v>30521.63705531395</v>
      </c>
      <c r="X186" s="46" cm="1">
        <f t="array" ref="X186">_xlfn.IFS(E186='Euro Age Table'!C$5,'Euro Age Table'!G$5,E186='Euro Age Table'!C$6,'Euro Age Table'!G$6,E186='Euro Age Table'!C$7,'Euro Age Table'!G$7,E186='Euro Age Table'!C$8,'Euro Age Table'!G$8,E186='Euro Age Table'!C$9,'Euro Age Table'!G$9,E186='Euro Age Table'!C$10,'Euro Age Table'!G$10,E186='Euro Age Table'!C$11,'Euro Age Table'!G$11)</f>
        <v>23</v>
      </c>
      <c r="Y186" s="46">
        <f>X186*'Eilat Car Data'!F$6</f>
        <v>637100</v>
      </c>
      <c r="Z186" s="46">
        <f>'T3 N2O HDV'!C25</f>
        <v>18</v>
      </c>
      <c r="AA186" s="124">
        <f t="shared" si="10"/>
        <v>3139.3683828322919</v>
      </c>
    </row>
    <row r="187" spans="1:27" ht="12.5">
      <c r="A187" s="58" t="s">
        <v>78</v>
      </c>
      <c r="B187" s="49" t="s">
        <v>22</v>
      </c>
      <c r="C187" s="49" t="s">
        <v>79</v>
      </c>
      <c r="D187" s="56" t="s">
        <v>83</v>
      </c>
      <c r="E187" s="50" t="s">
        <v>56</v>
      </c>
      <c r="F187" s="97">
        <v>3.3008474925937234E-5</v>
      </c>
      <c r="G187" s="99">
        <f t="shared" si="12"/>
        <v>2.518546636849011E-2</v>
      </c>
      <c r="H187" s="46"/>
      <c r="I187" s="46">
        <f>G187*'Eilat Car Data'!F$6</f>
        <v>697.63741840717603</v>
      </c>
      <c r="J187" s="46">
        <f>I187*'Tier 1 Coefficients'!I$10</f>
        <v>167432.98041772225</v>
      </c>
      <c r="K187" s="46">
        <f t="shared" si="8"/>
        <v>167.43298041772226</v>
      </c>
      <c r="L187" s="46">
        <f>K187*'Tier 1 Coefficients'!D$4</f>
        <v>530.59511494376181</v>
      </c>
      <c r="M187" s="46">
        <f>K187*'Tier 1 Coefficients'!C$21</f>
        <v>425.27977026101456</v>
      </c>
      <c r="N187" s="46">
        <f>K187*'Tier 1 Coefficients'!C$45</f>
        <v>8.539082001303834</v>
      </c>
      <c r="O187" s="46">
        <f>I187*'Tier 2 FC'!D$38</f>
        <v>175106.99202020117</v>
      </c>
      <c r="P187" s="46">
        <f t="shared" si="9"/>
        <v>175.10699202020118</v>
      </c>
      <c r="Q187" s="46">
        <f>P187*'Tier 1 Coefficients'!D$4</f>
        <v>554.91405771201755</v>
      </c>
      <c r="R187" s="46">
        <f>$I187*'T2 HDV'!D21</f>
        <v>2.0231485133808103</v>
      </c>
      <c r="S187" s="121">
        <f>$I187*'T2 HDV'!E21</f>
        <v>339.05178534588754</v>
      </c>
      <c r="T187" s="46">
        <f>44.011*(P187/(12.011+1.008*'Tier 3 CO2 Tables'!B$4+16*'Tier 3 CO2 Tables'!C$4))</f>
        <v>554.99787019627661</v>
      </c>
      <c r="U187" s="46">
        <f>I187*'Tier 3 CO2 Tables'!H$15/10000</f>
        <v>0.10883143727151946</v>
      </c>
      <c r="V187" s="46">
        <f>44.011*(U187/(12.011+1.008*'Tier 3 CO2 Tables'!B$6+16*'Tier 3 CO2 Tables'!C$6))</f>
        <v>0.33951677146261483</v>
      </c>
      <c r="W187" s="46">
        <f>I187*'T3 Methane'!D$30</f>
        <v>122086.5482212558</v>
      </c>
      <c r="X187" s="46" cm="1">
        <f t="array" ref="X187">_xlfn.IFS(E187='Euro Age Table'!C$5,'Euro Age Table'!G$5,E187='Euro Age Table'!C$6,'Euro Age Table'!G$6,E187='Euro Age Table'!C$7,'Euro Age Table'!G$7,E187='Euro Age Table'!C$8,'Euro Age Table'!G$8,E187='Euro Age Table'!C$9,'Euro Age Table'!G$9,E187='Euro Age Table'!C$10,'Euro Age Table'!G$10,E187='Euro Age Table'!C$11,'Euro Age Table'!G$11)</f>
        <v>18</v>
      </c>
      <c r="Y187" s="46">
        <f>X187*'Eilat Car Data'!F$6</f>
        <v>498600</v>
      </c>
      <c r="Z187" s="46">
        <f>'T3 N2O HDV'!C26</f>
        <v>18</v>
      </c>
      <c r="AA187" s="124">
        <f t="shared" si="10"/>
        <v>12557.473531329168</v>
      </c>
    </row>
    <row r="188" spans="1:27" ht="12.5">
      <c r="A188" s="58" t="s">
        <v>78</v>
      </c>
      <c r="B188" s="49" t="s">
        <v>22</v>
      </c>
      <c r="C188" s="49" t="s">
        <v>79</v>
      </c>
      <c r="D188" s="56" t="s">
        <v>83</v>
      </c>
      <c r="E188" s="50" t="s">
        <v>57</v>
      </c>
      <c r="F188" s="97">
        <v>1.5679025589820187E-4</v>
      </c>
      <c r="G188" s="99">
        <f t="shared" si="12"/>
        <v>0.11963096525032803</v>
      </c>
      <c r="H188" s="46"/>
      <c r="I188" s="46">
        <f>G188*'Eilat Car Data'!F$6</f>
        <v>3313.7777374340862</v>
      </c>
      <c r="J188" s="46">
        <f>I188*'Tier 1 Coefficients'!I$10</f>
        <v>795306.65698418068</v>
      </c>
      <c r="K188" s="46">
        <f t="shared" si="8"/>
        <v>795.30665698418068</v>
      </c>
      <c r="L188" s="46">
        <f>K188*'Tier 1 Coefficients'!D$4</f>
        <v>2520.3267959828686</v>
      </c>
      <c r="M188" s="46">
        <f>K188*'Tier 1 Coefficients'!C$21</f>
        <v>2020.0789087398189</v>
      </c>
      <c r="N188" s="46">
        <f>K188*'Tier 1 Coefficients'!C$45</f>
        <v>40.560639506193212</v>
      </c>
      <c r="O188" s="46">
        <f>I188*'Tier 2 FC'!D$38</f>
        <v>831758.21209595562</v>
      </c>
      <c r="P188" s="46">
        <f t="shared" si="9"/>
        <v>831.75821209595563</v>
      </c>
      <c r="Q188" s="46">
        <f>P188*'Tier 1 Coefficients'!D$4</f>
        <v>2635.8417741320836</v>
      </c>
      <c r="R188" s="46">
        <f>$I188*'T2 HDV'!D22</f>
        <v>9.609955438558849</v>
      </c>
      <c r="S188" s="121">
        <f>$I188*'T2 HDV'!E22</f>
        <v>1610.495980392966</v>
      </c>
      <c r="T188" s="46">
        <f>44.011*(P188/(12.011+1.008*'Tier 3 CO2 Tables'!B$4+16*'Tier 3 CO2 Tables'!C$4))</f>
        <v>2636.2398834323144</v>
      </c>
      <c r="U188" s="46">
        <f>I188*'Tier 3 CO2 Tables'!H$15/10000</f>
        <v>0.51694932703971741</v>
      </c>
      <c r="V188" s="46">
        <f>44.011*(U188/(12.011+1.008*'Tier 3 CO2 Tables'!B$6+16*'Tier 3 CO2 Tables'!C$6))</f>
        <v>1.6127046644474201</v>
      </c>
      <c r="W188" s="46">
        <f>I188*'T3 Methane'!D$30</f>
        <v>579911.10405096505</v>
      </c>
      <c r="X188" s="46" cm="1">
        <f t="array" ref="X188">_xlfn.IFS(E188='Euro Age Table'!C$5,'Euro Age Table'!G$5,E188='Euro Age Table'!C$6,'Euro Age Table'!G$6,E188='Euro Age Table'!C$7,'Euro Age Table'!G$7,E188='Euro Age Table'!C$8,'Euro Age Table'!G$8,E188='Euro Age Table'!C$9,'Euro Age Table'!G$9,E188='Euro Age Table'!C$10,'Euro Age Table'!G$10,E188='Euro Age Table'!C$11,'Euro Age Table'!G$11)</f>
        <v>16</v>
      </c>
      <c r="Y188" s="46">
        <f>X188*'Eilat Car Data'!F$6</f>
        <v>443200</v>
      </c>
      <c r="Z188" s="46">
        <f>'T3 N2O HDV'!C27</f>
        <v>9</v>
      </c>
      <c r="AA188" s="124">
        <f t="shared" si="10"/>
        <v>29823.999636906778</v>
      </c>
    </row>
    <row r="189" spans="1:27" ht="12.5">
      <c r="A189" s="58" t="s">
        <v>78</v>
      </c>
      <c r="B189" s="49" t="s">
        <v>22</v>
      </c>
      <c r="C189" s="49" t="s">
        <v>79</v>
      </c>
      <c r="D189" s="56" t="s">
        <v>83</v>
      </c>
      <c r="E189" s="50" t="s">
        <v>58</v>
      </c>
      <c r="F189" s="97">
        <v>1.4853813716671755E-4</v>
      </c>
      <c r="G189" s="99">
        <f t="shared" si="12"/>
        <v>0.1133345986582055</v>
      </c>
      <c r="H189" s="46"/>
      <c r="I189" s="46">
        <f>G189*'Eilat Car Data'!F$6</f>
        <v>3139.3683828322924</v>
      </c>
      <c r="J189" s="46">
        <f>I189*'Tier 1 Coefficients'!I$10</f>
        <v>753448.4118797502</v>
      </c>
      <c r="K189" s="46">
        <f t="shared" si="8"/>
        <v>753.44841187975021</v>
      </c>
      <c r="L189" s="46">
        <f>K189*'Tier 1 Coefficients'!D$4</f>
        <v>2387.6780172469284</v>
      </c>
      <c r="M189" s="46">
        <f>K189*'Tier 1 Coefficients'!C$21</f>
        <v>1913.7589661745656</v>
      </c>
      <c r="N189" s="46">
        <f>K189*'Tier 1 Coefficients'!C$45</f>
        <v>38.425869005867256</v>
      </c>
      <c r="O189" s="46">
        <f>I189*'Tier 2 FC'!D$38</f>
        <v>787981.46409090539</v>
      </c>
      <c r="P189" s="46">
        <f t="shared" si="9"/>
        <v>787.98146409090543</v>
      </c>
      <c r="Q189" s="46">
        <f>P189*'Tier 1 Coefficients'!D$4</f>
        <v>2497.1132597040792</v>
      </c>
      <c r="R189" s="46">
        <f>$I189*'T2 HDV'!D23</f>
        <v>9.1041683102136464</v>
      </c>
      <c r="S189" s="121">
        <f>$I189*'T2 HDV'!E23</f>
        <v>1525.733034056494</v>
      </c>
      <c r="T189" s="46">
        <f>44.011*(P189/(12.011+1.008*'Tier 3 CO2 Tables'!B$4+16*'Tier 3 CO2 Tables'!C$4))</f>
        <v>2497.4904158832455</v>
      </c>
      <c r="U189" s="46">
        <f>I189*'Tier 3 CO2 Tables'!H$15/10000</f>
        <v>0.48974146772183758</v>
      </c>
      <c r="V189" s="46">
        <f>44.011*(U189/(12.011+1.008*'Tier 3 CO2 Tables'!B$6+16*'Tier 3 CO2 Tables'!C$6))</f>
        <v>1.5278254715817667</v>
      </c>
      <c r="W189" s="46">
        <f>I189*'T3 Methane'!D$30</f>
        <v>549389.46699565114</v>
      </c>
      <c r="X189" s="46" cm="1">
        <f t="array" ref="X189">_xlfn.IFS(E189='Euro Age Table'!C$5,'Euro Age Table'!G$5,E189='Euro Age Table'!C$6,'Euro Age Table'!G$6,E189='Euro Age Table'!C$7,'Euro Age Table'!G$7,E189='Euro Age Table'!C$8,'Euro Age Table'!G$8,E189='Euro Age Table'!C$9,'Euro Age Table'!G$9,E189='Euro Age Table'!C$10,'Euro Age Table'!G$10,E189='Euro Age Table'!C$11,'Euro Age Table'!G$11)</f>
        <v>13</v>
      </c>
      <c r="Y189" s="46">
        <f>X189*'Eilat Car Data'!F$6</f>
        <v>360100</v>
      </c>
      <c r="Z189" s="46">
        <f>'T3 N2O HDV'!C28</f>
        <v>19</v>
      </c>
      <c r="AA189" s="124">
        <f t="shared" si="10"/>
        <v>59647.999273813555</v>
      </c>
    </row>
    <row r="190" spans="1:27" ht="12.5">
      <c r="A190" s="58" t="s">
        <v>78</v>
      </c>
      <c r="B190" s="49" t="s">
        <v>22</v>
      </c>
      <c r="C190" s="49" t="s">
        <v>79</v>
      </c>
      <c r="D190" s="56" t="s">
        <v>83</v>
      </c>
      <c r="E190" s="50" t="s">
        <v>59</v>
      </c>
      <c r="F190" s="97">
        <v>3.7959746164827822E-4</v>
      </c>
      <c r="G190" s="99">
        <f t="shared" si="12"/>
        <v>0.28963286323763626</v>
      </c>
      <c r="H190" s="46"/>
      <c r="I190" s="46">
        <f>G190*'Eilat Car Data'!F$6</f>
        <v>8022.8303116825246</v>
      </c>
      <c r="J190" s="46">
        <f>I190*'Tier 1 Coefficients'!I$10</f>
        <v>1925479.2748038059</v>
      </c>
      <c r="K190" s="46">
        <f t="shared" si="8"/>
        <v>1925.4792748038058</v>
      </c>
      <c r="L190" s="46">
        <f>K190*'Tier 1 Coefficients'!D$4</f>
        <v>6101.8438218532601</v>
      </c>
      <c r="M190" s="46">
        <f>K190*'Tier 1 Coefficients'!C$21</f>
        <v>4890.717358001667</v>
      </c>
      <c r="N190" s="46">
        <f>K190*'Tier 1 Coefficients'!C$45</f>
        <v>98.199443014994088</v>
      </c>
      <c r="O190" s="46">
        <f>I190*'Tier 2 FC'!D$38</f>
        <v>2013730.4082323136</v>
      </c>
      <c r="P190" s="46">
        <f t="shared" si="9"/>
        <v>2013.7304082323135</v>
      </c>
      <c r="Q190" s="46">
        <f>P190*'Tier 1 Coefficients'!D$4</f>
        <v>6381.5116636882012</v>
      </c>
      <c r="R190" s="46">
        <f>$I190*'T2 HDV'!D24</f>
        <v>88.251133428507771</v>
      </c>
      <c r="S190" s="121">
        <f>$I190*'T2 HDV'!E24</f>
        <v>3899.095531477707</v>
      </c>
      <c r="T190" s="46">
        <f>44.011*(P190/(12.011+1.008*'Tier 3 CO2 Tables'!B$4+16*'Tier 3 CO2 Tables'!C$4))</f>
        <v>6382.4755072571816</v>
      </c>
      <c r="U190" s="46">
        <f>I190*'Tier 3 CO2 Tables'!H$15/10000</f>
        <v>1.2515615286224737</v>
      </c>
      <c r="V190" s="46">
        <f>44.011*(U190/(12.011+1.008*'Tier 3 CO2 Tables'!B$6+16*'Tier 3 CO2 Tables'!C$6))</f>
        <v>3.9044428718200699</v>
      </c>
      <c r="W190" s="46">
        <f>I190*'T3 Methane'!D$30</f>
        <v>1403995.3045444419</v>
      </c>
      <c r="X190" s="46" cm="1">
        <f t="array" ref="X190">_xlfn.IFS(E190='Euro Age Table'!C$5,'Euro Age Table'!G$5,E190='Euro Age Table'!C$6,'Euro Age Table'!G$6,E190='Euro Age Table'!C$7,'Euro Age Table'!G$7,E190='Euro Age Table'!C$8,'Euro Age Table'!G$8,E190='Euro Age Table'!C$9,'Euro Age Table'!G$9,E190='Euro Age Table'!C$10,'Euro Age Table'!G$10,E190='Euro Age Table'!C$11,'Euro Age Table'!G$11)</f>
        <v>9</v>
      </c>
      <c r="Y190" s="46">
        <f>X190*'Eilat Car Data'!F$6</f>
        <v>249300</v>
      </c>
      <c r="Z190" s="46">
        <f>'T3 N2O HDV'!C29</f>
        <v>49</v>
      </c>
      <c r="AA190" s="124">
        <f t="shared" si="10"/>
        <v>393118.68527244369</v>
      </c>
    </row>
    <row r="191" spans="1:27" ht="12.5">
      <c r="A191" s="58" t="s">
        <v>78</v>
      </c>
      <c r="B191" s="49" t="s">
        <v>22</v>
      </c>
      <c r="C191" s="49" t="s">
        <v>79</v>
      </c>
      <c r="D191" s="57" t="s">
        <v>83</v>
      </c>
      <c r="E191" s="50" t="s">
        <v>60</v>
      </c>
      <c r="F191" s="97">
        <v>1.5266419653245972E-3</v>
      </c>
      <c r="G191" s="99">
        <f t="shared" si="12"/>
        <v>1.1648278195426676</v>
      </c>
      <c r="H191" s="46"/>
      <c r="I191" s="46">
        <f>G191*'Eilat Car Data'!F$6</f>
        <v>32265.730601331892</v>
      </c>
      <c r="J191" s="46">
        <f>I191*'Tier 1 Coefficients'!I$10</f>
        <v>7743775.3443196537</v>
      </c>
      <c r="K191" s="46">
        <f t="shared" si="8"/>
        <v>7743.7753443196534</v>
      </c>
      <c r="L191" s="46">
        <f>K191*'Tier 1 Coefficients'!D$4</f>
        <v>24540.024066148981</v>
      </c>
      <c r="M191" s="46">
        <f>K191*'Tier 1 Coefficients'!C$21</f>
        <v>19669.189374571921</v>
      </c>
      <c r="N191" s="46">
        <f>K191*'Tier 1 Coefficients'!C$45</f>
        <v>394.93254256030229</v>
      </c>
      <c r="O191" s="46">
        <f>I191*'Tier 2 FC'!D$38</f>
        <v>8098698.3809343046</v>
      </c>
      <c r="P191" s="46">
        <f t="shared" si="9"/>
        <v>8098.6983809343046</v>
      </c>
      <c r="Q191" s="46">
        <f>P191*'Tier 1 Coefficients'!D$4</f>
        <v>25664.775169180812</v>
      </c>
      <c r="R191" s="46">
        <f>$I191*'T2 HDV'!D25</f>
        <v>290.39157541198699</v>
      </c>
      <c r="S191" s="121">
        <f>$I191*'T2 HDV'!E25</f>
        <v>15681.1450722473</v>
      </c>
      <c r="T191" s="46">
        <f>44.011*(P191/(12.011+1.008*'Tier 3 CO2 Tables'!B$4+16*'Tier 3 CO2 Tables'!C$4))</f>
        <v>25668.651496577793</v>
      </c>
      <c r="U191" s="46">
        <f>I191*'Tier 3 CO2 Tables'!H$15/10000</f>
        <v>5.0334539738077746</v>
      </c>
      <c r="V191" s="46">
        <f>44.011*(U191/(12.011+1.008*'Tier 3 CO2 Tables'!B$6+16*'Tier 3 CO2 Tables'!C$6))</f>
        <v>15.702650680145934</v>
      </c>
      <c r="W191" s="46">
        <f>I191*'T3 Methane'!D$30</f>
        <v>5646502.8552330807</v>
      </c>
      <c r="X191" s="46" cm="1">
        <f t="array" ref="X191">_xlfn.IFS(E191='Euro Age Table'!C$5,'Euro Age Table'!G$5,E191='Euro Age Table'!C$6,'Euro Age Table'!G$6,E191='Euro Age Table'!C$7,'Euro Age Table'!G$7,E191='Euro Age Table'!C$8,'Euro Age Table'!G$8,E191='Euro Age Table'!C$9,'Euro Age Table'!G$9,E191='Euro Age Table'!C$10,'Euro Age Table'!G$10,E191='Euro Age Table'!C$11,'Euro Age Table'!G$11)</f>
        <v>3</v>
      </c>
      <c r="Y191" s="46">
        <f>X191*'Eilat Car Data'!F$6</f>
        <v>83100</v>
      </c>
      <c r="Z191" s="46">
        <f>'T3 N2O HDV'!C30</f>
        <v>61</v>
      </c>
      <c r="AA191" s="124">
        <f t="shared" si="10"/>
        <v>1968209.5666812453</v>
      </c>
    </row>
    <row r="192" spans="1:27" ht="12.5">
      <c r="A192" s="58" t="s">
        <v>78</v>
      </c>
      <c r="B192" s="49" t="s">
        <v>22</v>
      </c>
      <c r="C192" s="49" t="s">
        <v>79</v>
      </c>
      <c r="D192" s="56" t="s">
        <v>84</v>
      </c>
      <c r="E192" s="50" t="s">
        <v>54</v>
      </c>
      <c r="F192" s="97">
        <v>1.6504237462968617E-4</v>
      </c>
      <c r="G192" s="99">
        <f t="shared" si="12"/>
        <v>0.12592733184245056</v>
      </c>
      <c r="H192" s="46"/>
      <c r="I192" s="46">
        <f>G192*'Eilat Car Data'!F$6</f>
        <v>3488.1870920358806</v>
      </c>
      <c r="J192" s="46">
        <f>I192*'Tier 1 Coefficients'!I$10</f>
        <v>837164.90208861139</v>
      </c>
      <c r="K192" s="46">
        <f t="shared" si="8"/>
        <v>837.16490208861137</v>
      </c>
      <c r="L192" s="46">
        <f>K192*'Tier 1 Coefficients'!D$4</f>
        <v>2652.9755747188096</v>
      </c>
      <c r="M192" s="46">
        <f>K192*'Tier 1 Coefficients'!C$21</f>
        <v>2126.3988513050731</v>
      </c>
      <c r="N192" s="46">
        <f>K192*'Tier 1 Coefficients'!C$45</f>
        <v>42.695410006519175</v>
      </c>
      <c r="O192" s="46">
        <f>I192*'Tier 2 FC'!D$37</f>
        <v>1035991.5663346566</v>
      </c>
      <c r="P192" s="46">
        <f t="shared" si="9"/>
        <v>1035.9915663346565</v>
      </c>
      <c r="Q192" s="46">
        <f>P192*'Tier 1 Coefficients'!D$4</f>
        <v>3283.0572737145262</v>
      </c>
      <c r="R192" s="46">
        <f>$I192*'T2 HDV'!D19</f>
        <v>10.115742566904053</v>
      </c>
      <c r="S192" s="121">
        <f>$I192*'T2 HDV'!E19</f>
        <v>1695.2589267294379</v>
      </c>
      <c r="T192" s="46">
        <f>44.011*(P192/(12.011+1.008*'Tier 3 CO2 Tables'!B$4+16*'Tier 3 CO2 Tables'!C$4))</f>
        <v>3283.5531364202025</v>
      </c>
      <c r="U192" s="46">
        <f>I192*'Tier 3 CO2 Tables'!H$15/10000</f>
        <v>0.54415718635759736</v>
      </c>
      <c r="V192" s="46">
        <f>44.011*(U192/(12.011+1.008*'Tier 3 CO2 Tables'!B$6+16*'Tier 3 CO2 Tables'!C$6))</f>
        <v>1.6975838573130742</v>
      </c>
      <c r="W192" s="46">
        <f>I192*'T3 Methane'!D$30</f>
        <v>610432.74110627908</v>
      </c>
      <c r="X192" s="46" cm="1">
        <f t="array" ref="X192">_xlfn.IFS(E192='Euro Age Table'!C$5,'Euro Age Table'!G$5,E192='Euro Age Table'!C$6,'Euro Age Table'!G$6,E192='Euro Age Table'!C$7,'Euro Age Table'!G$7,E192='Euro Age Table'!C$8,'Euro Age Table'!G$8,E192='Euro Age Table'!C$9,'Euro Age Table'!G$9,E192='Euro Age Table'!C$10,'Euro Age Table'!G$10,E192='Euro Age Table'!C$11,'Euro Age Table'!G$11)</f>
        <v>27</v>
      </c>
      <c r="Y192" s="46">
        <f>X192*'Eilat Car Data'!F$6</f>
        <v>747900</v>
      </c>
      <c r="Z192" s="46">
        <f>'T3 N2O HDV'!C24</f>
        <v>30</v>
      </c>
      <c r="AA192" s="124">
        <f t="shared" si="10"/>
        <v>104645.61276107642</v>
      </c>
    </row>
    <row r="193" spans="1:27" ht="12.5">
      <c r="A193" s="58" t="s">
        <v>78</v>
      </c>
      <c r="B193" s="49" t="s">
        <v>22</v>
      </c>
      <c r="C193" s="49" t="s">
        <v>79</v>
      </c>
      <c r="D193" s="56" t="s">
        <v>84</v>
      </c>
      <c r="E193" s="50" t="s">
        <v>55</v>
      </c>
      <c r="F193" s="97">
        <v>4.9512712388905851E-5</v>
      </c>
      <c r="G193" s="99">
        <f t="shared" si="12"/>
        <v>3.7778199552735162E-2</v>
      </c>
      <c r="H193" s="46"/>
      <c r="I193" s="46">
        <f>G193*'Eilat Car Data'!F$6</f>
        <v>1046.456127610764</v>
      </c>
      <c r="J193" s="46">
        <f>I193*'Tier 1 Coefficients'!I$10</f>
        <v>251149.47062658338</v>
      </c>
      <c r="K193" s="46">
        <f t="shared" si="8"/>
        <v>251.14947062658339</v>
      </c>
      <c r="L193" s="46">
        <f>K193*'Tier 1 Coefficients'!D$4</f>
        <v>795.89267241564278</v>
      </c>
      <c r="M193" s="46">
        <f>K193*'Tier 1 Coefficients'!C$21</f>
        <v>637.91965539152181</v>
      </c>
      <c r="N193" s="46">
        <f>K193*'Tier 1 Coefficients'!C$45</f>
        <v>12.808623001955752</v>
      </c>
      <c r="O193" s="46">
        <f>I193*'Tier 2 FC'!D$38</f>
        <v>262660.48803030176</v>
      </c>
      <c r="P193" s="46">
        <f t="shared" si="9"/>
        <v>262.66048803030174</v>
      </c>
      <c r="Q193" s="46">
        <f>P193*'Tier 1 Coefficients'!D$4</f>
        <v>832.37108656802616</v>
      </c>
      <c r="R193" s="46">
        <f>$I193*'T2 HDV'!D20</f>
        <v>3.0347227700712156</v>
      </c>
      <c r="S193" s="121">
        <f>$I193*'T2 HDV'!E20</f>
        <v>508.57767801883131</v>
      </c>
      <c r="T193" s="46">
        <f>44.011*(P193/(12.011+1.008*'Tier 3 CO2 Tables'!B$4+16*'Tier 3 CO2 Tables'!C$4))</f>
        <v>832.49680529441491</v>
      </c>
      <c r="U193" s="46">
        <f>I193*'Tier 3 CO2 Tables'!H$15/10000</f>
        <v>0.1632471559072792</v>
      </c>
      <c r="V193" s="46">
        <f>44.011*(U193/(12.011+1.008*'Tier 3 CO2 Tables'!B$6+16*'Tier 3 CO2 Tables'!C$6))</f>
        <v>0.50927515719392225</v>
      </c>
      <c r="W193" s="46">
        <f>I193*'T3 Methane'!D$30</f>
        <v>183129.82233188371</v>
      </c>
      <c r="X193" s="46" cm="1">
        <f t="array" ref="X193">_xlfn.IFS(E193='Euro Age Table'!C$5,'Euro Age Table'!G$5,E193='Euro Age Table'!C$6,'Euro Age Table'!G$6,E193='Euro Age Table'!C$7,'Euro Age Table'!G$7,E193='Euro Age Table'!C$8,'Euro Age Table'!G$8,E193='Euro Age Table'!C$9,'Euro Age Table'!G$9,E193='Euro Age Table'!C$10,'Euro Age Table'!G$10,E193='Euro Age Table'!C$11,'Euro Age Table'!G$11)</f>
        <v>23</v>
      </c>
      <c r="Y193" s="46">
        <f>X193*'Eilat Car Data'!F$6</f>
        <v>637100</v>
      </c>
      <c r="Z193" s="46">
        <f>'T3 N2O HDV'!C25</f>
        <v>18</v>
      </c>
      <c r="AA193" s="124">
        <f t="shared" si="10"/>
        <v>18836.210296993751</v>
      </c>
    </row>
    <row r="194" spans="1:27" ht="12.5">
      <c r="A194" s="58" t="s">
        <v>78</v>
      </c>
      <c r="B194" s="49" t="s">
        <v>22</v>
      </c>
      <c r="C194" s="49" t="s">
        <v>79</v>
      </c>
      <c r="D194" s="56" t="s">
        <v>84</v>
      </c>
      <c r="E194" s="50" t="s">
        <v>56</v>
      </c>
      <c r="F194" s="97">
        <v>9.0773306046327393E-5</v>
      </c>
      <c r="G194" s="99">
        <f t="shared" si="12"/>
        <v>6.9260032513347808E-2</v>
      </c>
      <c r="H194" s="46"/>
      <c r="I194" s="46">
        <f>G194*'Eilat Car Data'!F$6</f>
        <v>1918.5029006197342</v>
      </c>
      <c r="J194" s="46">
        <f>I194*'Tier 1 Coefficients'!I$10</f>
        <v>460440.69614873623</v>
      </c>
      <c r="K194" s="46">
        <f t="shared" si="8"/>
        <v>460.44069614873621</v>
      </c>
      <c r="L194" s="46">
        <f>K194*'Tier 1 Coefficients'!D$4</f>
        <v>1459.136566095345</v>
      </c>
      <c r="M194" s="46">
        <f>K194*'Tier 1 Coefficients'!C$21</f>
        <v>1169.5193682177901</v>
      </c>
      <c r="N194" s="46">
        <f>K194*'Tier 1 Coefficients'!C$45</f>
        <v>23.482475503585544</v>
      </c>
      <c r="O194" s="46">
        <f>I194*'Tier 2 FC'!D$38</f>
        <v>481544.22805555328</v>
      </c>
      <c r="P194" s="46">
        <f t="shared" si="9"/>
        <v>481.54422805555328</v>
      </c>
      <c r="Q194" s="46">
        <f>P194*'Tier 1 Coefficients'!D$4</f>
        <v>1526.0136587080483</v>
      </c>
      <c r="R194" s="46">
        <f>$I194*'T2 HDV'!D21</f>
        <v>5.5636584117972285</v>
      </c>
      <c r="S194" s="121">
        <f>$I194*'T2 HDV'!E21</f>
        <v>932.39240970119079</v>
      </c>
      <c r="T194" s="46">
        <f>44.011*(P194/(12.011+1.008*'Tier 3 CO2 Tables'!B$4+16*'Tier 3 CO2 Tables'!C$4))</f>
        <v>1526.244143039761</v>
      </c>
      <c r="U194" s="46">
        <f>I194*'Tier 3 CO2 Tables'!H$15/10000</f>
        <v>0.29928645249667857</v>
      </c>
      <c r="V194" s="46">
        <f>44.011*(U194/(12.011+1.008*'Tier 3 CO2 Tables'!B$6+16*'Tier 3 CO2 Tables'!C$6))</f>
        <v>0.93367112152219089</v>
      </c>
      <c r="W194" s="46">
        <f>I194*'T3 Methane'!D$30</f>
        <v>335738.00760845351</v>
      </c>
      <c r="X194" s="46" cm="1">
        <f t="array" ref="X194">_xlfn.IFS(E194='Euro Age Table'!C$5,'Euro Age Table'!G$5,E194='Euro Age Table'!C$6,'Euro Age Table'!G$6,E194='Euro Age Table'!C$7,'Euro Age Table'!G$7,E194='Euro Age Table'!C$8,'Euro Age Table'!G$8,E194='Euro Age Table'!C$9,'Euro Age Table'!G$9,E194='Euro Age Table'!C$10,'Euro Age Table'!G$10,E194='Euro Age Table'!C$11,'Euro Age Table'!G$11)</f>
        <v>18</v>
      </c>
      <c r="Y194" s="46">
        <f>X194*'Eilat Car Data'!F$6</f>
        <v>498600</v>
      </c>
      <c r="Z194" s="46">
        <f>'T3 N2O HDV'!C26</f>
        <v>18</v>
      </c>
      <c r="AA194" s="124">
        <f t="shared" si="10"/>
        <v>34533.052211155213</v>
      </c>
    </row>
    <row r="195" spans="1:27" ht="12.5">
      <c r="A195" s="58" t="s">
        <v>78</v>
      </c>
      <c r="B195" s="49" t="s">
        <v>22</v>
      </c>
      <c r="C195" s="49" t="s">
        <v>79</v>
      </c>
      <c r="D195" s="56" t="s">
        <v>84</v>
      </c>
      <c r="E195" s="50" t="s">
        <v>57</v>
      </c>
      <c r="F195" s="97">
        <v>1.0727754350929601E-4</v>
      </c>
      <c r="G195" s="99">
        <f t="shared" si="12"/>
        <v>8.1852765697592852E-2</v>
      </c>
      <c r="H195" s="46"/>
      <c r="I195" s="46">
        <f>G195*'Eilat Car Data'!F$6</f>
        <v>2267.321609823322</v>
      </c>
      <c r="J195" s="46">
        <f>I195*'Tier 1 Coefficients'!I$10</f>
        <v>544157.18635759724</v>
      </c>
      <c r="K195" s="46">
        <f t="shared" si="8"/>
        <v>544.1571863575972</v>
      </c>
      <c r="L195" s="46">
        <f>K195*'Tier 1 Coefficients'!D$4</f>
        <v>1724.4341235672255</v>
      </c>
      <c r="M195" s="46">
        <f>K195*'Tier 1 Coefficients'!C$21</f>
        <v>1382.1592533482969</v>
      </c>
      <c r="N195" s="46">
        <f>K195*'Tier 1 Coefficients'!C$45</f>
        <v>27.752016504237456</v>
      </c>
      <c r="O195" s="46">
        <f>I195*'Tier 2 FC'!D$38</f>
        <v>569097.72406565386</v>
      </c>
      <c r="P195" s="46">
        <f t="shared" si="9"/>
        <v>569.09772406565389</v>
      </c>
      <c r="Q195" s="46">
        <f>P195*'Tier 1 Coefficients'!D$4</f>
        <v>1803.4706875640572</v>
      </c>
      <c r="R195" s="46">
        <f>$I195*'T2 HDV'!D22</f>
        <v>6.575232668487633</v>
      </c>
      <c r="S195" s="121">
        <f>$I195*'T2 HDV'!E22</f>
        <v>1101.9183023741346</v>
      </c>
      <c r="T195" s="46">
        <f>44.011*(P195/(12.011+1.008*'Tier 3 CO2 Tables'!B$4+16*'Tier 3 CO2 Tables'!C$4))</f>
        <v>1803.7430781378994</v>
      </c>
      <c r="U195" s="46">
        <f>I195*'Tier 3 CO2 Tables'!H$15/10000</f>
        <v>0.35370217113243824</v>
      </c>
      <c r="V195" s="46">
        <f>44.011*(U195/(12.011+1.008*'Tier 3 CO2 Tables'!B$6+16*'Tier 3 CO2 Tables'!C$6))</f>
        <v>1.1034295072534981</v>
      </c>
      <c r="W195" s="46">
        <f>I195*'T3 Methane'!D$30</f>
        <v>396781.28171908134</v>
      </c>
      <c r="X195" s="46" cm="1">
        <f t="array" ref="X195">_xlfn.IFS(E195='Euro Age Table'!C$5,'Euro Age Table'!G$5,E195='Euro Age Table'!C$6,'Euro Age Table'!G$6,E195='Euro Age Table'!C$7,'Euro Age Table'!G$7,E195='Euro Age Table'!C$8,'Euro Age Table'!G$8,E195='Euro Age Table'!C$9,'Euro Age Table'!G$9,E195='Euro Age Table'!C$10,'Euro Age Table'!G$10,E195='Euro Age Table'!C$11,'Euro Age Table'!G$11)</f>
        <v>16</v>
      </c>
      <c r="Y195" s="46">
        <f>X195*'Eilat Car Data'!F$6</f>
        <v>443200</v>
      </c>
      <c r="Z195" s="46">
        <f>'T3 N2O HDV'!C27</f>
        <v>9</v>
      </c>
      <c r="AA195" s="124">
        <f t="shared" si="10"/>
        <v>20405.894488409896</v>
      </c>
    </row>
    <row r="196" spans="1:27" ht="12.5">
      <c r="A196" s="58" t="s">
        <v>78</v>
      </c>
      <c r="B196" s="49" t="s">
        <v>22</v>
      </c>
      <c r="C196" s="49" t="s">
        <v>79</v>
      </c>
      <c r="D196" s="56" t="s">
        <v>84</v>
      </c>
      <c r="E196" s="50" t="s">
        <v>58</v>
      </c>
      <c r="F196" s="97">
        <v>1.6504237462968617E-4</v>
      </c>
      <c r="G196" s="99">
        <f t="shared" si="12"/>
        <v>0.12592733184245056</v>
      </c>
      <c r="H196" s="46"/>
      <c r="I196" s="46">
        <f>G196*'Eilat Car Data'!F$6</f>
        <v>3488.1870920358806</v>
      </c>
      <c r="J196" s="46">
        <f>I196*'Tier 1 Coefficients'!I$10</f>
        <v>837164.90208861139</v>
      </c>
      <c r="K196" s="46">
        <f t="shared" ref="K196:K259" si="13">J196/1000</f>
        <v>837.16490208861137</v>
      </c>
      <c r="L196" s="46">
        <f>K196*'Tier 1 Coefficients'!D$4</f>
        <v>2652.9755747188096</v>
      </c>
      <c r="M196" s="46">
        <f>K196*'Tier 1 Coefficients'!C$21</f>
        <v>2126.3988513050731</v>
      </c>
      <c r="N196" s="46">
        <f>K196*'Tier 1 Coefficients'!C$45</f>
        <v>42.695410006519175</v>
      </c>
      <c r="O196" s="46">
        <f>I196*'Tier 2 FC'!D$38</f>
        <v>875534.96010100609</v>
      </c>
      <c r="P196" s="46">
        <f t="shared" ref="P196:P259" si="14">O196/1000</f>
        <v>875.53496010100605</v>
      </c>
      <c r="Q196" s="46">
        <f>P196*'Tier 1 Coefficients'!D$4</f>
        <v>2774.5702885600881</v>
      </c>
      <c r="R196" s="46">
        <f>$I196*'T2 HDV'!D23</f>
        <v>10.115742566904053</v>
      </c>
      <c r="S196" s="121">
        <f>$I196*'T2 HDV'!E23</f>
        <v>1695.2589267294379</v>
      </c>
      <c r="T196" s="46">
        <f>44.011*(P196/(12.011+1.008*'Tier 3 CO2 Tables'!B$4+16*'Tier 3 CO2 Tables'!C$4))</f>
        <v>2774.9893509813837</v>
      </c>
      <c r="U196" s="46">
        <f>I196*'Tier 3 CO2 Tables'!H$15/10000</f>
        <v>0.54415718635759736</v>
      </c>
      <c r="V196" s="46">
        <f>44.011*(U196/(12.011+1.008*'Tier 3 CO2 Tables'!B$6+16*'Tier 3 CO2 Tables'!C$6))</f>
        <v>1.6975838573130742</v>
      </c>
      <c r="W196" s="46">
        <f>I196*'T3 Methane'!D$30</f>
        <v>610432.74110627908</v>
      </c>
      <c r="X196" s="46" cm="1">
        <f t="array" ref="X196">_xlfn.IFS(E196='Euro Age Table'!C$5,'Euro Age Table'!G$5,E196='Euro Age Table'!C$6,'Euro Age Table'!G$6,E196='Euro Age Table'!C$7,'Euro Age Table'!G$7,E196='Euro Age Table'!C$8,'Euro Age Table'!G$8,E196='Euro Age Table'!C$9,'Euro Age Table'!G$9,E196='Euro Age Table'!C$10,'Euro Age Table'!G$10,E196='Euro Age Table'!C$11,'Euro Age Table'!G$11)</f>
        <v>13</v>
      </c>
      <c r="Y196" s="46">
        <f>X196*'Eilat Car Data'!F$6</f>
        <v>360100</v>
      </c>
      <c r="Z196" s="46">
        <f>'T3 N2O HDV'!C28</f>
        <v>19</v>
      </c>
      <c r="AA196" s="124">
        <f t="shared" ref="AA196:AA259" si="15">Z196*I196</f>
        <v>66275.554748681738</v>
      </c>
    </row>
    <row r="197" spans="1:27" ht="12.5">
      <c r="A197" s="58" t="s">
        <v>78</v>
      </c>
      <c r="B197" s="49" t="s">
        <v>22</v>
      </c>
      <c r="C197" s="49" t="s">
        <v>79</v>
      </c>
      <c r="D197" s="56" t="s">
        <v>84</v>
      </c>
      <c r="E197" s="50" t="s">
        <v>59</v>
      </c>
      <c r="F197" s="97">
        <v>5.4463983627796439E-4</v>
      </c>
      <c r="G197" s="99">
        <f t="shared" si="12"/>
        <v>0.41556019508008685</v>
      </c>
      <c r="H197" s="46"/>
      <c r="I197" s="46">
        <f>G197*'Eilat Car Data'!F$6</f>
        <v>11511.017403718406</v>
      </c>
      <c r="J197" s="46">
        <f>I197*'Tier 1 Coefficients'!I$10</f>
        <v>2762644.1768924175</v>
      </c>
      <c r="K197" s="46">
        <f t="shared" si="13"/>
        <v>2762.6441768924174</v>
      </c>
      <c r="L197" s="46">
        <f>K197*'Tier 1 Coefficients'!D$4</f>
        <v>8754.8193965720711</v>
      </c>
      <c r="M197" s="46">
        <f>K197*'Tier 1 Coefficients'!C$21</f>
        <v>7017.1162093067405</v>
      </c>
      <c r="N197" s="46">
        <f>K197*'Tier 1 Coefficients'!C$45</f>
        <v>140.89485302151328</v>
      </c>
      <c r="O197" s="46">
        <f>I197*'Tier 2 FC'!D$38</f>
        <v>2889265.3683333201</v>
      </c>
      <c r="P197" s="46">
        <f t="shared" si="14"/>
        <v>2889.2653683333201</v>
      </c>
      <c r="Q197" s="46">
        <f>P197*'Tier 1 Coefficients'!D$4</f>
        <v>9156.0819522482907</v>
      </c>
      <c r="R197" s="46">
        <f>$I197*'T2 HDV'!D24</f>
        <v>126.62119144090246</v>
      </c>
      <c r="S197" s="121">
        <f>$I197*'T2 HDV'!E24</f>
        <v>5594.3544582071454</v>
      </c>
      <c r="T197" s="46">
        <f>44.011*(P197/(12.011+1.008*'Tier 3 CO2 Tables'!B$4+16*'Tier 3 CO2 Tables'!C$4))</f>
        <v>9157.4648582385671</v>
      </c>
      <c r="U197" s="46">
        <f>I197*'Tier 3 CO2 Tables'!H$15/10000</f>
        <v>1.7957187149800713</v>
      </c>
      <c r="V197" s="46">
        <f>44.011*(U197/(12.011+1.008*'Tier 3 CO2 Tables'!B$6+16*'Tier 3 CO2 Tables'!C$6))</f>
        <v>5.6020267291331454</v>
      </c>
      <c r="W197" s="46">
        <f>I197*'T3 Methane'!D$30</f>
        <v>2014428.0456507211</v>
      </c>
      <c r="X197" s="46" cm="1">
        <f t="array" ref="X197">_xlfn.IFS(E197='Euro Age Table'!C$5,'Euro Age Table'!G$5,E197='Euro Age Table'!C$6,'Euro Age Table'!G$6,E197='Euro Age Table'!C$7,'Euro Age Table'!G$7,E197='Euro Age Table'!C$8,'Euro Age Table'!G$8,E197='Euro Age Table'!C$9,'Euro Age Table'!G$9,E197='Euro Age Table'!C$10,'Euro Age Table'!G$10,E197='Euro Age Table'!C$11,'Euro Age Table'!G$11)</f>
        <v>9</v>
      </c>
      <c r="Y197" s="46">
        <f>X197*'Eilat Car Data'!F$6</f>
        <v>249300</v>
      </c>
      <c r="Z197" s="46">
        <f>'T3 N2O HDV'!C29</f>
        <v>49</v>
      </c>
      <c r="AA197" s="124">
        <f t="shared" si="15"/>
        <v>564039.85278220195</v>
      </c>
    </row>
    <row r="198" spans="1:27" ht="12.5">
      <c r="A198" s="60" t="s">
        <v>78</v>
      </c>
      <c r="B198" s="49" t="s">
        <v>22</v>
      </c>
      <c r="C198" s="51" t="s">
        <v>79</v>
      </c>
      <c r="D198" s="57" t="s">
        <v>84</v>
      </c>
      <c r="E198" s="50" t="s">
        <v>60</v>
      </c>
      <c r="F198" s="97">
        <v>1.8732309520469381E-3</v>
      </c>
      <c r="G198" s="99">
        <f t="shared" si="12"/>
        <v>1.4292752164118137</v>
      </c>
      <c r="H198" s="46"/>
      <c r="I198" s="46">
        <f>G198*'Eilat Car Data'!F$6</f>
        <v>39590.923494607239</v>
      </c>
      <c r="J198" s="46">
        <f>I198*'Tier 1 Coefficients'!I$10</f>
        <v>9501821.6387057379</v>
      </c>
      <c r="K198" s="46">
        <f t="shared" si="13"/>
        <v>9501.8216387057382</v>
      </c>
      <c r="L198" s="46">
        <f>K198*'Tier 1 Coefficients'!D$4</f>
        <v>30111.272773058485</v>
      </c>
      <c r="M198" s="46">
        <f>K198*'Tier 1 Coefficients'!C$21</f>
        <v>24134.626962312577</v>
      </c>
      <c r="N198" s="46">
        <f>K198*'Tier 1 Coefficients'!C$45</f>
        <v>484.5929035739926</v>
      </c>
      <c r="O198" s="46">
        <f>I198*'Tier 2 FC'!D$38</f>
        <v>9937321.7971464172</v>
      </c>
      <c r="P198" s="46">
        <f t="shared" si="14"/>
        <v>9937.3217971464164</v>
      </c>
      <c r="Q198" s="46">
        <f>P198*'Tier 1 Coefficients'!D$4</f>
        <v>31491.372775156993</v>
      </c>
      <c r="R198" s="46">
        <f>$I198*'T2 HDV'!D25</f>
        <v>356.31831145146515</v>
      </c>
      <c r="S198" s="121">
        <f>$I198*'T2 HDV'!E25</f>
        <v>19241.188818379116</v>
      </c>
      <c r="T198" s="46">
        <f>44.011*(P198/(12.011+1.008*'Tier 3 CO2 Tables'!B$4+16*'Tier 3 CO2 Tables'!C$4))</f>
        <v>31496.1291336387</v>
      </c>
      <c r="U198" s="46">
        <f>I198*'Tier 3 CO2 Tables'!H$15/10000</f>
        <v>6.1761840651587292</v>
      </c>
      <c r="V198" s="46">
        <f>44.011*(U198/(12.011+1.008*'Tier 3 CO2 Tables'!B$6+16*'Tier 3 CO2 Tables'!C$6))</f>
        <v>19.26757678050339</v>
      </c>
      <c r="W198" s="46">
        <f>I198*'T3 Methane'!D$30</f>
        <v>6928411.6115562664</v>
      </c>
      <c r="X198" s="46" cm="1">
        <f t="array" ref="X198">_xlfn.IFS(E198='Euro Age Table'!C$5,'Euro Age Table'!G$5,E198='Euro Age Table'!C$6,'Euro Age Table'!G$6,E198='Euro Age Table'!C$7,'Euro Age Table'!G$7,E198='Euro Age Table'!C$8,'Euro Age Table'!G$8,E198='Euro Age Table'!C$9,'Euro Age Table'!G$9,E198='Euro Age Table'!C$10,'Euro Age Table'!G$10,E198='Euro Age Table'!C$11,'Euro Age Table'!G$11)</f>
        <v>3</v>
      </c>
      <c r="Y198" s="46">
        <f>X198*'Eilat Car Data'!F$6</f>
        <v>83100</v>
      </c>
      <c r="Z198" s="46">
        <f>'T3 N2O HDV'!C30</f>
        <v>61</v>
      </c>
      <c r="AA198" s="124">
        <f t="shared" si="15"/>
        <v>2415046.3331710417</v>
      </c>
    </row>
    <row r="199" spans="1:27" ht="12.5">
      <c r="A199" s="58" t="s">
        <v>75</v>
      </c>
      <c r="B199" s="49" t="s">
        <v>22</v>
      </c>
      <c r="C199" s="49" t="s">
        <v>76</v>
      </c>
      <c r="D199" s="56" t="s">
        <v>77</v>
      </c>
      <c r="E199" s="50" t="s">
        <v>54</v>
      </c>
      <c r="F199" s="97">
        <v>5.6494004835741574E-2</v>
      </c>
      <c r="G199" s="99">
        <f t="shared" si="12"/>
        <v>43.104925689670821</v>
      </c>
      <c r="H199" s="46"/>
      <c r="I199" s="46">
        <f>G199*'Eilat Car Data'!F$6</f>
        <v>1194006.4416038818</v>
      </c>
      <c r="J199" s="46">
        <f>I199*'Tier 1 Coefficients'!I$10</f>
        <v>286561545.98493165</v>
      </c>
      <c r="K199" s="46">
        <f t="shared" si="13"/>
        <v>286561.54598493164</v>
      </c>
      <c r="L199" s="46">
        <f>K199*'Tier 1 Coefficients'!D$4</f>
        <v>908113.53922624839</v>
      </c>
      <c r="M199" s="46">
        <f>K199*'Tier 1 Coefficients'!C$21</f>
        <v>727866.32680172636</v>
      </c>
      <c r="N199" s="46">
        <f>K199*'Tier 1 Coefficients'!C$45</f>
        <v>14614.638845231513</v>
      </c>
      <c r="O199" s="46">
        <f>I199*'Tier 2 FC'!D31</f>
        <v>149250805.20048523</v>
      </c>
      <c r="P199" s="46">
        <f t="shared" si="14"/>
        <v>149250.80520048522</v>
      </c>
      <c r="Q199" s="46">
        <f>P199*'Tier 1 Coefficients'!D$4</f>
        <v>472975.8016803377</v>
      </c>
      <c r="R199" s="46">
        <f>$I199*'T2 HDV'!D3</f>
        <v>34626.186806512575</v>
      </c>
      <c r="S199" s="121">
        <f>$I199*'T2 HDV'!E3</f>
        <v>580287.13061948656</v>
      </c>
      <c r="T199" s="46">
        <f>44.011*(P199/(12.011+1.008*'Tier 3 CO2 Tables'!B$4+16*'Tier 3 CO2 Tables'!C$4))</f>
        <v>473047.2384665974</v>
      </c>
      <c r="U199" s="46">
        <f>I199*'Tier 3 CO2 Tables'!H$15/10000</f>
        <v>186.26500489020557</v>
      </c>
      <c r="V199" s="46">
        <f>44.011*(U199/(12.011+1.008*'Tier 3 CO2 Tables'!B$6+16*'Tier 3 CO2 Tables'!C$6))</f>
        <v>581.08295435826528</v>
      </c>
      <c r="W199" s="46">
        <f>I199*'T3 Methane'!D$29</f>
        <v>101490547.53632995</v>
      </c>
      <c r="X199" s="46" cm="1">
        <f t="array" ref="X199">_xlfn.IFS(E199='Euro Age Table'!C$5,'Euro Age Table'!G$5,E199='Euro Age Table'!C$6,'Euro Age Table'!G$6,E199='Euro Age Table'!C$7,'Euro Age Table'!G$7,E199='Euro Age Table'!C$8,'Euro Age Table'!G$8,E199='Euro Age Table'!C$9,'Euro Age Table'!G$9,E199='Euro Age Table'!C$10,'Euro Age Table'!G$10,E199='Euro Age Table'!C$11,'Euro Age Table'!G$11)</f>
        <v>27</v>
      </c>
      <c r="Y199" s="46">
        <f>X199*'Eilat Car Data'!F$6</f>
        <v>747900</v>
      </c>
      <c r="Z199" s="46">
        <f>'T3 N2O HDV'!C3</f>
        <v>30</v>
      </c>
      <c r="AA199" s="124">
        <f t="shared" si="15"/>
        <v>35820193.248116456</v>
      </c>
    </row>
    <row r="200" spans="1:27" ht="12.5">
      <c r="A200" s="58" t="s">
        <v>75</v>
      </c>
      <c r="B200" s="49" t="s">
        <v>22</v>
      </c>
      <c r="C200" s="49" t="s">
        <v>76</v>
      </c>
      <c r="D200" s="56" t="s">
        <v>77</v>
      </c>
      <c r="E200" s="50" t="s">
        <v>55</v>
      </c>
      <c r="F200" s="97">
        <v>5.6593030260519386E-2</v>
      </c>
      <c r="G200" s="99">
        <f t="shared" si="12"/>
        <v>43.180482088776294</v>
      </c>
      <c r="H200" s="46"/>
      <c r="I200" s="46">
        <f>G200*'Eilat Car Data'!F$6</f>
        <v>1196099.3538591033</v>
      </c>
      <c r="J200" s="46">
        <f>I200*'Tier 1 Coefficients'!I$10</f>
        <v>287063844.92618477</v>
      </c>
      <c r="K200" s="46">
        <f t="shared" si="13"/>
        <v>287063.8449261848</v>
      </c>
      <c r="L200" s="46">
        <f>K200*'Tier 1 Coefficients'!D$4</f>
        <v>909705.32457107969</v>
      </c>
      <c r="M200" s="46">
        <f>K200*'Tier 1 Coefficients'!C$21</f>
        <v>729142.16611250944</v>
      </c>
      <c r="N200" s="46">
        <f>K200*'Tier 1 Coefficients'!C$45</f>
        <v>14640.256091235424</v>
      </c>
      <c r="O200" s="46">
        <f>I200*'Tier 2 FC'!D$32</f>
        <v>120806034.73976943</v>
      </c>
      <c r="P200" s="46">
        <f t="shared" si="14"/>
        <v>120806.03473976943</v>
      </c>
      <c r="Q200" s="46">
        <f>P200*'Tier 1 Coefficients'!D$4</f>
        <v>382834.32409032935</v>
      </c>
      <c r="R200" s="46">
        <f>$I200*'T2 HDV'!D4</f>
        <v>5980.496769295517</v>
      </c>
      <c r="S200" s="121">
        <f>$I200*'T2 HDV'!E4</f>
        <v>581304.28597552422</v>
      </c>
      <c r="T200" s="46">
        <f>44.011*(P200/(12.011+1.008*'Tier 3 CO2 Tables'!B$4+16*'Tier 3 CO2 Tables'!C$4))</f>
        <v>382892.14618965395</v>
      </c>
      <c r="U200" s="46">
        <f>I200*'Tier 3 CO2 Tables'!H$15/10000</f>
        <v>186.59149920202012</v>
      </c>
      <c r="V200" s="46">
        <f>44.011*(U200/(12.011+1.008*'Tier 3 CO2 Tables'!B$6+16*'Tier 3 CO2 Tables'!C$6))</f>
        <v>582.10150467265316</v>
      </c>
      <c r="W200" s="46">
        <f>I200*'T3 Methane'!D$29</f>
        <v>101668445.07802378</v>
      </c>
      <c r="X200" s="46" cm="1">
        <f t="array" ref="X200">_xlfn.IFS(E200='Euro Age Table'!C$5,'Euro Age Table'!G$5,E200='Euro Age Table'!C$6,'Euro Age Table'!G$6,E200='Euro Age Table'!C$7,'Euro Age Table'!G$7,E200='Euro Age Table'!C$8,'Euro Age Table'!G$8,E200='Euro Age Table'!C$9,'Euro Age Table'!G$9,E200='Euro Age Table'!C$10,'Euro Age Table'!G$10,E200='Euro Age Table'!C$11,'Euro Age Table'!G$11)</f>
        <v>23</v>
      </c>
      <c r="Y200" s="46">
        <f>X200*'Eilat Car Data'!F$6</f>
        <v>637100</v>
      </c>
      <c r="Z200" s="46">
        <f>'T3 N2O HDV'!C4</f>
        <v>6</v>
      </c>
      <c r="AA200" s="124">
        <f t="shared" si="15"/>
        <v>7176596.1231546197</v>
      </c>
    </row>
    <row r="201" spans="1:27" ht="12.5">
      <c r="A201" s="58" t="s">
        <v>75</v>
      </c>
      <c r="B201" s="49" t="s">
        <v>22</v>
      </c>
      <c r="C201" s="49" t="s">
        <v>76</v>
      </c>
      <c r="D201" s="56" t="s">
        <v>77</v>
      </c>
      <c r="E201" s="50" t="s">
        <v>56</v>
      </c>
      <c r="F201" s="97">
        <v>2.470684348206402E-2</v>
      </c>
      <c r="G201" s="99">
        <f t="shared" si="12"/>
        <v>18.851321576814847</v>
      </c>
      <c r="H201" s="46"/>
      <c r="I201" s="46">
        <f>G201*'Eilat Car Data'!F$6</f>
        <v>522181.60767777124</v>
      </c>
      <c r="J201" s="46">
        <f>I201*'Tier 1 Coefficients'!I$10</f>
        <v>125323585.84266511</v>
      </c>
      <c r="K201" s="46">
        <f t="shared" si="13"/>
        <v>125323.58584266511</v>
      </c>
      <c r="L201" s="46">
        <f>K201*'Tier 1 Coefficients'!D$4</f>
        <v>397150.44353540574</v>
      </c>
      <c r="M201" s="46">
        <f>K201*'Tier 1 Coefficients'!C$21</f>
        <v>318321.9080403694</v>
      </c>
      <c r="N201" s="46">
        <f>K201*'Tier 1 Coefficients'!C$45</f>
        <v>6391.5028779759205</v>
      </c>
      <c r="O201" s="46">
        <f>I201*'Tier 2 FC'!D$32</f>
        <v>52740342.375454895</v>
      </c>
      <c r="P201" s="46">
        <f t="shared" si="14"/>
        <v>52740.342375454893</v>
      </c>
      <c r="Q201" s="46">
        <f>P201*'Tier 1 Coefficients'!D$4</f>
        <v>167134.14498781654</v>
      </c>
      <c r="R201" s="46">
        <f>$I201*'T2 HDV'!D5</f>
        <v>2088.726430711085</v>
      </c>
      <c r="S201" s="121">
        <f>$I201*'T2 HDV'!E5</f>
        <v>253780.26133139682</v>
      </c>
      <c r="T201" s="46">
        <f>44.011*(P201/(12.011+1.008*'Tier 3 CO2 Tables'!B$4+16*'Tier 3 CO2 Tables'!C$4))</f>
        <v>167159.38840650686</v>
      </c>
      <c r="U201" s="46">
        <f>I201*'Tier 3 CO2 Tables'!H$15/10000</f>
        <v>81.460330797732325</v>
      </c>
      <c r="V201" s="46">
        <f>44.011*(U201/(12.011+1.008*'Tier 3 CO2 Tables'!B$6+16*'Tier 3 CO2 Tables'!C$6))</f>
        <v>254.12830343976719</v>
      </c>
      <c r="W201" s="46">
        <f>I201*'T3 Methane'!D$29</f>
        <v>44385436.652610555</v>
      </c>
      <c r="X201" s="46" cm="1">
        <f t="array" ref="X201">_xlfn.IFS(E201='Euro Age Table'!C$5,'Euro Age Table'!G$5,E201='Euro Age Table'!C$6,'Euro Age Table'!G$6,E201='Euro Age Table'!C$7,'Euro Age Table'!G$7,E201='Euro Age Table'!C$8,'Euro Age Table'!G$8,E201='Euro Age Table'!C$9,'Euro Age Table'!G$9,E201='Euro Age Table'!C$10,'Euro Age Table'!G$10,E201='Euro Age Table'!C$11,'Euro Age Table'!G$11)</f>
        <v>18</v>
      </c>
      <c r="Y201" s="46">
        <f>X201*'Eilat Car Data'!F$6</f>
        <v>498600</v>
      </c>
      <c r="Z201" s="46">
        <f>'T3 N2O HDV'!C5</f>
        <v>5</v>
      </c>
      <c r="AA201" s="124">
        <f t="shared" si="15"/>
        <v>2610908.0383888562</v>
      </c>
    </row>
    <row r="202" spans="1:27" ht="12.5">
      <c r="A202" s="58" t="s">
        <v>75</v>
      </c>
      <c r="B202" s="49" t="s">
        <v>22</v>
      </c>
      <c r="C202" s="49" t="s">
        <v>76</v>
      </c>
      <c r="D202" s="56" t="s">
        <v>77</v>
      </c>
      <c r="E202" s="50" t="s">
        <v>57</v>
      </c>
      <c r="F202" s="97">
        <v>7.8494153373878744E-2</v>
      </c>
      <c r="G202" s="99">
        <f t="shared" si="12"/>
        <v>59.891039024269482</v>
      </c>
      <c r="H202" s="46"/>
      <c r="I202" s="46">
        <f>G202*'Eilat Car Data'!F$6</f>
        <v>1658981.7809722647</v>
      </c>
      <c r="J202" s="46">
        <f>I202*'Tier 1 Coefficients'!I$10</f>
        <v>398155627.43334353</v>
      </c>
      <c r="K202" s="46">
        <f t="shared" si="13"/>
        <v>398155.62743334356</v>
      </c>
      <c r="L202" s="46">
        <f>K202*'Tier 1 Coefficients'!D$4</f>
        <v>1261755.1833362659</v>
      </c>
      <c r="M202" s="46">
        <f>K202*'Tier 1 Coefficients'!C$21</f>
        <v>1011315.2936806927</v>
      </c>
      <c r="N202" s="46">
        <f>K202*'Tier 1 Coefficients'!C$45</f>
        <v>20305.936999100519</v>
      </c>
      <c r="O202" s="46">
        <f>I202*'Tier 2 FC'!D$32</f>
        <v>167557159.87819874</v>
      </c>
      <c r="P202" s="46">
        <f t="shared" si="14"/>
        <v>167557.15987819876</v>
      </c>
      <c r="Q202" s="46">
        <f>P202*'Tier 1 Coefficients'!D$4</f>
        <v>530988.63965401181</v>
      </c>
      <c r="R202" s="46">
        <f>$I202*'T2 HDV'!D6</f>
        <v>4976.9453429167943</v>
      </c>
      <c r="S202" s="121">
        <f>$I202*'T2 HDV'!E6</f>
        <v>806265.14555252064</v>
      </c>
      <c r="T202" s="46">
        <f>44.011*(P202/(12.011+1.008*'Tier 3 CO2 Tables'!B$4+16*'Tier 3 CO2 Tables'!C$4))</f>
        <v>531068.83851793373</v>
      </c>
      <c r="U202" s="46">
        <f>I202*'Tier 3 CO2 Tables'!H$15/10000</f>
        <v>258.80115783167332</v>
      </c>
      <c r="V202" s="46">
        <f>44.011*(U202/(12.011+1.008*'Tier 3 CO2 Tables'!B$6+16*'Tier 3 CO2 Tables'!C$6))</f>
        <v>807.37088253809816</v>
      </c>
      <c r="W202" s="46">
        <f>I202*'T3 Methane'!D$29</f>
        <v>141013451.38264251</v>
      </c>
      <c r="X202" s="46" cm="1">
        <f t="array" ref="X202">_xlfn.IFS(E202='Euro Age Table'!C$5,'Euro Age Table'!G$5,E202='Euro Age Table'!C$6,'Euro Age Table'!G$6,E202='Euro Age Table'!C$7,'Euro Age Table'!G$7,E202='Euro Age Table'!C$8,'Euro Age Table'!G$8,E202='Euro Age Table'!C$9,'Euro Age Table'!G$9,E202='Euro Age Table'!C$10,'Euro Age Table'!G$10,E202='Euro Age Table'!C$11,'Euro Age Table'!G$11)</f>
        <v>16</v>
      </c>
      <c r="Y202" s="46">
        <f>X202*'Eilat Car Data'!F$6</f>
        <v>443200</v>
      </c>
      <c r="Z202" s="46">
        <f>'T3 N2O HDV'!C6</f>
        <v>3</v>
      </c>
      <c r="AA202" s="124">
        <f t="shared" si="15"/>
        <v>4976945.3429167941</v>
      </c>
    </row>
    <row r="203" spans="1:27" ht="12.5">
      <c r="A203" s="58" t="s">
        <v>75</v>
      </c>
      <c r="B203" s="49" t="s">
        <v>22</v>
      </c>
      <c r="C203" s="49" t="s">
        <v>76</v>
      </c>
      <c r="D203" s="56" t="s">
        <v>77</v>
      </c>
      <c r="E203" s="50" t="s">
        <v>58</v>
      </c>
      <c r="F203" s="97">
        <v>0.11297975755275166</v>
      </c>
      <c r="G203" s="99">
        <f t="shared" si="12"/>
        <v>86.203555012749518</v>
      </c>
      <c r="H203" s="46"/>
      <c r="I203" s="46">
        <f>G203*'Eilat Car Data'!F$6</f>
        <v>2387838.4738531616</v>
      </c>
      <c r="J203" s="46">
        <f>I203*'Tier 1 Coefficients'!I$10</f>
        <v>573081233.72475874</v>
      </c>
      <c r="K203" s="46">
        <f t="shared" si="13"/>
        <v>573081.23372475873</v>
      </c>
      <c r="L203" s="46">
        <f>K203*'Tier 1 Coefficients'!D$4</f>
        <v>1816094.4296737604</v>
      </c>
      <c r="M203" s="46">
        <f>K203*'Tier 1 Coefficients'!C$21</f>
        <v>1455626.3336608871</v>
      </c>
      <c r="N203" s="46">
        <f>K203*'Tier 1 Coefficients'!C$45</f>
        <v>29227.142919962695</v>
      </c>
      <c r="O203" s="46">
        <f>I203*'Tier 2 FC'!D$32</f>
        <v>241171685.8591693</v>
      </c>
      <c r="P203" s="46">
        <f t="shared" si="14"/>
        <v>241171.68585916932</v>
      </c>
      <c r="Q203" s="46">
        <f>P203*'Tier 1 Coefficients'!D$4</f>
        <v>764273.0724877076</v>
      </c>
      <c r="R203" s="46">
        <f>$I203*'T2 HDV'!D7</f>
        <v>14327.03084311897</v>
      </c>
      <c r="S203" s="121">
        <f>$I203*'T2 HDV'!E7</f>
        <v>1160489.4982926366</v>
      </c>
      <c r="T203" s="46">
        <f>44.011*(P203/(12.011+1.008*'Tier 3 CO2 Tables'!B$4+16*'Tier 3 CO2 Tables'!C$4))</f>
        <v>764388.50590296776</v>
      </c>
      <c r="U203" s="46">
        <f>I203*'Tier 3 CO2 Tables'!H$15/10000</f>
        <v>372.50280192109324</v>
      </c>
      <c r="V203" s="46">
        <f>44.011*(U203/(12.011+1.008*'Tier 3 CO2 Tables'!B$6+16*'Tier 3 CO2 Tables'!C$6))</f>
        <v>1162.0810295236649</v>
      </c>
      <c r="W203" s="46">
        <f>I203*'T3 Methane'!D$29</f>
        <v>202966270.27751872</v>
      </c>
      <c r="X203" s="46" cm="1">
        <f t="array" ref="X203">_xlfn.IFS(E203='Euro Age Table'!C$5,'Euro Age Table'!G$5,E203='Euro Age Table'!C$6,'Euro Age Table'!G$6,E203='Euro Age Table'!C$7,'Euro Age Table'!G$7,E203='Euro Age Table'!C$8,'Euro Age Table'!G$8,E203='Euro Age Table'!C$9,'Euro Age Table'!G$9,E203='Euro Age Table'!C$10,'Euro Age Table'!G$10,E203='Euro Age Table'!C$11,'Euro Age Table'!G$11)</f>
        <v>13</v>
      </c>
      <c r="Y203" s="46">
        <f>X203*'Eilat Car Data'!F$6</f>
        <v>360100</v>
      </c>
      <c r="Z203" s="46">
        <f>'T3 N2O HDV'!C7</f>
        <v>6</v>
      </c>
      <c r="AA203" s="124">
        <f t="shared" si="15"/>
        <v>14327030.843118969</v>
      </c>
    </row>
    <row r="204" spans="1:27" ht="12.5">
      <c r="A204" s="58" t="s">
        <v>75</v>
      </c>
      <c r="B204" s="49" t="s">
        <v>22</v>
      </c>
      <c r="C204" s="49" t="s">
        <v>76</v>
      </c>
      <c r="D204" s="56" t="s">
        <v>77</v>
      </c>
      <c r="E204" s="50" t="s">
        <v>59</v>
      </c>
      <c r="F204" s="97">
        <v>0.20120315891105042</v>
      </c>
      <c r="G204" s="99">
        <f t="shared" si="12"/>
        <v>153.51801024913146</v>
      </c>
      <c r="H204" s="46"/>
      <c r="I204" s="46">
        <f>G204*'Eilat Car Data'!F$6</f>
        <v>4252448.8839009413</v>
      </c>
      <c r="J204" s="46">
        <f>I204*'Tier 1 Coefficients'!I$10</f>
        <v>1020587732.1362259</v>
      </c>
      <c r="K204" s="46">
        <f t="shared" si="13"/>
        <v>1020587.7321362259</v>
      </c>
      <c r="L204" s="46">
        <f>K204*'Tier 1 Coefficients'!D$4</f>
        <v>3234242.5231396998</v>
      </c>
      <c r="M204" s="46">
        <f>K204*'Tier 1 Coefficients'!C$21</f>
        <v>2592292.8396260138</v>
      </c>
      <c r="N204" s="46">
        <f>K204*'Tier 1 Coefficients'!C$45</f>
        <v>52049.974338947519</v>
      </c>
      <c r="O204" s="46">
        <f>I204*'Tier 2 FC'!D$32</f>
        <v>429497337.2739951</v>
      </c>
      <c r="P204" s="46">
        <f t="shared" si="14"/>
        <v>429497.3372739951</v>
      </c>
      <c r="Q204" s="46">
        <f>P204*'Tier 1 Coefficients'!D$4</f>
        <v>1361077.0618212905</v>
      </c>
      <c r="R204" s="46">
        <f>$I204*'T2 HDV'!D8</f>
        <v>72291.631026316012</v>
      </c>
      <c r="S204" s="121">
        <f>$I204*'T2 HDV'!E8</f>
        <v>2066690.1575758574</v>
      </c>
      <c r="T204" s="46">
        <f>44.011*(P204/(12.011+1.008*'Tier 3 CO2 Tables'!B$4+16*'Tier 3 CO2 Tables'!C$4))</f>
        <v>1361282.634645107</v>
      </c>
      <c r="U204" s="46">
        <f>I204*'Tier 3 CO2 Tables'!H$15/10000</f>
        <v>663.38202588854688</v>
      </c>
      <c r="V204" s="46">
        <f>44.011*(U204/(12.011+1.008*'Tier 3 CO2 Tables'!B$6+16*'Tier 3 CO2 Tables'!C$6))</f>
        <v>2069.5244804503686</v>
      </c>
      <c r="W204" s="46">
        <f>I204*'T3 Methane'!D$29</f>
        <v>361458155.13158</v>
      </c>
      <c r="X204" s="46" cm="1">
        <f t="array" ref="X204">_xlfn.IFS(E204='Euro Age Table'!C$5,'Euro Age Table'!G$5,E204='Euro Age Table'!C$6,'Euro Age Table'!G$6,E204='Euro Age Table'!C$7,'Euro Age Table'!G$7,E204='Euro Age Table'!C$8,'Euro Age Table'!G$8,E204='Euro Age Table'!C$9,'Euro Age Table'!G$9,E204='Euro Age Table'!C$10,'Euro Age Table'!G$10,E204='Euro Age Table'!C$11,'Euro Age Table'!G$11)</f>
        <v>9</v>
      </c>
      <c r="Y204" s="46">
        <f>X204*'Eilat Car Data'!F$6</f>
        <v>249300</v>
      </c>
      <c r="Z204" s="46">
        <f>'T3 N2O HDV'!C8</f>
        <v>15</v>
      </c>
      <c r="AA204" s="124">
        <f t="shared" si="15"/>
        <v>63786733.258514121</v>
      </c>
    </row>
    <row r="205" spans="1:27" ht="12.5">
      <c r="A205" s="58" t="s">
        <v>75</v>
      </c>
      <c r="B205" s="49" t="s">
        <v>22</v>
      </c>
      <c r="C205" s="49" t="s">
        <v>76</v>
      </c>
      <c r="D205" s="56" t="s">
        <v>77</v>
      </c>
      <c r="E205" s="51" t="s">
        <v>60</v>
      </c>
      <c r="F205" s="97">
        <v>0</v>
      </c>
      <c r="G205" s="99">
        <f t="shared" si="12"/>
        <v>0</v>
      </c>
      <c r="H205" s="46"/>
      <c r="I205" s="46">
        <f>G205*'Eilat Car Data'!F$6</f>
        <v>0</v>
      </c>
      <c r="J205" s="46">
        <f>I205*'Tier 1 Coefficients'!I$10</f>
        <v>0</v>
      </c>
      <c r="K205" s="46">
        <f t="shared" si="13"/>
        <v>0</v>
      </c>
      <c r="L205" s="46">
        <f>K205*'Tier 1 Coefficients'!D$4</f>
        <v>0</v>
      </c>
      <c r="M205" s="46">
        <f>K205*'Tier 1 Coefficients'!C$21</f>
        <v>0</v>
      </c>
      <c r="N205" s="46">
        <f>K205*'Tier 1 Coefficients'!C$45</f>
        <v>0</v>
      </c>
      <c r="O205" s="46">
        <f>I205*'Tier 2 FC'!D$32</f>
        <v>0</v>
      </c>
      <c r="P205" s="46">
        <f t="shared" si="14"/>
        <v>0</v>
      </c>
      <c r="Q205" s="46">
        <f>P205*'Tier 1 Coefficients'!D$4</f>
        <v>0</v>
      </c>
      <c r="R205" s="46">
        <f>$I205*'T2 HDV'!D9</f>
        <v>0</v>
      </c>
      <c r="S205" s="121">
        <f>$I205*'T2 HDV'!E9</f>
        <v>0</v>
      </c>
      <c r="T205" s="46">
        <f>44.011*(P205/(12.011+1.008*'Tier 3 CO2 Tables'!B$4+16*'Tier 3 CO2 Tables'!C$4))</f>
        <v>0</v>
      </c>
      <c r="U205" s="46">
        <f>I205*'Tier 3 CO2 Tables'!H$15/10000</f>
        <v>0</v>
      </c>
      <c r="V205" s="46">
        <f>44.011*(U205/(12.011+1.008*'Tier 3 CO2 Tables'!B$6+16*'Tier 3 CO2 Tables'!C$6))</f>
        <v>0</v>
      </c>
      <c r="W205" s="46">
        <f>I205*'T3 Methane'!D$29</f>
        <v>0</v>
      </c>
      <c r="X205" s="46" cm="1">
        <f t="array" ref="X205">_xlfn.IFS(E205='Euro Age Table'!C$5,'Euro Age Table'!G$5,E205='Euro Age Table'!C$6,'Euro Age Table'!G$6,E205='Euro Age Table'!C$7,'Euro Age Table'!G$7,E205='Euro Age Table'!C$8,'Euro Age Table'!G$8,E205='Euro Age Table'!C$9,'Euro Age Table'!G$9,E205='Euro Age Table'!C$10,'Euro Age Table'!G$10,E205='Euro Age Table'!C$11,'Euro Age Table'!G$11)</f>
        <v>3</v>
      </c>
      <c r="Y205" s="46">
        <f>X205*'Eilat Car Data'!F$6</f>
        <v>83100</v>
      </c>
      <c r="Z205" s="46">
        <f>'T3 N2O HDV'!C9</f>
        <v>18.5</v>
      </c>
      <c r="AA205" s="124">
        <f t="shared" si="15"/>
        <v>0</v>
      </c>
    </row>
    <row r="206" spans="1:27" ht="12.5">
      <c r="A206" s="58" t="s">
        <v>75</v>
      </c>
      <c r="B206" s="49" t="s">
        <v>22</v>
      </c>
      <c r="C206" s="49" t="s">
        <v>76</v>
      </c>
      <c r="D206" s="56" t="s">
        <v>85</v>
      </c>
      <c r="E206" s="50" t="s">
        <v>54</v>
      </c>
      <c r="F206" s="97">
        <v>7.5094280456507211E-4</v>
      </c>
      <c r="G206" s="99">
        <f t="shared" si="12"/>
        <v>0.57296935988315001</v>
      </c>
      <c r="H206" s="46"/>
      <c r="I206" s="46">
        <f>G206*'Eilat Car Data'!F$6</f>
        <v>15871.251268763255</v>
      </c>
      <c r="J206" s="46">
        <f>I206*'Tier 1 Coefficients'!I$10</f>
        <v>3809100.304503181</v>
      </c>
      <c r="K206" s="46">
        <f t="shared" si="13"/>
        <v>3809.1003045031812</v>
      </c>
      <c r="L206" s="46">
        <f>K206*'Tier 1 Coefficients'!D$4</f>
        <v>12071.038864970582</v>
      </c>
      <c r="M206" s="46">
        <f>K206*'Tier 1 Coefficients'!C$21</f>
        <v>9675.1147734380811</v>
      </c>
      <c r="N206" s="46">
        <f>K206*'Tier 1 Coefficients'!C$45</f>
        <v>194.26411552966223</v>
      </c>
      <c r="O206" s="46">
        <f>I206*'Tier 2 FC'!D$33</f>
        <v>2888567.7309149127</v>
      </c>
      <c r="P206" s="46">
        <f t="shared" si="14"/>
        <v>2888.5677309149128</v>
      </c>
      <c r="Q206" s="46">
        <f>P206*'Tier 1 Coefficients'!D$4</f>
        <v>9153.8711392693585</v>
      </c>
      <c r="R206" s="46">
        <f>$I206*'T2 HDV'!D11</f>
        <v>46.026628679413434</v>
      </c>
      <c r="S206" s="121">
        <f>$I206*'T2 HDV'!E11</f>
        <v>7713.4281166189421</v>
      </c>
      <c r="T206" s="46">
        <f>44.011*(P206/(12.011+1.008*'Tier 3 CO2 Tables'!B$4+16*'Tier 3 CO2 Tables'!C$4))</f>
        <v>9155.2537113453545</v>
      </c>
      <c r="U206" s="46">
        <f>I206*'Tier 3 CO2 Tables'!H$15/10000</f>
        <v>2.4759151979270677</v>
      </c>
      <c r="V206" s="46">
        <f>44.011*(U206/(12.011+1.008*'Tier 3 CO2 Tables'!B$6+16*'Tier 3 CO2 Tables'!C$6))</f>
        <v>7.7240065507744875</v>
      </c>
      <c r="W206" s="46">
        <f>I206*'T3 Methane'!D$29</f>
        <v>1349056.3578448766</v>
      </c>
      <c r="X206" s="46" cm="1">
        <f t="array" ref="X206">_xlfn.IFS(E206='Euro Age Table'!C$5,'Euro Age Table'!G$5,E206='Euro Age Table'!C$6,'Euro Age Table'!G$6,E206='Euro Age Table'!C$7,'Euro Age Table'!G$7,E206='Euro Age Table'!C$8,'Euro Age Table'!G$8,E206='Euro Age Table'!C$9,'Euro Age Table'!G$9,E206='Euro Age Table'!C$10,'Euro Age Table'!G$10,E206='Euro Age Table'!C$11,'Euro Age Table'!G$11)</f>
        <v>27</v>
      </c>
      <c r="Y206" s="46">
        <f>X206*'Eilat Car Data'!F$6</f>
        <v>747900</v>
      </c>
      <c r="Z206" s="46">
        <f>'T3 N2O HDV'!C3</f>
        <v>30</v>
      </c>
      <c r="AA206" s="124">
        <f t="shared" si="15"/>
        <v>476137.53806289763</v>
      </c>
    </row>
    <row r="207" spans="1:27" ht="12.5">
      <c r="A207" s="58" t="s">
        <v>75</v>
      </c>
      <c r="B207" s="49" t="s">
        <v>22</v>
      </c>
      <c r="C207" s="49" t="s">
        <v>76</v>
      </c>
      <c r="D207" s="56" t="s">
        <v>85</v>
      </c>
      <c r="E207" s="50" t="s">
        <v>55</v>
      </c>
      <c r="F207" s="97">
        <v>2.4508792632508395E-3</v>
      </c>
      <c r="G207" s="99">
        <f t="shared" si="12"/>
        <v>1.8700208778603906</v>
      </c>
      <c r="H207" s="46"/>
      <c r="I207" s="46">
        <f>G207*'Eilat Car Data'!F$6</f>
        <v>51799.578316732819</v>
      </c>
      <c r="J207" s="46">
        <f>I207*'Tier 1 Coefficients'!I$10</f>
        <v>12431898.796015877</v>
      </c>
      <c r="K207" s="46">
        <f t="shared" si="13"/>
        <v>12431.898796015877</v>
      </c>
      <c r="L207" s="46">
        <f>K207*'Tier 1 Coefficients'!D$4</f>
        <v>39396.687284574313</v>
      </c>
      <c r="M207" s="46">
        <f>K207*'Tier 1 Coefficients'!C$21</f>
        <v>31577.022941880328</v>
      </c>
      <c r="N207" s="46">
        <f>K207*'Tier 1 Coefficients'!C$45</f>
        <v>634.02683859680974</v>
      </c>
      <c r="O207" s="46">
        <f>I207*'Tier 2 FC'!D$34</f>
        <v>8028934.6390935872</v>
      </c>
      <c r="P207" s="46">
        <f t="shared" si="14"/>
        <v>8028.9346390935871</v>
      </c>
      <c r="Q207" s="46">
        <f>P207*'Tier 1 Coefficients'!D$4</f>
        <v>25443.693871287578</v>
      </c>
      <c r="R207" s="46">
        <f>$I207*'T2 HDV'!D12</f>
        <v>150.21877711852517</v>
      </c>
      <c r="S207" s="121">
        <f>$I207*'T2 HDV'!E12</f>
        <v>25174.595061932148</v>
      </c>
      <c r="T207" s="46">
        <f>44.011*(P207/(12.011+1.008*'Tier 3 CO2 Tables'!B$4+16*'Tier 3 CO2 Tables'!C$4))</f>
        <v>25447.536807256573</v>
      </c>
      <c r="U207" s="46">
        <f>I207*'Tier 3 CO2 Tables'!H$15/10000</f>
        <v>8.0807342174103205</v>
      </c>
      <c r="V207" s="46">
        <f>44.011*(U207/(12.011+1.008*'Tier 3 CO2 Tables'!B$6+16*'Tier 3 CO2 Tables'!C$6))</f>
        <v>25.20912028109915</v>
      </c>
      <c r="W207" s="46">
        <f>I207*'T3 Methane'!D$29</f>
        <v>4402964.1569222892</v>
      </c>
      <c r="X207" s="46" cm="1">
        <f t="array" ref="X207">_xlfn.IFS(E207='Euro Age Table'!C$5,'Euro Age Table'!G$5,E207='Euro Age Table'!C$6,'Euro Age Table'!G$6,E207='Euro Age Table'!C$7,'Euro Age Table'!G$7,E207='Euro Age Table'!C$8,'Euro Age Table'!G$8,E207='Euro Age Table'!C$9,'Euro Age Table'!G$9,E207='Euro Age Table'!C$10,'Euro Age Table'!G$10,E207='Euro Age Table'!C$11,'Euro Age Table'!G$11)</f>
        <v>23</v>
      </c>
      <c r="Y207" s="46">
        <f>X207*'Eilat Car Data'!F$6</f>
        <v>637100</v>
      </c>
      <c r="Z207" s="46">
        <f>'T3 N2O HDV'!C4</f>
        <v>6</v>
      </c>
      <c r="AA207" s="124">
        <f t="shared" si="15"/>
        <v>310797.46990039689</v>
      </c>
    </row>
    <row r="208" spans="1:27" ht="12.5">
      <c r="A208" s="58" t="s">
        <v>75</v>
      </c>
      <c r="B208" s="49" t="s">
        <v>22</v>
      </c>
      <c r="C208" s="49" t="s">
        <v>76</v>
      </c>
      <c r="D208" s="56" t="s">
        <v>85</v>
      </c>
      <c r="E208" s="50" t="s">
        <v>56</v>
      </c>
      <c r="F208" s="97">
        <v>3.3338559675196605E-3</v>
      </c>
      <c r="G208" s="99">
        <f t="shared" si="12"/>
        <v>2.5437321032175011</v>
      </c>
      <c r="H208" s="46"/>
      <c r="I208" s="46">
        <f>G208*'Eilat Car Data'!F$6</f>
        <v>70461.379259124777</v>
      </c>
      <c r="J208" s="46">
        <f>I208*'Tier 1 Coefficients'!I$10</f>
        <v>16910731.022189945</v>
      </c>
      <c r="K208" s="46">
        <f t="shared" si="13"/>
        <v>16910.731022189946</v>
      </c>
      <c r="L208" s="46">
        <f>K208*'Tier 1 Coefficients'!D$4</f>
        <v>53590.106609319941</v>
      </c>
      <c r="M208" s="46">
        <f>K208*'Tier 1 Coefficients'!C$21</f>
        <v>42953.256796362461</v>
      </c>
      <c r="N208" s="46">
        <f>K208*'Tier 1 Coefficients'!C$45</f>
        <v>862.44728213168719</v>
      </c>
      <c r="O208" s="46">
        <f>I208*'Tier 2 FC'!D$34</f>
        <v>10921513.785164339</v>
      </c>
      <c r="P208" s="46">
        <f t="shared" si="14"/>
        <v>10921.513785164339</v>
      </c>
      <c r="Q208" s="46">
        <f>P208*'Tier 1 Coefficients'!D$4</f>
        <v>34610.277185185791</v>
      </c>
      <c r="R208" s="46">
        <f>$I208*'T2 HDV'!D13</f>
        <v>204.33799985146183</v>
      </c>
      <c r="S208" s="121">
        <f>$I208*'T2 HDV'!E13</f>
        <v>34244.230319934642</v>
      </c>
      <c r="T208" s="46">
        <f>44.011*(P208/(12.011+1.008*'Tier 3 CO2 Tables'!B$4+16*'Tier 3 CO2 Tables'!C$4))</f>
        <v>34615.504613237892</v>
      </c>
      <c r="U208" s="46">
        <f>I208*'Tier 3 CO2 Tables'!H$15/10000</f>
        <v>10.991975164423465</v>
      </c>
      <c r="V208" s="46">
        <f>44.011*(U208/(12.011+1.008*'Tier 3 CO2 Tables'!B$6+16*'Tier 3 CO2 Tables'!C$6))</f>
        <v>34.291193917724094</v>
      </c>
      <c r="W208" s="46">
        <f>I208*'T3 Methane'!D$29</f>
        <v>5989217.2370256064</v>
      </c>
      <c r="X208" s="46" cm="1">
        <f t="array" ref="X208">_xlfn.IFS(E208='Euro Age Table'!C$5,'Euro Age Table'!G$5,E208='Euro Age Table'!C$6,'Euro Age Table'!G$6,E208='Euro Age Table'!C$7,'Euro Age Table'!G$7,E208='Euro Age Table'!C$8,'Euro Age Table'!G$8,E208='Euro Age Table'!C$9,'Euro Age Table'!G$9,E208='Euro Age Table'!C$10,'Euro Age Table'!G$10,E208='Euro Age Table'!C$11,'Euro Age Table'!G$11)</f>
        <v>18</v>
      </c>
      <c r="Y208" s="46">
        <f>X208*'Eilat Car Data'!F$6</f>
        <v>498600</v>
      </c>
      <c r="Z208" s="46">
        <f>'T3 N2O HDV'!C5</f>
        <v>5</v>
      </c>
      <c r="AA208" s="124">
        <f t="shared" si="15"/>
        <v>352306.89629562385</v>
      </c>
    </row>
    <row r="209" spans="1:27" ht="12.5">
      <c r="A209" s="58" t="s">
        <v>75</v>
      </c>
      <c r="B209" s="49" t="s">
        <v>22</v>
      </c>
      <c r="C209" s="49" t="s">
        <v>76</v>
      </c>
      <c r="D209" s="56" t="s">
        <v>85</v>
      </c>
      <c r="E209" s="50" t="s">
        <v>57</v>
      </c>
      <c r="F209" s="97">
        <v>8.8297670426882094E-3</v>
      </c>
      <c r="G209" s="99">
        <f t="shared" si="12"/>
        <v>6.7371122535711034</v>
      </c>
      <c r="H209" s="46"/>
      <c r="I209" s="46">
        <f>G209*'Eilat Car Data'!F$6</f>
        <v>186618.00942391958</v>
      </c>
      <c r="J209" s="46">
        <f>I209*'Tier 1 Coefficients'!I$10</f>
        <v>44788322.261740699</v>
      </c>
      <c r="K209" s="46">
        <f t="shared" si="13"/>
        <v>44788.322261740701</v>
      </c>
      <c r="L209" s="46">
        <f>K209*'Tier 1 Coefficients'!D$4</f>
        <v>141934.19324745628</v>
      </c>
      <c r="M209" s="46">
        <f>K209*'Tier 1 Coefficients'!C$21</f>
        <v>113762.33854482138</v>
      </c>
      <c r="N209" s="46">
        <f>K209*'Tier 1 Coefficients'!C$45</f>
        <v>2284.2044353487754</v>
      </c>
      <c r="O209" s="46">
        <f>I209*'Tier 2 FC'!D$34</f>
        <v>28925791.460707534</v>
      </c>
      <c r="P209" s="46">
        <f t="shared" si="14"/>
        <v>28925.791460707533</v>
      </c>
      <c r="Q209" s="46">
        <f>P209*'Tier 1 Coefficients'!D$4</f>
        <v>91665.833138982169</v>
      </c>
      <c r="R209" s="46">
        <f>$I209*'T2 HDV'!D14</f>
        <v>541.19222732936669</v>
      </c>
      <c r="S209" s="121">
        <f>$I209*'T2 HDV'!E14</f>
        <v>90696.352580024904</v>
      </c>
      <c r="T209" s="46">
        <f>44.011*(P209/(12.011+1.008*'Tier 3 CO2 Tables'!B$4+16*'Tier 3 CO2 Tables'!C$4))</f>
        <v>91679.678059813232</v>
      </c>
      <c r="U209" s="46">
        <f>I209*'Tier 3 CO2 Tables'!H$15/10000</f>
        <v>29.112409470131453</v>
      </c>
      <c r="V209" s="46">
        <f>44.011*(U209/(12.011+1.008*'Tier 3 CO2 Tables'!B$6+16*'Tier 3 CO2 Tables'!C$6))</f>
        <v>90.820736366249449</v>
      </c>
      <c r="W209" s="46">
        <f>I209*'T3 Methane'!D$29</f>
        <v>15862530.801033163</v>
      </c>
      <c r="X209" s="46" cm="1">
        <f t="array" ref="X209">_xlfn.IFS(E209='Euro Age Table'!C$5,'Euro Age Table'!G$5,E209='Euro Age Table'!C$6,'Euro Age Table'!G$6,E209='Euro Age Table'!C$7,'Euro Age Table'!G$7,E209='Euro Age Table'!C$8,'Euro Age Table'!G$8,E209='Euro Age Table'!C$9,'Euro Age Table'!G$9,E209='Euro Age Table'!C$10,'Euro Age Table'!G$10,E209='Euro Age Table'!C$11,'Euro Age Table'!G$11)</f>
        <v>16</v>
      </c>
      <c r="Y209" s="46">
        <f>X209*'Eilat Car Data'!F$6</f>
        <v>443200</v>
      </c>
      <c r="Z209" s="46">
        <f>'T3 N2O HDV'!C6</f>
        <v>3</v>
      </c>
      <c r="AA209" s="124">
        <f t="shared" si="15"/>
        <v>559854.0282717587</v>
      </c>
    </row>
    <row r="210" spans="1:27" ht="12.5">
      <c r="A210" s="58" t="s">
        <v>75</v>
      </c>
      <c r="B210" s="49" t="s">
        <v>22</v>
      </c>
      <c r="C210" s="49" t="s">
        <v>76</v>
      </c>
      <c r="D210" s="56" t="s">
        <v>85</v>
      </c>
      <c r="E210" s="50" t="s">
        <v>58</v>
      </c>
      <c r="F210" s="97">
        <v>1.6479481106774163E-2</v>
      </c>
      <c r="G210" s="99">
        <f t="shared" si="12"/>
        <v>12.573844084468686</v>
      </c>
      <c r="H210" s="46"/>
      <c r="I210" s="46">
        <f>G210*'Eilat Car Data'!F$6</f>
        <v>348295.48113978258</v>
      </c>
      <c r="J210" s="46">
        <f>I210*'Tier 1 Coefficients'!I$10</f>
        <v>83590915.473547816</v>
      </c>
      <c r="K210" s="46">
        <f t="shared" si="13"/>
        <v>83590.915473547822</v>
      </c>
      <c r="L210" s="46">
        <f>K210*'Tier 1 Coefficients'!D$4</f>
        <v>264899.61113567307</v>
      </c>
      <c r="M210" s="46">
        <f>K210*'Tier 1 Coefficients'!C$21</f>
        <v>212320.92530281146</v>
      </c>
      <c r="N210" s="46">
        <f>K210*'Tier 1 Coefficients'!C$45</f>
        <v>4263.1366891509388</v>
      </c>
      <c r="O210" s="46">
        <f>I210*'Tier 2 FC'!D$34</f>
        <v>53985799.576666303</v>
      </c>
      <c r="P210" s="46">
        <f t="shared" si="14"/>
        <v>53985.799576666301</v>
      </c>
      <c r="Q210" s="46">
        <f>P210*'Tier 1 Coefficients'!D$4</f>
        <v>171080.99885845551</v>
      </c>
      <c r="R210" s="46">
        <f>$I210*'T2 HDV'!D15</f>
        <v>1010.0568953053694</v>
      </c>
      <c r="S210" s="121">
        <f>$I210*'T2 HDV'!E15</f>
        <v>169271.60383393432</v>
      </c>
      <c r="T210" s="46">
        <f>44.011*(P210/(12.011+1.008*'Tier 3 CO2 Tables'!B$4+16*'Tier 3 CO2 Tables'!C$4))</f>
        <v>171106.83839761405</v>
      </c>
      <c r="U210" s="46">
        <f>I210*'Tier 3 CO2 Tables'!H$15/10000</f>
        <v>54.334095057806081</v>
      </c>
      <c r="V210" s="46">
        <f>44.011*(U210/(12.011+1.008*'Tier 3 CO2 Tables'!B$6+16*'Tier 3 CO2 Tables'!C$6))</f>
        <v>169.50374815271041</v>
      </c>
      <c r="W210" s="46">
        <f>I210*'T3 Methane'!D$29</f>
        <v>29605115.896881521</v>
      </c>
      <c r="X210" s="46" cm="1">
        <f t="array" ref="X210">_xlfn.IFS(E210='Euro Age Table'!C$5,'Euro Age Table'!G$5,E210='Euro Age Table'!C$6,'Euro Age Table'!G$6,E210='Euro Age Table'!C$7,'Euro Age Table'!G$7,E210='Euro Age Table'!C$8,'Euro Age Table'!G$8,E210='Euro Age Table'!C$9,'Euro Age Table'!G$9,E210='Euro Age Table'!C$10,'Euro Age Table'!G$10,E210='Euro Age Table'!C$11,'Euro Age Table'!G$11)</f>
        <v>13</v>
      </c>
      <c r="Y210" s="46">
        <f>X210*'Eilat Car Data'!F$6</f>
        <v>360100</v>
      </c>
      <c r="Z210" s="46">
        <f>'T3 N2O HDV'!C7</f>
        <v>6</v>
      </c>
      <c r="AA210" s="124">
        <f t="shared" si="15"/>
        <v>2089772.8868386955</v>
      </c>
    </row>
    <row r="211" spans="1:27" ht="12.5">
      <c r="A211" s="58" t="s">
        <v>75</v>
      </c>
      <c r="B211" s="49" t="s">
        <v>22</v>
      </c>
      <c r="C211" s="49" t="s">
        <v>76</v>
      </c>
      <c r="D211" s="56" t="s">
        <v>85</v>
      </c>
      <c r="E211" s="50" t="s">
        <v>59</v>
      </c>
      <c r="F211" s="97">
        <v>8.0053803814129285E-2</v>
      </c>
      <c r="G211" s="99">
        <f t="shared" si="12"/>
        <v>61.081052310180645</v>
      </c>
      <c r="H211" s="46"/>
      <c r="I211" s="46">
        <f>G211*'Eilat Car Data'!F$6</f>
        <v>1691945.1489920039</v>
      </c>
      <c r="J211" s="46">
        <f>I211*'Tier 1 Coefficients'!I$10</f>
        <v>406066835.75808096</v>
      </c>
      <c r="K211" s="46">
        <f t="shared" si="13"/>
        <v>406066.83575808094</v>
      </c>
      <c r="L211" s="46">
        <f>K211*'Tier 1 Coefficients'!D$4</f>
        <v>1286825.8025173584</v>
      </c>
      <c r="M211" s="46">
        <f>K211*'Tier 1 Coefficients'!C$21</f>
        <v>1031409.7628255256</v>
      </c>
      <c r="N211" s="46">
        <f>K211*'Tier 1 Coefficients'!C$45</f>
        <v>20709.408623662126</v>
      </c>
      <c r="O211" s="46">
        <f>I211*'Tier 2 FC'!D$34</f>
        <v>262251498.09376061</v>
      </c>
      <c r="P211" s="46">
        <f t="shared" si="14"/>
        <v>262251.49809376063</v>
      </c>
      <c r="Q211" s="46">
        <f>P211*'Tier 1 Coefficients'!D$4</f>
        <v>831074.99745912745</v>
      </c>
      <c r="R211" s="46">
        <f>$I211*'T2 HDV'!D16</f>
        <v>18611.396638912043</v>
      </c>
      <c r="S211" s="121">
        <f>$I211*'T2 HDV'!E16</f>
        <v>822285.3424101139</v>
      </c>
      <c r="T211" s="46">
        <f>44.011*(P211/(12.011+1.008*'Tier 3 CO2 Tables'!B$4+16*'Tier 3 CO2 Tables'!C$4))</f>
        <v>831200.52042826964</v>
      </c>
      <c r="U211" s="46">
        <f>I211*'Tier 3 CO2 Tables'!H$15/10000</f>
        <v>263.94344324275261</v>
      </c>
      <c r="V211" s="46">
        <f>44.011*(U211/(12.011+1.008*'Tier 3 CO2 Tables'!B$6+16*'Tier 3 CO2 Tables'!C$6))</f>
        <v>823.41304998970656</v>
      </c>
      <c r="W211" s="46">
        <f>I211*'T3 Methane'!D$29</f>
        <v>143815337.66432032</v>
      </c>
      <c r="X211" s="46" cm="1">
        <f t="array" ref="X211">_xlfn.IFS(E211='Euro Age Table'!C$5,'Euro Age Table'!G$5,E211='Euro Age Table'!C$6,'Euro Age Table'!G$6,E211='Euro Age Table'!C$7,'Euro Age Table'!G$7,E211='Euro Age Table'!C$8,'Euro Age Table'!G$8,E211='Euro Age Table'!C$9,'Euro Age Table'!G$9,E211='Euro Age Table'!C$10,'Euro Age Table'!G$10,E211='Euro Age Table'!C$11,'Euro Age Table'!G$11)</f>
        <v>9</v>
      </c>
      <c r="Y211" s="46">
        <f>X211*'Eilat Car Data'!F$6</f>
        <v>249300</v>
      </c>
      <c r="Z211" s="46">
        <f>'T3 N2O HDV'!C8</f>
        <v>15</v>
      </c>
      <c r="AA211" s="124">
        <f t="shared" si="15"/>
        <v>25379177.23488006</v>
      </c>
    </row>
    <row r="212" spans="1:27" ht="12.5">
      <c r="A212" s="58" t="s">
        <v>75</v>
      </c>
      <c r="B212" s="49" t="s">
        <v>22</v>
      </c>
      <c r="C212" s="51" t="s">
        <v>76</v>
      </c>
      <c r="D212" s="57" t="s">
        <v>85</v>
      </c>
      <c r="E212" s="51" t="s">
        <v>60</v>
      </c>
      <c r="F212" s="97">
        <v>0</v>
      </c>
      <c r="G212" s="99">
        <f t="shared" si="12"/>
        <v>0</v>
      </c>
      <c r="H212" s="46"/>
      <c r="I212" s="46">
        <f>G212*'Eilat Car Data'!F$6</f>
        <v>0</v>
      </c>
      <c r="J212" s="46">
        <f>I212*'Tier 1 Coefficients'!I$10</f>
        <v>0</v>
      </c>
      <c r="K212" s="46">
        <f t="shared" si="13"/>
        <v>0</v>
      </c>
      <c r="L212" s="46">
        <f>K212*'Tier 1 Coefficients'!D$4</f>
        <v>0</v>
      </c>
      <c r="M212" s="46">
        <f>K212*'Tier 1 Coefficients'!C$21</f>
        <v>0</v>
      </c>
      <c r="N212" s="46">
        <f>K212*'Tier 1 Coefficients'!C$45</f>
        <v>0</v>
      </c>
      <c r="O212" s="46">
        <f>I212*'Tier 2 FC'!D$34</f>
        <v>0</v>
      </c>
      <c r="P212" s="46">
        <f t="shared" si="14"/>
        <v>0</v>
      </c>
      <c r="Q212" s="46">
        <f>P212*'Tier 1 Coefficients'!D$4</f>
        <v>0</v>
      </c>
      <c r="R212" s="46">
        <f>$I212*'T2 HDV'!D17</f>
        <v>0</v>
      </c>
      <c r="S212" s="121">
        <f>$I212*'T2 HDV'!E17</f>
        <v>0</v>
      </c>
      <c r="T212" s="46">
        <f>44.011*(P212/(12.011+1.008*'Tier 3 CO2 Tables'!B$4+16*'Tier 3 CO2 Tables'!C$4))</f>
        <v>0</v>
      </c>
      <c r="U212" s="46">
        <f>I212*'Tier 3 CO2 Tables'!H$15/10000</f>
        <v>0</v>
      </c>
      <c r="V212" s="46">
        <f>44.011*(U212/(12.011+1.008*'Tier 3 CO2 Tables'!B$6+16*'Tier 3 CO2 Tables'!C$6))</f>
        <v>0</v>
      </c>
      <c r="W212" s="46">
        <f>I212*'T3 Methane'!D$29</f>
        <v>0</v>
      </c>
      <c r="X212" s="46" cm="1">
        <f t="array" ref="X212">_xlfn.IFS(E212='Euro Age Table'!C$5,'Euro Age Table'!G$5,E212='Euro Age Table'!C$6,'Euro Age Table'!G$6,E212='Euro Age Table'!C$7,'Euro Age Table'!G$7,E212='Euro Age Table'!C$8,'Euro Age Table'!G$8,E212='Euro Age Table'!C$9,'Euro Age Table'!G$9,E212='Euro Age Table'!C$10,'Euro Age Table'!G$10,E212='Euro Age Table'!C$11,'Euro Age Table'!G$11)</f>
        <v>3</v>
      </c>
      <c r="Y212" s="46">
        <f>X212*'Eilat Car Data'!F$6</f>
        <v>83100</v>
      </c>
      <c r="Z212" s="46">
        <f>'T3 N2O HDV'!C9</f>
        <v>18.5</v>
      </c>
      <c r="AA212" s="124">
        <f t="shared" si="15"/>
        <v>0</v>
      </c>
    </row>
    <row r="213" spans="1:27" ht="12.5">
      <c r="A213" s="58" t="s">
        <v>75</v>
      </c>
      <c r="B213" s="49" t="s">
        <v>22</v>
      </c>
      <c r="C213" s="49" t="s">
        <v>79</v>
      </c>
      <c r="D213" s="56" t="s">
        <v>86</v>
      </c>
      <c r="E213" s="50" t="s">
        <v>54</v>
      </c>
      <c r="F213" s="97">
        <v>1.1552966224078032E-4</v>
      </c>
      <c r="G213" s="99">
        <f t="shared" si="12"/>
        <v>8.8149132289715382E-2</v>
      </c>
      <c r="H213" s="46"/>
      <c r="I213" s="46">
        <f>G213*'Eilat Car Data'!F$6</f>
        <v>2441.7309644251159</v>
      </c>
      <c r="J213" s="46">
        <f>I213*'Tier 1 Coefficients'!I$10</f>
        <v>586015.43146202783</v>
      </c>
      <c r="K213" s="46">
        <f t="shared" si="13"/>
        <v>586.01543146202778</v>
      </c>
      <c r="L213" s="46">
        <f>K213*'Tier 1 Coefficients'!D$4</f>
        <v>1857.0829023031661</v>
      </c>
      <c r="M213" s="46">
        <f>K213*'Tier 1 Coefficients'!C$21</f>
        <v>1488.4791959135505</v>
      </c>
      <c r="N213" s="46">
        <f>K213*'Tier 1 Coefficients'!C$45</f>
        <v>29.886787004563416</v>
      </c>
      <c r="O213" s="46">
        <f>I213*'Tier 2 FC'!D$33</f>
        <v>444395.03552537109</v>
      </c>
      <c r="P213" s="46">
        <f t="shared" si="14"/>
        <v>444.3950355253711</v>
      </c>
      <c r="Q213" s="46">
        <f>P213*'Tier 1 Coefficients'!D$4</f>
        <v>1408.2878675799011</v>
      </c>
      <c r="R213" s="46">
        <f>$I213*'T2 HDV'!D11</f>
        <v>7.0810197968328357</v>
      </c>
      <c r="S213" s="121">
        <f>$I213*'T2 HDV'!E11</f>
        <v>1186.6812487106063</v>
      </c>
      <c r="T213" s="46">
        <f>44.011*(P213/(12.011+1.008*'Tier 3 CO2 Tables'!B$4+16*'Tier 3 CO2 Tables'!C$4))</f>
        <v>1408.5005709762081</v>
      </c>
      <c r="U213" s="46">
        <f>I213*'Tier 3 CO2 Tables'!H$15/10000</f>
        <v>0.38091003045031807</v>
      </c>
      <c r="V213" s="46">
        <f>44.011*(U213/(12.011+1.008*'Tier 3 CO2 Tables'!B$6+16*'Tier 3 CO2 Tables'!C$6))</f>
        <v>1.1883087001191517</v>
      </c>
      <c r="W213" s="46">
        <f>I213*'T3 Methane'!D$29</f>
        <v>207547.13197613484</v>
      </c>
      <c r="X213" s="46" cm="1">
        <f t="array" ref="X213">_xlfn.IFS(E213='Euro Age Table'!C$5,'Euro Age Table'!G$5,E213='Euro Age Table'!C$6,'Euro Age Table'!G$6,E213='Euro Age Table'!C$7,'Euro Age Table'!G$7,E213='Euro Age Table'!C$8,'Euro Age Table'!G$8,E213='Euro Age Table'!C$9,'Euro Age Table'!G$9,E213='Euro Age Table'!C$10,'Euro Age Table'!G$10,E213='Euro Age Table'!C$11,'Euro Age Table'!G$11)</f>
        <v>27</v>
      </c>
      <c r="Y213" s="46">
        <f>X213*'Eilat Car Data'!F$6</f>
        <v>747900</v>
      </c>
      <c r="Z213" s="46">
        <f>'T3 N2O HDV'!C10</f>
        <v>30</v>
      </c>
      <c r="AA213" s="124">
        <f t="shared" si="15"/>
        <v>73251.928932753479</v>
      </c>
    </row>
    <row r="214" spans="1:27" ht="12.5">
      <c r="A214" s="58" t="s">
        <v>75</v>
      </c>
      <c r="B214" s="49" t="s">
        <v>22</v>
      </c>
      <c r="C214" s="49" t="s">
        <v>79</v>
      </c>
      <c r="D214" s="56" t="s">
        <v>86</v>
      </c>
      <c r="E214" s="50" t="s">
        <v>55</v>
      </c>
      <c r="F214" s="97">
        <v>1.0727754350929601E-4</v>
      </c>
      <c r="G214" s="99">
        <f t="shared" si="12"/>
        <v>8.1852765697592852E-2</v>
      </c>
      <c r="H214" s="46"/>
      <c r="I214" s="46">
        <f>G214*'Eilat Car Data'!F$6</f>
        <v>2267.321609823322</v>
      </c>
      <c r="J214" s="46">
        <f>I214*'Tier 1 Coefficients'!I$10</f>
        <v>544157.18635759724</v>
      </c>
      <c r="K214" s="46">
        <f t="shared" si="13"/>
        <v>544.1571863575972</v>
      </c>
      <c r="L214" s="46">
        <f>K214*'Tier 1 Coefficients'!D$4</f>
        <v>1724.4341235672255</v>
      </c>
      <c r="M214" s="46">
        <f>K214*'Tier 1 Coefficients'!C$21</f>
        <v>1382.1592533482969</v>
      </c>
      <c r="N214" s="46">
        <f>K214*'Tier 1 Coefficients'!C$45</f>
        <v>27.752016504237456</v>
      </c>
      <c r="O214" s="46">
        <f>I214*'Tier 2 FC'!D$34</f>
        <v>351434.84952261491</v>
      </c>
      <c r="P214" s="46">
        <f t="shared" si="14"/>
        <v>351.43484952261491</v>
      </c>
      <c r="Q214" s="46">
        <f>P214*'Tier 1 Coefficients'!D$4</f>
        <v>1113.6970381371666</v>
      </c>
      <c r="R214" s="46">
        <f>$I214*'T2 HDV'!D12</f>
        <v>6.575232668487633</v>
      </c>
      <c r="S214" s="121">
        <f>$I214*'T2 HDV'!E12</f>
        <v>1101.9183023741346</v>
      </c>
      <c r="T214" s="46">
        <f>44.011*(P214/(12.011+1.008*'Tier 3 CO2 Tables'!B$4+16*'Tier 3 CO2 Tables'!C$4))</f>
        <v>1113.8652474556748</v>
      </c>
      <c r="U214" s="46">
        <f>I214*'Tier 3 CO2 Tables'!H$15/10000</f>
        <v>0.35370217113243824</v>
      </c>
      <c r="V214" s="46">
        <f>44.011*(U214/(12.011+1.008*'Tier 3 CO2 Tables'!B$6+16*'Tier 3 CO2 Tables'!C$6))</f>
        <v>1.1034295072534981</v>
      </c>
      <c r="W214" s="46">
        <f>I214*'T3 Methane'!D$29</f>
        <v>192722.33683498236</v>
      </c>
      <c r="X214" s="46" cm="1">
        <f t="array" ref="X214">_xlfn.IFS(E214='Euro Age Table'!C$5,'Euro Age Table'!G$5,E214='Euro Age Table'!C$6,'Euro Age Table'!G$6,E214='Euro Age Table'!C$7,'Euro Age Table'!G$7,E214='Euro Age Table'!C$8,'Euro Age Table'!G$8,E214='Euro Age Table'!C$9,'Euro Age Table'!G$9,E214='Euro Age Table'!C$10,'Euro Age Table'!G$10,E214='Euro Age Table'!C$11,'Euro Age Table'!G$11)</f>
        <v>23</v>
      </c>
      <c r="Y214" s="46">
        <f>X214*'Eilat Car Data'!F$6</f>
        <v>637100</v>
      </c>
      <c r="Z214" s="46">
        <f>'T3 N2O HDV'!C11</f>
        <v>11</v>
      </c>
      <c r="AA214" s="124">
        <f t="shared" si="15"/>
        <v>24940.537708056541</v>
      </c>
    </row>
    <row r="215" spans="1:27" ht="12.5">
      <c r="A215" s="58" t="s">
        <v>75</v>
      </c>
      <c r="B215" s="49" t="s">
        <v>22</v>
      </c>
      <c r="C215" s="49" t="s">
        <v>79</v>
      </c>
      <c r="D215" s="56" t="s">
        <v>86</v>
      </c>
      <c r="E215" s="50" t="s">
        <v>56</v>
      </c>
      <c r="F215" s="97">
        <v>5.7764831120390159E-5</v>
      </c>
      <c r="G215" s="99">
        <f t="shared" si="12"/>
        <v>4.4074566144857691E-2</v>
      </c>
      <c r="H215" s="46"/>
      <c r="I215" s="46">
        <f>G215*'Eilat Car Data'!F$6</f>
        <v>1220.8654822125579</v>
      </c>
      <c r="J215" s="46">
        <f>I215*'Tier 1 Coefficients'!I$10</f>
        <v>293007.71573101392</v>
      </c>
      <c r="K215" s="46">
        <f t="shared" si="13"/>
        <v>293.00771573101389</v>
      </c>
      <c r="L215" s="46">
        <f>K215*'Tier 1 Coefficients'!D$4</f>
        <v>928.54145115158303</v>
      </c>
      <c r="M215" s="46">
        <f>K215*'Tier 1 Coefficients'!C$21</f>
        <v>744.23959795677524</v>
      </c>
      <c r="N215" s="46">
        <f>K215*'Tier 1 Coefficients'!C$45</f>
        <v>14.943393502281708</v>
      </c>
      <c r="O215" s="46">
        <f>I215*'Tier 2 FC'!D$34</f>
        <v>189234.14974294649</v>
      </c>
      <c r="P215" s="46">
        <f t="shared" si="14"/>
        <v>189.2341497429465</v>
      </c>
      <c r="Q215" s="46">
        <f>P215*'Tier 1 Coefficients'!D$4</f>
        <v>599.68302053539742</v>
      </c>
      <c r="R215" s="46">
        <f>$I215*'T2 HDV'!D13</f>
        <v>3.5405098984164178</v>
      </c>
      <c r="S215" s="121">
        <f>$I215*'T2 HDV'!E13</f>
        <v>593.34062435530313</v>
      </c>
      <c r="T215" s="46">
        <f>44.011*(P215/(12.011+1.008*'Tier 3 CO2 Tables'!B$4+16*'Tier 3 CO2 Tables'!C$4))</f>
        <v>599.77359478382493</v>
      </c>
      <c r="U215" s="46">
        <f>I215*'Tier 3 CO2 Tables'!H$15/10000</f>
        <v>0.19045501522515904</v>
      </c>
      <c r="V215" s="46">
        <f>44.011*(U215/(12.011+1.008*'Tier 3 CO2 Tables'!B$6+16*'Tier 3 CO2 Tables'!C$6))</f>
        <v>0.59415435005957584</v>
      </c>
      <c r="W215" s="46">
        <f>I215*'T3 Methane'!D$29</f>
        <v>103773.56598806742</v>
      </c>
      <c r="X215" s="46" cm="1">
        <f t="array" ref="X215">_xlfn.IFS(E215='Euro Age Table'!C$5,'Euro Age Table'!G$5,E215='Euro Age Table'!C$6,'Euro Age Table'!G$6,E215='Euro Age Table'!C$7,'Euro Age Table'!G$7,E215='Euro Age Table'!C$8,'Euro Age Table'!G$8,E215='Euro Age Table'!C$9,'Euro Age Table'!G$9,E215='Euro Age Table'!C$10,'Euro Age Table'!G$10,E215='Euro Age Table'!C$11,'Euro Age Table'!G$11)</f>
        <v>18</v>
      </c>
      <c r="Y215" s="46">
        <f>X215*'Eilat Car Data'!F$6</f>
        <v>498600</v>
      </c>
      <c r="Z215" s="46">
        <f>'T3 N2O HDV'!C12</f>
        <v>11</v>
      </c>
      <c r="AA215" s="124">
        <f t="shared" si="15"/>
        <v>13429.520304338137</v>
      </c>
    </row>
    <row r="216" spans="1:27" ht="12.5">
      <c r="A216" s="58" t="s">
        <v>75</v>
      </c>
      <c r="B216" s="49" t="s">
        <v>22</v>
      </c>
      <c r="C216" s="49" t="s">
        <v>79</v>
      </c>
      <c r="D216" s="56" t="s">
        <v>86</v>
      </c>
      <c r="E216" s="50" t="s">
        <v>57</v>
      </c>
      <c r="F216" s="97">
        <v>1.6504237462968617E-5</v>
      </c>
      <c r="G216" s="99">
        <f t="shared" si="12"/>
        <v>1.2592733184245055E-2</v>
      </c>
      <c r="H216" s="46"/>
      <c r="I216" s="46">
        <f>G216*'Eilat Car Data'!F$6</f>
        <v>348.81870920358801</v>
      </c>
      <c r="J216" s="46">
        <f>I216*'Tier 1 Coefficients'!I$10</f>
        <v>83716.490208861127</v>
      </c>
      <c r="K216" s="46">
        <f t="shared" si="13"/>
        <v>83.716490208861131</v>
      </c>
      <c r="L216" s="46">
        <f>K216*'Tier 1 Coefficients'!D$4</f>
        <v>265.29755747188091</v>
      </c>
      <c r="M216" s="46">
        <f>K216*'Tier 1 Coefficients'!C$21</f>
        <v>212.63988513050728</v>
      </c>
      <c r="N216" s="46">
        <f>K216*'Tier 1 Coefficients'!C$45</f>
        <v>4.269541000651917</v>
      </c>
      <c r="O216" s="46">
        <f>I216*'Tier 2 FC'!D$34</f>
        <v>54066.899926556143</v>
      </c>
      <c r="P216" s="46">
        <f t="shared" si="14"/>
        <v>54.066899926556147</v>
      </c>
      <c r="Q216" s="46">
        <f>P216*'Tier 1 Coefficients'!D$4</f>
        <v>171.33800586725644</v>
      </c>
      <c r="R216" s="46">
        <f>$I216*'T2 HDV'!D14</f>
        <v>1.0115742566904051</v>
      </c>
      <c r="S216" s="121">
        <f>$I216*'T2 HDV'!E14</f>
        <v>169.52589267294377</v>
      </c>
      <c r="T216" s="46">
        <f>44.011*(P216/(12.011+1.008*'Tier 3 CO2 Tables'!B$4+16*'Tier 3 CO2 Tables'!C$4))</f>
        <v>171.36388422394998</v>
      </c>
      <c r="U216" s="46">
        <f>I216*'Tier 3 CO2 Tables'!H$15/10000</f>
        <v>5.4415718635759731E-2</v>
      </c>
      <c r="V216" s="46">
        <f>44.011*(U216/(12.011+1.008*'Tier 3 CO2 Tables'!B$6+16*'Tier 3 CO2 Tables'!C$6))</f>
        <v>0.16975838573130742</v>
      </c>
      <c r="W216" s="46">
        <f>I216*'T3 Methane'!D$29</f>
        <v>29649.59028230498</v>
      </c>
      <c r="X216" s="46" cm="1">
        <f t="array" ref="X216">_xlfn.IFS(E216='Euro Age Table'!C$5,'Euro Age Table'!G$5,E216='Euro Age Table'!C$6,'Euro Age Table'!G$6,E216='Euro Age Table'!C$7,'Euro Age Table'!G$7,E216='Euro Age Table'!C$8,'Euro Age Table'!G$8,E216='Euro Age Table'!C$9,'Euro Age Table'!G$9,E216='Euro Age Table'!C$10,'Euro Age Table'!G$10,E216='Euro Age Table'!C$11,'Euro Age Table'!G$11)</f>
        <v>16</v>
      </c>
      <c r="Y216" s="46">
        <f>X216*'Eilat Car Data'!F$6</f>
        <v>443200</v>
      </c>
      <c r="Z216" s="46">
        <f>'T3 N2O HDV'!C13</f>
        <v>5</v>
      </c>
      <c r="AA216" s="124">
        <f t="shared" si="15"/>
        <v>1744.0935460179401</v>
      </c>
    </row>
    <row r="217" spans="1:27" ht="12.5">
      <c r="A217" s="58" t="s">
        <v>75</v>
      </c>
      <c r="B217" s="49" t="s">
        <v>22</v>
      </c>
      <c r="C217" s="49" t="s">
        <v>79</v>
      </c>
      <c r="D217" s="56" t="s">
        <v>86</v>
      </c>
      <c r="E217" s="50" t="s">
        <v>58</v>
      </c>
      <c r="F217" s="97">
        <v>3.3008474925937234E-5</v>
      </c>
      <c r="G217" s="99">
        <f t="shared" si="12"/>
        <v>2.518546636849011E-2</v>
      </c>
      <c r="H217" s="46"/>
      <c r="I217" s="46">
        <f>G217*'Eilat Car Data'!F$6</f>
        <v>697.63741840717603</v>
      </c>
      <c r="J217" s="46">
        <f>I217*'Tier 1 Coefficients'!I$10</f>
        <v>167432.98041772225</v>
      </c>
      <c r="K217" s="46">
        <f t="shared" si="13"/>
        <v>167.43298041772226</v>
      </c>
      <c r="L217" s="46">
        <f>K217*'Tier 1 Coefficients'!D$4</f>
        <v>530.59511494376181</v>
      </c>
      <c r="M217" s="46">
        <f>K217*'Tier 1 Coefficients'!C$21</f>
        <v>425.27977026101456</v>
      </c>
      <c r="N217" s="46">
        <f>K217*'Tier 1 Coefficients'!C$45</f>
        <v>8.539082001303834</v>
      </c>
      <c r="O217" s="46">
        <f>I217*'Tier 2 FC'!D$34</f>
        <v>108133.79985311229</v>
      </c>
      <c r="P217" s="46">
        <f t="shared" si="14"/>
        <v>108.13379985311229</v>
      </c>
      <c r="Q217" s="46">
        <f>P217*'Tier 1 Coefficients'!D$4</f>
        <v>342.67601173451288</v>
      </c>
      <c r="R217" s="46">
        <f>$I217*'T2 HDV'!D15</f>
        <v>2.0231485133808103</v>
      </c>
      <c r="S217" s="121">
        <f>$I217*'T2 HDV'!E15</f>
        <v>339.05178534588754</v>
      </c>
      <c r="T217" s="46">
        <f>44.011*(P217/(12.011+1.008*'Tier 3 CO2 Tables'!B$4+16*'Tier 3 CO2 Tables'!C$4))</f>
        <v>342.72776844789996</v>
      </c>
      <c r="U217" s="46">
        <f>I217*'Tier 3 CO2 Tables'!H$15/10000</f>
        <v>0.10883143727151946</v>
      </c>
      <c r="V217" s="46">
        <f>44.011*(U217/(12.011+1.008*'Tier 3 CO2 Tables'!B$6+16*'Tier 3 CO2 Tables'!C$6))</f>
        <v>0.33951677146261483</v>
      </c>
      <c r="W217" s="46">
        <f>I217*'T3 Methane'!D$29</f>
        <v>59299.18056460996</v>
      </c>
      <c r="X217" s="46" cm="1">
        <f t="array" ref="X217">_xlfn.IFS(E217='Euro Age Table'!C$5,'Euro Age Table'!G$5,E217='Euro Age Table'!C$6,'Euro Age Table'!G$6,E217='Euro Age Table'!C$7,'Euro Age Table'!G$7,E217='Euro Age Table'!C$8,'Euro Age Table'!G$8,E217='Euro Age Table'!C$9,'Euro Age Table'!G$9,E217='Euro Age Table'!C$10,'Euro Age Table'!G$10,E217='Euro Age Table'!C$11,'Euro Age Table'!G$11)</f>
        <v>13</v>
      </c>
      <c r="Y217" s="46">
        <f>X217*'Eilat Car Data'!F$6</f>
        <v>360100</v>
      </c>
      <c r="Z217" s="46">
        <f>'T3 N2O HDV'!C14</f>
        <v>11.2</v>
      </c>
      <c r="AA217" s="124">
        <f t="shared" si="15"/>
        <v>7813.539086160371</v>
      </c>
    </row>
    <row r="218" spans="1:27" ht="12.5">
      <c r="A218" s="58" t="s">
        <v>75</v>
      </c>
      <c r="B218" s="49" t="s">
        <v>22</v>
      </c>
      <c r="C218" s="49" t="s">
        <v>79</v>
      </c>
      <c r="D218" s="57" t="s">
        <v>86</v>
      </c>
      <c r="E218" s="51" t="s">
        <v>60</v>
      </c>
      <c r="F218" s="97">
        <v>7.5094280456507211E-4</v>
      </c>
      <c r="G218" s="99">
        <f t="shared" si="12"/>
        <v>0.57296935988315001</v>
      </c>
      <c r="H218" s="46"/>
      <c r="I218" s="46">
        <f>G218*'Eilat Car Data'!F$6</f>
        <v>15871.251268763255</v>
      </c>
      <c r="J218" s="46">
        <f>I218*'Tier 1 Coefficients'!I$10</f>
        <v>3809100.304503181</v>
      </c>
      <c r="K218" s="46">
        <f t="shared" si="13"/>
        <v>3809.1003045031812</v>
      </c>
      <c r="L218" s="46">
        <f>K218*'Tier 1 Coefficients'!D$4</f>
        <v>12071.038864970582</v>
      </c>
      <c r="M218" s="46">
        <f>K218*'Tier 1 Coefficients'!C$21</f>
        <v>9675.1147734380811</v>
      </c>
      <c r="N218" s="46">
        <f>K218*'Tier 1 Coefficients'!C$45</f>
        <v>194.26411552966223</v>
      </c>
      <c r="O218" s="46">
        <f>I218*'Tier 2 FC'!D$34</f>
        <v>2460043.9466583044</v>
      </c>
      <c r="P218" s="46">
        <f t="shared" si="14"/>
        <v>2460.0439466583043</v>
      </c>
      <c r="Q218" s="46">
        <f>P218*'Tier 1 Coefficients'!D$4</f>
        <v>7795.8792669601662</v>
      </c>
      <c r="R218" s="46">
        <f>$I218*'T2 HDV'!D16</f>
        <v>174.58376395639579</v>
      </c>
      <c r="S218" s="121">
        <f>$I218*'T2 HDV'!E16</f>
        <v>7713.4281166189421</v>
      </c>
      <c r="T218" s="46">
        <f>44.011*(P218/(12.011+1.008*'Tier 3 CO2 Tables'!B$4+16*'Tier 3 CO2 Tables'!C$4))</f>
        <v>7797.0567321897242</v>
      </c>
      <c r="U218" s="46">
        <f>I218*'Tier 3 CO2 Tables'!H$15/10000</f>
        <v>2.4759151979270677</v>
      </c>
      <c r="V218" s="46">
        <f>44.011*(U218/(12.011+1.008*'Tier 3 CO2 Tables'!B$6+16*'Tier 3 CO2 Tables'!C$6))</f>
        <v>7.7240065507744875</v>
      </c>
      <c r="W218" s="46">
        <f>I218*'T3 Methane'!D$29</f>
        <v>1349056.3578448766</v>
      </c>
      <c r="X218" s="46" cm="1">
        <f t="array" ref="X218">_xlfn.IFS(E218='Euro Age Table'!C$5,'Euro Age Table'!G$5,E218='Euro Age Table'!C$6,'Euro Age Table'!G$6,E218='Euro Age Table'!C$7,'Euro Age Table'!G$7,E218='Euro Age Table'!C$8,'Euro Age Table'!G$8,E218='Euro Age Table'!C$9,'Euro Age Table'!G$9,E218='Euro Age Table'!C$10,'Euro Age Table'!G$10,E218='Euro Age Table'!C$11,'Euro Age Table'!G$11)</f>
        <v>3</v>
      </c>
      <c r="Y218" s="46">
        <f>X218*'Eilat Car Data'!F$6</f>
        <v>83100</v>
      </c>
      <c r="Z218" s="46">
        <f>'T3 N2O HDV'!C15</f>
        <v>29.8</v>
      </c>
      <c r="AA218" s="124">
        <f t="shared" si="15"/>
        <v>472963.287809145</v>
      </c>
    </row>
    <row r="219" spans="1:27" ht="12.5">
      <c r="A219" s="58" t="s">
        <v>75</v>
      </c>
      <c r="B219" s="49" t="s">
        <v>22</v>
      </c>
      <c r="C219" s="49" t="s">
        <v>79</v>
      </c>
      <c r="D219" s="56" t="s">
        <v>80</v>
      </c>
      <c r="E219" s="50" t="s">
        <v>54</v>
      </c>
      <c r="F219" s="97">
        <v>2.4756356194452928E-4</v>
      </c>
      <c r="G219" s="99">
        <f t="shared" si="12"/>
        <v>0.18889099776367585</v>
      </c>
      <c r="H219" s="46"/>
      <c r="I219" s="46">
        <f>G219*'Eilat Car Data'!F$6</f>
        <v>5232.2806380538213</v>
      </c>
      <c r="J219" s="46">
        <f>I219*'Tier 1 Coefficients'!I$10</f>
        <v>1255747.3531329171</v>
      </c>
      <c r="K219" s="46">
        <f t="shared" si="13"/>
        <v>1255.7473531329172</v>
      </c>
      <c r="L219" s="46">
        <f>K219*'Tier 1 Coefficients'!D$4</f>
        <v>3979.4633620782147</v>
      </c>
      <c r="M219" s="46">
        <f>K219*'Tier 1 Coefficients'!C$21</f>
        <v>3189.5982769576099</v>
      </c>
      <c r="N219" s="46">
        <f>K219*'Tier 1 Coefficients'!C$45</f>
        <v>64.043115009778774</v>
      </c>
      <c r="O219" s="46">
        <f>I219*'Tier 2 FC'!D35</f>
        <v>1313302.4401515091</v>
      </c>
      <c r="P219" s="46">
        <f t="shared" si="14"/>
        <v>1313.302440151509</v>
      </c>
      <c r="Q219" s="46">
        <f>P219*'Tier 1 Coefficients'!D$4</f>
        <v>4161.8554328401324</v>
      </c>
      <c r="R219" s="46">
        <f>$I219*'T2 HDV'!D19</f>
        <v>15.17361385035608</v>
      </c>
      <c r="S219" s="121">
        <f>$I219*'T2 HDV'!E19</f>
        <v>2542.8883900941573</v>
      </c>
      <c r="T219" s="46">
        <f>44.011*(P219/(12.011+1.008*'Tier 3 CO2 Tables'!B$4+16*'Tier 3 CO2 Tables'!C$4))</f>
        <v>4162.484026472076</v>
      </c>
      <c r="U219" s="46">
        <f>I219*'Tier 3 CO2 Tables'!H$15/10000</f>
        <v>0.81623577953639614</v>
      </c>
      <c r="V219" s="46">
        <f>44.011*(U219/(12.011+1.008*'Tier 3 CO2 Tables'!B$6+16*'Tier 3 CO2 Tables'!C$6))</f>
        <v>2.5463757859696119</v>
      </c>
      <c r="W219" s="46">
        <f>I219*'T3 Methane'!D$30</f>
        <v>915649.11165941879</v>
      </c>
      <c r="X219" s="46" cm="1">
        <f t="array" ref="X219">_xlfn.IFS(E219='Euro Age Table'!C$5,'Euro Age Table'!G$5,E219='Euro Age Table'!C$6,'Euro Age Table'!G$6,E219='Euro Age Table'!C$7,'Euro Age Table'!G$7,E219='Euro Age Table'!C$8,'Euro Age Table'!G$8,E219='Euro Age Table'!C$9,'Euro Age Table'!G$9,E219='Euro Age Table'!C$10,'Euro Age Table'!G$10,E219='Euro Age Table'!C$11,'Euro Age Table'!G$11)</f>
        <v>27</v>
      </c>
      <c r="Y219" s="46">
        <f>X219*'Eilat Car Data'!F$6</f>
        <v>747900</v>
      </c>
      <c r="Z219" s="46">
        <f>'T3 N2O HDV'!C10</f>
        <v>30</v>
      </c>
      <c r="AA219" s="124">
        <f t="shared" si="15"/>
        <v>156968.41914161464</v>
      </c>
    </row>
    <row r="220" spans="1:27" ht="12.5">
      <c r="A220" s="58" t="s">
        <v>75</v>
      </c>
      <c r="B220" s="49" t="s">
        <v>22</v>
      </c>
      <c r="C220" s="49" t="s">
        <v>79</v>
      </c>
      <c r="D220" s="56" t="s">
        <v>80</v>
      </c>
      <c r="E220" s="50" t="s">
        <v>55</v>
      </c>
      <c r="F220" s="97">
        <v>5.0337924262054278E-4</v>
      </c>
      <c r="G220" s="99">
        <f t="shared" si="12"/>
        <v>0.38407836211947416</v>
      </c>
      <c r="H220" s="46"/>
      <c r="I220" s="46">
        <f>G220*'Eilat Car Data'!F$6</f>
        <v>10638.970630709435</v>
      </c>
      <c r="J220" s="46">
        <f>I220*'Tier 1 Coefficients'!I$10</f>
        <v>2553352.9513702644</v>
      </c>
      <c r="K220" s="46">
        <f t="shared" si="13"/>
        <v>2553.3529513702642</v>
      </c>
      <c r="L220" s="46">
        <f>K220*'Tier 1 Coefficients'!D$4</f>
        <v>8091.5755028923677</v>
      </c>
      <c r="M220" s="46">
        <f>K220*'Tier 1 Coefficients'!C$21</f>
        <v>6485.5164964804717</v>
      </c>
      <c r="N220" s="46">
        <f>K220*'Tier 1 Coefficients'!C$45</f>
        <v>130.22100051988346</v>
      </c>
      <c r="O220" s="46">
        <f>I220*'Tier 2 FC'!D$36</f>
        <v>2234183.8324489812</v>
      </c>
      <c r="P220" s="46">
        <f t="shared" si="14"/>
        <v>2234.1838324489813</v>
      </c>
      <c r="Q220" s="46">
        <f>P220*'Tier 1 Coefficients'!D$4</f>
        <v>7080.1285650308218</v>
      </c>
      <c r="R220" s="46">
        <f>$I220*'T2 HDV'!D20</f>
        <v>30.853014829057358</v>
      </c>
      <c r="S220" s="121">
        <f>$I220*'T2 HDV'!E20</f>
        <v>5170.5397265247848</v>
      </c>
      <c r="T220" s="46">
        <f>44.011*(P220/(12.011+1.008*'Tier 3 CO2 Tables'!B$4+16*'Tier 3 CO2 Tables'!C$4))</f>
        <v>7081.1979255122551</v>
      </c>
      <c r="U220" s="46">
        <f>I220*'Tier 3 CO2 Tables'!H$15/10000</f>
        <v>1.6596794183906718</v>
      </c>
      <c r="V220" s="46">
        <f>44.011*(U220/(12.011+1.008*'Tier 3 CO2 Tables'!B$6+16*'Tier 3 CO2 Tables'!C$6))</f>
        <v>5.1776307648048761</v>
      </c>
      <c r="W220" s="46">
        <f>I220*'T3 Methane'!D$30</f>
        <v>1861819.860374151</v>
      </c>
      <c r="X220" s="46" cm="1">
        <f t="array" ref="X220">_xlfn.IFS(E220='Euro Age Table'!C$5,'Euro Age Table'!G$5,E220='Euro Age Table'!C$6,'Euro Age Table'!G$6,E220='Euro Age Table'!C$7,'Euro Age Table'!G$7,E220='Euro Age Table'!C$8,'Euro Age Table'!G$8,E220='Euro Age Table'!C$9,'Euro Age Table'!G$9,E220='Euro Age Table'!C$10,'Euro Age Table'!G$10,E220='Euro Age Table'!C$11,'Euro Age Table'!G$11)</f>
        <v>23</v>
      </c>
      <c r="Y220" s="46">
        <f>X220*'Eilat Car Data'!F$6</f>
        <v>637100</v>
      </c>
      <c r="Z220" s="46">
        <f>'T3 N2O HDV'!C11</f>
        <v>11</v>
      </c>
      <c r="AA220" s="124">
        <f t="shared" si="15"/>
        <v>117028.67693780379</v>
      </c>
    </row>
    <row r="221" spans="1:27" ht="12.5">
      <c r="A221" s="58" t="s">
        <v>75</v>
      </c>
      <c r="B221" s="49" t="s">
        <v>22</v>
      </c>
      <c r="C221" s="49" t="s">
        <v>79</v>
      </c>
      <c r="D221" s="56" t="s">
        <v>80</v>
      </c>
      <c r="E221" s="50" t="s">
        <v>56</v>
      </c>
      <c r="F221" s="97">
        <v>3.4328813922974723E-3</v>
      </c>
      <c r="G221" s="99">
        <f t="shared" si="12"/>
        <v>2.6192885023229713</v>
      </c>
      <c r="H221" s="46"/>
      <c r="I221" s="46">
        <f>G221*'Eilat Car Data'!F$6</f>
        <v>72554.291514346303</v>
      </c>
      <c r="J221" s="46">
        <f>I221*'Tier 1 Coefficients'!I$10</f>
        <v>17413029.963443112</v>
      </c>
      <c r="K221" s="46">
        <f t="shared" si="13"/>
        <v>17413.02996344311</v>
      </c>
      <c r="L221" s="46">
        <f>K221*'Tier 1 Coefficients'!D$4</f>
        <v>55181.891954151215</v>
      </c>
      <c r="M221" s="46">
        <f>K221*'Tier 1 Coefficients'!C$21</f>
        <v>44229.096107145502</v>
      </c>
      <c r="N221" s="46">
        <f>K221*'Tier 1 Coefficients'!C$45</f>
        <v>888.06452813559861</v>
      </c>
      <c r="O221" s="46">
        <f>I221*'Tier 2 FC'!D$36</f>
        <v>15236401.218012724</v>
      </c>
      <c r="P221" s="46">
        <f t="shared" si="14"/>
        <v>15236.401218012725</v>
      </c>
      <c r="Q221" s="46">
        <f>P221*'Tier 1 Coefficients'!D$4</f>
        <v>48284.155459882328</v>
      </c>
      <c r="R221" s="46">
        <f>$I221*'T2 HDV'!D21</f>
        <v>210.40744539160426</v>
      </c>
      <c r="S221" s="121">
        <f>$I221*'T2 HDV'!E21</f>
        <v>35261.385675972306</v>
      </c>
      <c r="T221" s="46">
        <f>44.011*(P221/(12.011+1.008*'Tier 3 CO2 Tables'!B$4+16*'Tier 3 CO2 Tables'!C$4))</f>
        <v>48291.448147755706</v>
      </c>
      <c r="U221" s="46">
        <f>I221*'Tier 3 CO2 Tables'!H$15/10000</f>
        <v>11.318469476238024</v>
      </c>
      <c r="V221" s="46">
        <f>44.011*(U221/(12.011+1.008*'Tier 3 CO2 Tables'!B$6+16*'Tier 3 CO2 Tables'!C$6))</f>
        <v>35.309744232111939</v>
      </c>
      <c r="W221" s="46">
        <f>I221*'T3 Methane'!D$30</f>
        <v>12697001.015010603</v>
      </c>
      <c r="X221" s="46" cm="1">
        <f t="array" ref="X221">_xlfn.IFS(E221='Euro Age Table'!C$5,'Euro Age Table'!G$5,E221='Euro Age Table'!C$6,'Euro Age Table'!G$6,E221='Euro Age Table'!C$7,'Euro Age Table'!G$7,E221='Euro Age Table'!C$8,'Euro Age Table'!G$8,E221='Euro Age Table'!C$9,'Euro Age Table'!G$9,E221='Euro Age Table'!C$10,'Euro Age Table'!G$10,E221='Euro Age Table'!C$11,'Euro Age Table'!G$11)</f>
        <v>18</v>
      </c>
      <c r="Y221" s="46">
        <f>X221*'Eilat Car Data'!F$6</f>
        <v>498600</v>
      </c>
      <c r="Z221" s="46">
        <f>'T3 N2O HDV'!C12</f>
        <v>11</v>
      </c>
      <c r="AA221" s="124">
        <f t="shared" si="15"/>
        <v>798097.20665780932</v>
      </c>
    </row>
    <row r="222" spans="1:27" ht="12.5">
      <c r="A222" s="58" t="s">
        <v>75</v>
      </c>
      <c r="B222" s="49" t="s">
        <v>22</v>
      </c>
      <c r="C222" s="49" t="s">
        <v>79</v>
      </c>
      <c r="D222" s="56" t="s">
        <v>80</v>
      </c>
      <c r="E222" s="50" t="s">
        <v>57</v>
      </c>
      <c r="F222" s="97">
        <v>1.0447182314059134E-2</v>
      </c>
      <c r="G222" s="99">
        <f t="shared" si="12"/>
        <v>7.9712001056271191</v>
      </c>
      <c r="H222" s="46"/>
      <c r="I222" s="46">
        <f>G222*'Eilat Car Data'!F$6</f>
        <v>220802.24292587119</v>
      </c>
      <c r="J222" s="46">
        <f>I222*'Tier 1 Coefficients'!I$10</f>
        <v>52992538.302209087</v>
      </c>
      <c r="K222" s="46">
        <f t="shared" si="13"/>
        <v>52992.53830220909</v>
      </c>
      <c r="L222" s="46">
        <f>K222*'Tier 1 Coefficients'!D$4</f>
        <v>167933.35387970062</v>
      </c>
      <c r="M222" s="46">
        <f>K222*'Tier 1 Coefficients'!C$21</f>
        <v>134601.04728761109</v>
      </c>
      <c r="N222" s="46">
        <f>K222*'Tier 1 Coefficients'!C$45</f>
        <v>2702.6194534126635</v>
      </c>
      <c r="O222" s="46">
        <f>I222*'Tier 2 FC'!D$36</f>
        <v>46368471.014432952</v>
      </c>
      <c r="P222" s="46">
        <f t="shared" si="14"/>
        <v>46368.471014432951</v>
      </c>
      <c r="Q222" s="46">
        <f>P222*'Tier 1 Coefficients'!D$4</f>
        <v>146941.68464473804</v>
      </c>
      <c r="R222" s="46">
        <f>$I222*'T2 HDV'!D22</f>
        <v>640.32650448502636</v>
      </c>
      <c r="S222" s="121">
        <f>$I222*'T2 HDV'!E22</f>
        <v>107309.89006197339</v>
      </c>
      <c r="T222" s="46">
        <f>44.011*(P222/(12.011+1.008*'Tier 3 CO2 Tables'!B$4+16*'Tier 3 CO2 Tables'!C$4))</f>
        <v>146963.87825735271</v>
      </c>
      <c r="U222" s="46">
        <f>I222*'Tier 3 CO2 Tables'!H$15/10000</f>
        <v>34.445149896435908</v>
      </c>
      <c r="V222" s="46">
        <f>44.011*(U222/(12.011+1.008*'Tier 3 CO2 Tables'!B$6+16*'Tier 3 CO2 Tables'!C$6))</f>
        <v>107.45705816791758</v>
      </c>
      <c r="W222" s="46">
        <f>I222*'T3 Methane'!D$30</f>
        <v>38640392.512027457</v>
      </c>
      <c r="X222" s="46" cm="1">
        <f t="array" ref="X222">_xlfn.IFS(E222='Euro Age Table'!C$5,'Euro Age Table'!G$5,E222='Euro Age Table'!C$6,'Euro Age Table'!G$6,E222='Euro Age Table'!C$7,'Euro Age Table'!G$7,E222='Euro Age Table'!C$8,'Euro Age Table'!G$8,E222='Euro Age Table'!C$9,'Euro Age Table'!G$9,E222='Euro Age Table'!C$10,'Euro Age Table'!G$10,E222='Euro Age Table'!C$11,'Euro Age Table'!G$11)</f>
        <v>16</v>
      </c>
      <c r="Y222" s="46">
        <f>X222*'Eilat Car Data'!F$6</f>
        <v>443200</v>
      </c>
      <c r="Z222" s="46">
        <f>'T3 N2O HDV'!C13</f>
        <v>5</v>
      </c>
      <c r="AA222" s="124">
        <f t="shared" si="15"/>
        <v>1104011.2146293561</v>
      </c>
    </row>
    <row r="223" spans="1:27" ht="12.5">
      <c r="A223" s="58" t="s">
        <v>75</v>
      </c>
      <c r="B223" s="49" t="s">
        <v>22</v>
      </c>
      <c r="C223" s="49" t="s">
        <v>79</v>
      </c>
      <c r="D223" s="56" t="s">
        <v>80</v>
      </c>
      <c r="E223" s="50" t="s">
        <v>58</v>
      </c>
      <c r="F223" s="97">
        <v>1.4515476848680899E-2</v>
      </c>
      <c r="G223" s="99">
        <f t="shared" si="12"/>
        <v>11.075308835543526</v>
      </c>
      <c r="H223" s="46"/>
      <c r="I223" s="46">
        <f>G223*'Eilat Car Data'!F$6</f>
        <v>306786.05474455567</v>
      </c>
      <c r="J223" s="46">
        <f>I223*'Tier 1 Coefficients'!I$10</f>
        <v>73628653.138693362</v>
      </c>
      <c r="K223" s="46">
        <f t="shared" si="13"/>
        <v>73628.653138693364</v>
      </c>
      <c r="L223" s="46">
        <f>K223*'Tier 1 Coefficients'!D$4</f>
        <v>233329.20179651928</v>
      </c>
      <c r="M223" s="46">
        <f>K223*'Tier 1 Coefficients'!C$21</f>
        <v>187016.77897228114</v>
      </c>
      <c r="N223" s="46">
        <f>K223*'Tier 1 Coefficients'!C$45</f>
        <v>3755.0613100733613</v>
      </c>
      <c r="O223" s="46">
        <f>I223*'Tier 2 FC'!D$36</f>
        <v>64425071.496356688</v>
      </c>
      <c r="P223" s="46">
        <f t="shared" si="14"/>
        <v>64425.071496356686</v>
      </c>
      <c r="Q223" s="46">
        <f>P223*'Tier 1 Coefficients'!D$4</f>
        <v>204163.05157195433</v>
      </c>
      <c r="R223" s="46">
        <f>$I223*'T2 HDV'!D23</f>
        <v>889.67955875921143</v>
      </c>
      <c r="S223" s="121">
        <f>$I223*'T2 HDV'!E23</f>
        <v>149098.02260585406</v>
      </c>
      <c r="T223" s="46">
        <f>44.011*(P223/(12.011+1.008*'Tier 3 CO2 Tables'!B$4+16*'Tier 3 CO2 Tables'!C$4))</f>
        <v>204193.88772091895</v>
      </c>
      <c r="U223" s="46">
        <f>I223*'Tier 3 CO2 Tables'!H$15/10000</f>
        <v>47.858624540150693</v>
      </c>
      <c r="V223" s="46">
        <f>44.011*(U223/(12.011+1.008*'Tier 3 CO2 Tables'!B$6+16*'Tier 3 CO2 Tables'!C$6))</f>
        <v>149.30250025068489</v>
      </c>
      <c r="W223" s="46">
        <f>I223*'T3 Methane'!D$30</f>
        <v>53687559.580297239</v>
      </c>
      <c r="X223" s="46" cm="1">
        <f t="array" ref="X223">_xlfn.IFS(E223='Euro Age Table'!C$5,'Euro Age Table'!G$5,E223='Euro Age Table'!C$6,'Euro Age Table'!G$6,E223='Euro Age Table'!C$7,'Euro Age Table'!G$7,E223='Euro Age Table'!C$8,'Euro Age Table'!G$8,E223='Euro Age Table'!C$9,'Euro Age Table'!G$9,E223='Euro Age Table'!C$10,'Euro Age Table'!G$10,E223='Euro Age Table'!C$11,'Euro Age Table'!G$11)</f>
        <v>13</v>
      </c>
      <c r="Y223" s="46">
        <f>X223*'Eilat Car Data'!F$6</f>
        <v>360100</v>
      </c>
      <c r="Z223" s="46">
        <f>'T3 N2O HDV'!C14</f>
        <v>11.2</v>
      </c>
      <c r="AA223" s="124">
        <f t="shared" si="15"/>
        <v>3436003.8131390233</v>
      </c>
    </row>
    <row r="224" spans="1:27" ht="12.5">
      <c r="A224" s="58" t="s">
        <v>75</v>
      </c>
      <c r="B224" s="49" t="s">
        <v>22</v>
      </c>
      <c r="C224" s="49" t="s">
        <v>79</v>
      </c>
      <c r="D224" s="56" t="s">
        <v>80</v>
      </c>
      <c r="E224" s="50" t="s">
        <v>59</v>
      </c>
      <c r="F224" s="97">
        <v>2.924550878438039E-2</v>
      </c>
      <c r="G224" s="99">
        <f t="shared" si="12"/>
        <v>22.314323202482239</v>
      </c>
      <c r="H224" s="46"/>
      <c r="I224" s="46">
        <f>G224*'Eilat Car Data'!F$6</f>
        <v>618106.75270875799</v>
      </c>
      <c r="J224" s="46">
        <f>I224*'Tier 1 Coefficients'!I$10</f>
        <v>148345620.65010193</v>
      </c>
      <c r="K224" s="46">
        <f t="shared" si="13"/>
        <v>148345.62065010192</v>
      </c>
      <c r="L224" s="46">
        <f>K224*'Tier 1 Coefficients'!D$4</f>
        <v>470107.27184017299</v>
      </c>
      <c r="M224" s="46">
        <f>K224*'Tier 1 Coefficients'!C$21</f>
        <v>376797.8764512589</v>
      </c>
      <c r="N224" s="46">
        <f>K224*'Tier 1 Coefficients'!C$45</f>
        <v>7565.6266531551973</v>
      </c>
      <c r="O224" s="46">
        <f>I224*'Tier 2 FC'!D$36</f>
        <v>129802418.06883918</v>
      </c>
      <c r="P224" s="46">
        <f t="shared" si="14"/>
        <v>129802.41806883918</v>
      </c>
      <c r="Q224" s="46">
        <f>P224*'Tier 1 Coefficients'!D$4</f>
        <v>411343.86286015139</v>
      </c>
      <c r="R224" s="46">
        <f>$I224*'T2 HDV'!D24</f>
        <v>6799.1742797963379</v>
      </c>
      <c r="S224" s="121">
        <f>$I224*'T2 HDV'!E24</f>
        <v>300399.88181645639</v>
      </c>
      <c r="T224" s="46">
        <f>44.011*(P224/(12.011+1.008*'Tier 3 CO2 Tables'!B$4+16*'Tier 3 CO2 Tables'!C$4))</f>
        <v>411405.99095107272</v>
      </c>
      <c r="U224" s="46">
        <f>I224*'Tier 3 CO2 Tables'!H$15/10000</f>
        <v>96.424653422566251</v>
      </c>
      <c r="V224" s="46">
        <f>44.011*(U224/(12.011+1.008*'Tier 3 CO2 Tables'!B$6+16*'Tier 3 CO2 Tables'!C$6))</f>
        <v>300.81185951587679</v>
      </c>
      <c r="W224" s="46">
        <f>I224*'T3 Methane'!D$30</f>
        <v>108168681.72403266</v>
      </c>
      <c r="X224" s="46" cm="1">
        <f t="array" ref="X224">_xlfn.IFS(E224='Euro Age Table'!C$5,'Euro Age Table'!G$5,E224='Euro Age Table'!C$6,'Euro Age Table'!G$6,E224='Euro Age Table'!C$7,'Euro Age Table'!G$7,E224='Euro Age Table'!C$8,'Euro Age Table'!G$8,E224='Euro Age Table'!C$9,'Euro Age Table'!G$9,E224='Euro Age Table'!C$10,'Euro Age Table'!G$10,E224='Euro Age Table'!C$11,'Euro Age Table'!G$11)</f>
        <v>9</v>
      </c>
      <c r="Y224" s="46">
        <f>X224*'Eilat Car Data'!F$6</f>
        <v>249300</v>
      </c>
      <c r="Z224" s="46">
        <f>'T3 N2O HDV'!C15</f>
        <v>29.8</v>
      </c>
      <c r="AA224" s="124">
        <f t="shared" si="15"/>
        <v>18419581.230720989</v>
      </c>
    </row>
    <row r="225" spans="1:27" ht="12.5">
      <c r="A225" s="58" t="s">
        <v>75</v>
      </c>
      <c r="B225" s="49" t="s">
        <v>22</v>
      </c>
      <c r="C225" s="49" t="s">
        <v>79</v>
      </c>
      <c r="D225" s="57" t="s">
        <v>80</v>
      </c>
      <c r="E225" s="50" t="s">
        <v>60</v>
      </c>
      <c r="F225" s="97">
        <v>5.0296663668396864E-2</v>
      </c>
      <c r="G225" s="99">
        <f t="shared" si="12"/>
        <v>38.376354378986804</v>
      </c>
      <c r="H225" s="46"/>
      <c r="I225" s="46">
        <f>G225*'Eilat Car Data'!F$6</f>
        <v>1063025.0162979346</v>
      </c>
      <c r="J225" s="46">
        <f>I225*'Tier 1 Coefficients'!I$10</f>
        <v>255126003.9115043</v>
      </c>
      <c r="K225" s="46">
        <f t="shared" si="13"/>
        <v>255126.00391150429</v>
      </c>
      <c r="L225" s="46">
        <f>K225*'Tier 1 Coefficients'!D$4</f>
        <v>808494.30639555713</v>
      </c>
      <c r="M225" s="46">
        <f>K225*'Tier 1 Coefficients'!C$21</f>
        <v>648020.04993522086</v>
      </c>
      <c r="N225" s="46">
        <f>K225*'Tier 1 Coefficients'!C$45</f>
        <v>13011.426199486717</v>
      </c>
      <c r="O225" s="46">
        <f>I225*'Tier 2 FC'!D$36</f>
        <v>223235253.42256626</v>
      </c>
      <c r="P225" s="46">
        <f t="shared" si="14"/>
        <v>223235.25342256625</v>
      </c>
      <c r="Q225" s="46">
        <f>P225*'Tier 1 Coefficients'!D$4</f>
        <v>707432.51809611241</v>
      </c>
      <c r="R225" s="46">
        <f>$I225*'T2 HDV'!D25</f>
        <v>9567.2251466814105</v>
      </c>
      <c r="S225" s="121">
        <f>$I225*'T2 HDV'!E25</f>
        <v>516630.15792079619</v>
      </c>
      <c r="T225" s="46">
        <f>44.011*(P225/(12.011+1.008*'Tier 3 CO2 Tables'!B$4+16*'Tier 3 CO2 Tables'!C$4))</f>
        <v>707539.36649175733</v>
      </c>
      <c r="U225" s="46">
        <f>I225*'Tier 3 CO2 Tables'!H$15/10000</f>
        <v>165.83190254247779</v>
      </c>
      <c r="V225" s="46">
        <f>44.011*(U225/(12.011+1.008*'Tier 3 CO2 Tables'!B$6+16*'Tier 3 CO2 Tables'!C$6))</f>
        <v>517.33868051615934</v>
      </c>
      <c r="W225" s="46">
        <f>I225*'T3 Methane'!D$30</f>
        <v>186029377.85213855</v>
      </c>
      <c r="X225" s="46" cm="1">
        <f t="array" ref="X225">_xlfn.IFS(E225='Euro Age Table'!C$5,'Euro Age Table'!G$5,E225='Euro Age Table'!C$6,'Euro Age Table'!G$6,E225='Euro Age Table'!C$7,'Euro Age Table'!G$7,E225='Euro Age Table'!C$8,'Euro Age Table'!G$8,E225='Euro Age Table'!C$9,'Euro Age Table'!G$9,E225='Euro Age Table'!C$10,'Euro Age Table'!G$10,E225='Euro Age Table'!C$11,'Euro Age Table'!G$11)</f>
        <v>3</v>
      </c>
      <c r="Y225" s="46">
        <f>X225*'Eilat Car Data'!F$6</f>
        <v>83100</v>
      </c>
      <c r="Z225" s="46">
        <f>'T3 N2O HDV'!C16</f>
        <v>37</v>
      </c>
      <c r="AA225" s="124">
        <f t="shared" si="15"/>
        <v>39331925.603023581</v>
      </c>
    </row>
    <row r="226" spans="1:27" ht="12.5">
      <c r="A226" s="58" t="s">
        <v>75</v>
      </c>
      <c r="B226" s="49" t="s">
        <v>22</v>
      </c>
      <c r="C226" s="49" t="s">
        <v>79</v>
      </c>
      <c r="D226" s="56" t="s">
        <v>81</v>
      </c>
      <c r="E226" s="50" t="s">
        <v>54</v>
      </c>
      <c r="F226" s="97">
        <v>3.3008474925937234E-4</v>
      </c>
      <c r="G226" s="99">
        <f t="shared" si="12"/>
        <v>0.25185466368490111</v>
      </c>
      <c r="H226" s="46"/>
      <c r="I226" s="46">
        <f>G226*'Eilat Car Data'!F$6</f>
        <v>6976.3741840717612</v>
      </c>
      <c r="J226" s="46">
        <f>I226*'Tier 1 Coefficients'!I$10</f>
        <v>1674329.8041772228</v>
      </c>
      <c r="K226" s="46">
        <f t="shared" si="13"/>
        <v>1674.3298041772227</v>
      </c>
      <c r="L226" s="46">
        <f>K226*'Tier 1 Coefficients'!D$4</f>
        <v>5305.9511494376193</v>
      </c>
      <c r="M226" s="46">
        <f>K226*'Tier 1 Coefficients'!C$21</f>
        <v>4252.7977026101462</v>
      </c>
      <c r="N226" s="46">
        <f>K226*'Tier 1 Coefficients'!C$45</f>
        <v>85.390820013038351</v>
      </c>
      <c r="O226" s="46">
        <f>I226*'Tier 2 FC'!D$35</f>
        <v>1751069.9202020122</v>
      </c>
      <c r="P226" s="46">
        <f t="shared" si="14"/>
        <v>1751.0699202020121</v>
      </c>
      <c r="Q226" s="46">
        <f>P226*'Tier 1 Coefficients'!D$4</f>
        <v>5549.1405771201762</v>
      </c>
      <c r="R226" s="46">
        <f>$I226*'T2 HDV'!D19</f>
        <v>20.231485133808107</v>
      </c>
      <c r="S226" s="121">
        <f>$I226*'T2 HDV'!E19</f>
        <v>3390.5178534588758</v>
      </c>
      <c r="T226" s="46">
        <f>44.011*(P226/(12.011+1.008*'Tier 3 CO2 Tables'!B$4+16*'Tier 3 CO2 Tables'!C$4))</f>
        <v>5549.9787019627674</v>
      </c>
      <c r="U226" s="46">
        <f>I226*'Tier 3 CO2 Tables'!H$15/10000</f>
        <v>1.0883143727151947</v>
      </c>
      <c r="V226" s="46">
        <f>44.011*(U226/(12.011+1.008*'Tier 3 CO2 Tables'!B$6+16*'Tier 3 CO2 Tables'!C$6))</f>
        <v>3.3951677146261483</v>
      </c>
      <c r="W226" s="46">
        <f>I226*'T3 Methane'!D$30</f>
        <v>1220865.4822125582</v>
      </c>
      <c r="X226" s="46" cm="1">
        <f t="array" ref="X226">_xlfn.IFS(E226='Euro Age Table'!C$5,'Euro Age Table'!G$5,E226='Euro Age Table'!C$6,'Euro Age Table'!G$6,E226='Euro Age Table'!C$7,'Euro Age Table'!G$7,E226='Euro Age Table'!C$8,'Euro Age Table'!G$8,E226='Euro Age Table'!C$9,'Euro Age Table'!G$9,E226='Euro Age Table'!C$10,'Euro Age Table'!G$10,E226='Euro Age Table'!C$11,'Euro Age Table'!G$11)</f>
        <v>27</v>
      </c>
      <c r="Y226" s="46">
        <f>X226*'Eilat Car Data'!F$6</f>
        <v>747900</v>
      </c>
      <c r="Z226" s="46">
        <f>'T3 N2O HDV'!C10</f>
        <v>30</v>
      </c>
      <c r="AA226" s="124">
        <f t="shared" si="15"/>
        <v>209291.22552215285</v>
      </c>
    </row>
    <row r="227" spans="1:27" ht="12.5">
      <c r="A227" s="58" t="s">
        <v>75</v>
      </c>
      <c r="B227" s="49" t="s">
        <v>22</v>
      </c>
      <c r="C227" s="49" t="s">
        <v>79</v>
      </c>
      <c r="D227" s="56" t="s">
        <v>81</v>
      </c>
      <c r="E227" s="50" t="s">
        <v>55</v>
      </c>
      <c r="F227" s="97">
        <v>5.0337924262054278E-4</v>
      </c>
      <c r="G227" s="99">
        <f t="shared" si="12"/>
        <v>0.38407836211947416</v>
      </c>
      <c r="H227" s="46"/>
      <c r="I227" s="46">
        <f>G227*'Eilat Car Data'!F$6</f>
        <v>10638.970630709435</v>
      </c>
      <c r="J227" s="46">
        <f>I227*'Tier 1 Coefficients'!I$10</f>
        <v>2553352.9513702644</v>
      </c>
      <c r="K227" s="46">
        <f t="shared" si="13"/>
        <v>2553.3529513702642</v>
      </c>
      <c r="L227" s="46">
        <f>K227*'Tier 1 Coefficients'!D$4</f>
        <v>8091.5755028923677</v>
      </c>
      <c r="M227" s="46">
        <f>K227*'Tier 1 Coefficients'!C$21</f>
        <v>6485.5164964804717</v>
      </c>
      <c r="N227" s="46">
        <f>K227*'Tier 1 Coefficients'!C$45</f>
        <v>130.22100051988346</v>
      </c>
      <c r="O227" s="46">
        <f>I227*'Tier 2 FC'!D$36</f>
        <v>2234183.8324489812</v>
      </c>
      <c r="P227" s="46">
        <f t="shared" si="14"/>
        <v>2234.1838324489813</v>
      </c>
      <c r="Q227" s="46">
        <f>P227*'Tier 1 Coefficients'!D$4</f>
        <v>7080.1285650308218</v>
      </c>
      <c r="R227" s="46">
        <f>$I227*'T2 HDV'!D20</f>
        <v>30.853014829057358</v>
      </c>
      <c r="S227" s="121">
        <f>$I227*'T2 HDV'!E20</f>
        <v>5170.5397265247848</v>
      </c>
      <c r="T227" s="46">
        <f>44.011*(P227/(12.011+1.008*'Tier 3 CO2 Tables'!B$4+16*'Tier 3 CO2 Tables'!C$4))</f>
        <v>7081.1979255122551</v>
      </c>
      <c r="U227" s="46">
        <f>I227*'Tier 3 CO2 Tables'!H$15/10000</f>
        <v>1.6596794183906718</v>
      </c>
      <c r="V227" s="46">
        <f>44.011*(U227/(12.011+1.008*'Tier 3 CO2 Tables'!B$6+16*'Tier 3 CO2 Tables'!C$6))</f>
        <v>5.1776307648048761</v>
      </c>
      <c r="W227" s="46">
        <f>I227*'T3 Methane'!D$30</f>
        <v>1861819.860374151</v>
      </c>
      <c r="X227" s="46" cm="1">
        <f t="array" ref="X227">_xlfn.IFS(E227='Euro Age Table'!C$5,'Euro Age Table'!G$5,E227='Euro Age Table'!C$6,'Euro Age Table'!G$6,E227='Euro Age Table'!C$7,'Euro Age Table'!G$7,E227='Euro Age Table'!C$8,'Euro Age Table'!G$8,E227='Euro Age Table'!C$9,'Euro Age Table'!G$9,E227='Euro Age Table'!C$10,'Euro Age Table'!G$10,E227='Euro Age Table'!C$11,'Euro Age Table'!G$11)</f>
        <v>23</v>
      </c>
      <c r="Y227" s="46">
        <f>X227*'Eilat Car Data'!F$6</f>
        <v>637100</v>
      </c>
      <c r="Z227" s="46">
        <f>'T3 N2O HDV'!C11</f>
        <v>11</v>
      </c>
      <c r="AA227" s="124">
        <f t="shared" si="15"/>
        <v>117028.67693780379</v>
      </c>
    </row>
    <row r="228" spans="1:27" ht="12.5">
      <c r="A228" s="58" t="s">
        <v>75</v>
      </c>
      <c r="B228" s="49" t="s">
        <v>22</v>
      </c>
      <c r="C228" s="49" t="s">
        <v>79</v>
      </c>
      <c r="D228" s="56" t="s">
        <v>81</v>
      </c>
      <c r="E228" s="50" t="s">
        <v>56</v>
      </c>
      <c r="F228" s="97">
        <v>1.3781038281578796E-3</v>
      </c>
      <c r="G228" s="99">
        <f t="shared" si="12"/>
        <v>1.0514932208844621</v>
      </c>
      <c r="H228" s="46"/>
      <c r="I228" s="46">
        <f>G228*'Eilat Car Data'!F$6</f>
        <v>29126.362218499598</v>
      </c>
      <c r="J228" s="46">
        <f>I228*'Tier 1 Coefficients'!I$10</f>
        <v>6990326.9324399037</v>
      </c>
      <c r="K228" s="46">
        <f t="shared" si="13"/>
        <v>6990.3269324399034</v>
      </c>
      <c r="L228" s="46">
        <f>K228*'Tier 1 Coefficients'!D$4</f>
        <v>22152.346048902054</v>
      </c>
      <c r="M228" s="46">
        <f>K228*'Tier 1 Coefficients'!C$21</f>
        <v>17755.430408397355</v>
      </c>
      <c r="N228" s="46">
        <f>K228*'Tier 1 Coefficients'!C$45</f>
        <v>356.50667355443505</v>
      </c>
      <c r="O228" s="46">
        <f>I228*'Tier 2 FC'!D$36</f>
        <v>6116536.0658849161</v>
      </c>
      <c r="P228" s="46">
        <f t="shared" si="14"/>
        <v>6116.5360658849158</v>
      </c>
      <c r="Q228" s="46">
        <f>P228*'Tier 1 Coefficients'!D$4</f>
        <v>19383.302792789298</v>
      </c>
      <c r="R228" s="46">
        <f>$I228*'T2 HDV'!D21</f>
        <v>84.466450433648831</v>
      </c>
      <c r="S228" s="121">
        <f>$I228*'T2 HDV'!E21</f>
        <v>14155.412038190805</v>
      </c>
      <c r="T228" s="46">
        <f>44.011*(P228/(12.011+1.008*'Tier 3 CO2 Tables'!B$4+16*'Tier 3 CO2 Tables'!C$4))</f>
        <v>19386.230386238469</v>
      </c>
      <c r="U228" s="46">
        <f>I228*'Tier 3 CO2 Tables'!H$15/10000</f>
        <v>4.5437125060859378</v>
      </c>
      <c r="V228" s="46">
        <f>44.011*(U228/(12.011+1.008*'Tier 3 CO2 Tables'!B$6+16*'Tier 3 CO2 Tables'!C$6))</f>
        <v>14.174825208564169</v>
      </c>
      <c r="W228" s="46">
        <f>I228*'T3 Methane'!D$30</f>
        <v>5097113.3882374298</v>
      </c>
      <c r="X228" s="46" cm="1">
        <f t="array" ref="X228">_xlfn.IFS(E228='Euro Age Table'!C$5,'Euro Age Table'!G$5,E228='Euro Age Table'!C$6,'Euro Age Table'!G$6,E228='Euro Age Table'!C$7,'Euro Age Table'!G$7,E228='Euro Age Table'!C$8,'Euro Age Table'!G$8,E228='Euro Age Table'!C$9,'Euro Age Table'!G$9,E228='Euro Age Table'!C$10,'Euro Age Table'!G$10,E228='Euro Age Table'!C$11,'Euro Age Table'!G$11)</f>
        <v>18</v>
      </c>
      <c r="Y228" s="46">
        <f>X228*'Eilat Car Data'!F$6</f>
        <v>498600</v>
      </c>
      <c r="Z228" s="46">
        <f>'T3 N2O HDV'!C12</f>
        <v>11</v>
      </c>
      <c r="AA228" s="124">
        <f t="shared" si="15"/>
        <v>320389.98440349556</v>
      </c>
    </row>
    <row r="229" spans="1:27" ht="12.5">
      <c r="A229" s="58" t="s">
        <v>75</v>
      </c>
      <c r="B229" s="49" t="s">
        <v>22</v>
      </c>
      <c r="C229" s="49" t="s">
        <v>79</v>
      </c>
      <c r="D229" s="56" t="s">
        <v>81</v>
      </c>
      <c r="E229" s="50" t="s">
        <v>57</v>
      </c>
      <c r="F229" s="97">
        <v>3.3256038487881764E-3</v>
      </c>
      <c r="G229" s="99">
        <f t="shared" si="12"/>
        <v>2.5374357366253784</v>
      </c>
      <c r="H229" s="46"/>
      <c r="I229" s="46">
        <f>G229*'Eilat Car Data'!F$6</f>
        <v>70286.969904522979</v>
      </c>
      <c r="J229" s="46">
        <f>I229*'Tier 1 Coefficients'!I$10</f>
        <v>16868872.777085517</v>
      </c>
      <c r="K229" s="46">
        <f t="shared" si="13"/>
        <v>16868.872777085515</v>
      </c>
      <c r="L229" s="46">
        <f>K229*'Tier 1 Coefficients'!D$4</f>
        <v>53457.457830583997</v>
      </c>
      <c r="M229" s="46">
        <f>K229*'Tier 1 Coefficients'!C$21</f>
        <v>42846.936853797211</v>
      </c>
      <c r="N229" s="46">
        <f>K229*'Tier 1 Coefficients'!C$45</f>
        <v>860.31251163136119</v>
      </c>
      <c r="O229" s="46">
        <f>I229*'Tier 2 FC'!D$36</f>
        <v>14760263.679949826</v>
      </c>
      <c r="P229" s="46">
        <f t="shared" si="14"/>
        <v>14760.263679949825</v>
      </c>
      <c r="Q229" s="46">
        <f>P229*'Tier 1 Coefficients'!D$4</f>
        <v>46775.275601760994</v>
      </c>
      <c r="R229" s="46">
        <f>$I229*'T2 HDV'!D22</f>
        <v>203.83221272311661</v>
      </c>
      <c r="S229" s="121">
        <f>$I229*'T2 HDV'!E22</f>
        <v>34159.467373598171</v>
      </c>
      <c r="T229" s="46">
        <f>44.011*(P229/(12.011+1.008*'Tier 3 CO2 Tables'!B$4+16*'Tier 3 CO2 Tables'!C$4))</f>
        <v>46782.340393138336</v>
      </c>
      <c r="U229" s="46">
        <f>I229*'Tier 3 CO2 Tables'!H$15/10000</f>
        <v>10.964767305105585</v>
      </c>
      <c r="V229" s="46">
        <f>44.011*(U229/(12.011+1.008*'Tier 3 CO2 Tables'!B$6+16*'Tier 3 CO2 Tables'!C$6))</f>
        <v>34.206314724858444</v>
      </c>
      <c r="W229" s="46">
        <f>I229*'T3 Methane'!D$30</f>
        <v>12300219.733291522</v>
      </c>
      <c r="X229" s="46" cm="1">
        <f t="array" ref="X229">_xlfn.IFS(E229='Euro Age Table'!C$5,'Euro Age Table'!G$5,E229='Euro Age Table'!C$6,'Euro Age Table'!G$6,E229='Euro Age Table'!C$7,'Euro Age Table'!G$7,E229='Euro Age Table'!C$8,'Euro Age Table'!G$8,E229='Euro Age Table'!C$9,'Euro Age Table'!G$9,E229='Euro Age Table'!C$10,'Euro Age Table'!G$10,E229='Euro Age Table'!C$11,'Euro Age Table'!G$11)</f>
        <v>16</v>
      </c>
      <c r="Y229" s="46">
        <f>X229*'Eilat Car Data'!F$6</f>
        <v>443200</v>
      </c>
      <c r="Z229" s="46">
        <f>'T3 N2O HDV'!C13</f>
        <v>5</v>
      </c>
      <c r="AA229" s="124">
        <f t="shared" si="15"/>
        <v>351434.84952261491</v>
      </c>
    </row>
    <row r="230" spans="1:27" ht="12.5">
      <c r="A230" s="58" t="s">
        <v>75</v>
      </c>
      <c r="B230" s="49" t="s">
        <v>22</v>
      </c>
      <c r="C230" s="49" t="s">
        <v>79</v>
      </c>
      <c r="D230" s="56" t="s">
        <v>81</v>
      </c>
      <c r="E230" s="50" t="s">
        <v>58</v>
      </c>
      <c r="F230" s="97">
        <v>5.0007839512794909E-3</v>
      </c>
      <c r="G230" s="99">
        <f t="shared" si="12"/>
        <v>3.8155981548262514</v>
      </c>
      <c r="H230" s="46"/>
      <c r="I230" s="46">
        <f>G230*'Eilat Car Data'!F$6</f>
        <v>105692.06888868716</v>
      </c>
      <c r="J230" s="46">
        <f>I230*'Tier 1 Coefficients'!I$10</f>
        <v>25366096.533284921</v>
      </c>
      <c r="K230" s="46">
        <f t="shared" si="13"/>
        <v>25366.096533284923</v>
      </c>
      <c r="L230" s="46">
        <f>K230*'Tier 1 Coefficients'!D$4</f>
        <v>80385.159913979922</v>
      </c>
      <c r="M230" s="46">
        <f>K230*'Tier 1 Coefficients'!C$21</f>
        <v>64429.885194543705</v>
      </c>
      <c r="N230" s="46">
        <f>K230*'Tier 1 Coefficients'!C$45</f>
        <v>1293.670923197531</v>
      </c>
      <c r="O230" s="46">
        <f>I230*'Tier 2 FC'!D$36</f>
        <v>22195334.466624305</v>
      </c>
      <c r="P230" s="46">
        <f t="shared" si="14"/>
        <v>22195.334466624303</v>
      </c>
      <c r="Q230" s="46">
        <f>P230*'Tier 1 Coefficients'!D$4</f>
        <v>70337.014924732415</v>
      </c>
      <c r="R230" s="46">
        <f>$I230*'T2 HDV'!D23</f>
        <v>306.50699977719273</v>
      </c>
      <c r="S230" s="121">
        <f>$I230*'T2 HDV'!E23</f>
        <v>51366.34547990196</v>
      </c>
      <c r="T230" s="46">
        <f>44.011*(P230/(12.011+1.008*'Tier 3 CO2 Tables'!B$4+16*'Tier 3 CO2 Tables'!C$4))</f>
        <v>70347.638407547973</v>
      </c>
      <c r="U230" s="46">
        <f>I230*'Tier 3 CO2 Tables'!H$15/10000</f>
        <v>16.487962746635198</v>
      </c>
      <c r="V230" s="46">
        <f>44.011*(U230/(12.011+1.008*'Tier 3 CO2 Tables'!B$6+16*'Tier 3 CO2 Tables'!C$6))</f>
        <v>51.436790876586144</v>
      </c>
      <c r="W230" s="46">
        <f>I230*'T3 Methane'!D$30</f>
        <v>18496112.055520255</v>
      </c>
      <c r="X230" s="46" cm="1">
        <f t="array" ref="X230">_xlfn.IFS(E230='Euro Age Table'!C$5,'Euro Age Table'!G$5,E230='Euro Age Table'!C$6,'Euro Age Table'!G$6,E230='Euro Age Table'!C$7,'Euro Age Table'!G$7,E230='Euro Age Table'!C$8,'Euro Age Table'!G$8,E230='Euro Age Table'!C$9,'Euro Age Table'!G$9,E230='Euro Age Table'!C$10,'Euro Age Table'!G$10,E230='Euro Age Table'!C$11,'Euro Age Table'!G$11)</f>
        <v>13</v>
      </c>
      <c r="Y230" s="46">
        <f>X230*'Eilat Car Data'!F$6</f>
        <v>360100</v>
      </c>
      <c r="Z230" s="46">
        <f>'T3 N2O HDV'!C14</f>
        <v>11.2</v>
      </c>
      <c r="AA230" s="124">
        <f t="shared" si="15"/>
        <v>1183751.1715532963</v>
      </c>
    </row>
    <row r="231" spans="1:27" ht="12.5">
      <c r="A231" s="58" t="s">
        <v>75</v>
      </c>
      <c r="B231" s="49" t="s">
        <v>22</v>
      </c>
      <c r="C231" s="49" t="s">
        <v>79</v>
      </c>
      <c r="D231" s="56" t="s">
        <v>81</v>
      </c>
      <c r="E231" s="50" t="s">
        <v>59</v>
      </c>
      <c r="F231" s="97">
        <v>1.2114110297818965E-2</v>
      </c>
      <c r="G231" s="99">
        <f t="shared" si="12"/>
        <v>9.2430661572358694</v>
      </c>
      <c r="H231" s="46"/>
      <c r="I231" s="46">
        <f>G231*'Eilat Car Data'!F$6</f>
        <v>256032.9325554336</v>
      </c>
      <c r="J231" s="46">
        <f>I231*'Tier 1 Coefficients'!I$10</f>
        <v>61447903.813304067</v>
      </c>
      <c r="K231" s="46">
        <f t="shared" si="13"/>
        <v>61447.903813304067</v>
      </c>
      <c r="L231" s="46">
        <f>K231*'Tier 1 Coefficients'!D$4</f>
        <v>194728.40718436058</v>
      </c>
      <c r="M231" s="46">
        <f>K231*'Tier 1 Coefficients'!C$21</f>
        <v>156077.67568579232</v>
      </c>
      <c r="N231" s="46">
        <f>K231*'Tier 1 Coefficients'!C$45</f>
        <v>3133.8430944785073</v>
      </c>
      <c r="O231" s="46">
        <f>I231*'Tier 2 FC'!D$36</f>
        <v>53766915.836641058</v>
      </c>
      <c r="P231" s="46">
        <f t="shared" si="14"/>
        <v>53766.915836641056</v>
      </c>
      <c r="Q231" s="46">
        <f>P231*'Tier 1 Coefficients'!D$4</f>
        <v>170387.35628631551</v>
      </c>
      <c r="R231" s="46">
        <f>$I231*'T2 HDV'!D24</f>
        <v>2816.3622581097693</v>
      </c>
      <c r="S231" s="121">
        <f>$I231*'T2 HDV'!E24</f>
        <v>124432.00522194072</v>
      </c>
      <c r="T231" s="46">
        <f>44.011*(P231/(12.011+1.008*'Tier 3 CO2 Tables'!B$4+16*'Tier 3 CO2 Tables'!C$4))</f>
        <v>170413.09105986869</v>
      </c>
      <c r="U231" s="46">
        <f>I231*'Tier 3 CO2 Tables'!H$15/10000</f>
        <v>39.94113747864764</v>
      </c>
      <c r="V231" s="46">
        <f>44.011*(U231/(12.011+1.008*'Tier 3 CO2 Tables'!B$6+16*'Tier 3 CO2 Tables'!C$6))</f>
        <v>124.60265512677964</v>
      </c>
      <c r="W231" s="46">
        <f>I231*'T3 Methane'!D$30</f>
        <v>44805763.197200879</v>
      </c>
      <c r="X231" s="46" cm="1">
        <f t="array" ref="X231">_xlfn.IFS(E231='Euro Age Table'!C$5,'Euro Age Table'!G$5,E231='Euro Age Table'!C$6,'Euro Age Table'!G$6,E231='Euro Age Table'!C$7,'Euro Age Table'!G$7,E231='Euro Age Table'!C$8,'Euro Age Table'!G$8,E231='Euro Age Table'!C$9,'Euro Age Table'!G$9,E231='Euro Age Table'!C$10,'Euro Age Table'!G$10,E231='Euro Age Table'!C$11,'Euro Age Table'!G$11)</f>
        <v>9</v>
      </c>
      <c r="Y231" s="46">
        <f>X231*'Eilat Car Data'!F$6</f>
        <v>249300</v>
      </c>
      <c r="Z231" s="46">
        <f>'T3 N2O HDV'!C15</f>
        <v>29.8</v>
      </c>
      <c r="AA231" s="124">
        <f t="shared" si="15"/>
        <v>7629781.3901519217</v>
      </c>
    </row>
    <row r="232" spans="1:27" ht="12.5">
      <c r="A232" s="58" t="s">
        <v>75</v>
      </c>
      <c r="B232" s="49" t="s">
        <v>22</v>
      </c>
      <c r="C232" s="49" t="s">
        <v>79</v>
      </c>
      <c r="D232" s="57" t="s">
        <v>81</v>
      </c>
      <c r="E232" s="50" t="s">
        <v>60</v>
      </c>
      <c r="F232" s="97">
        <v>2.4310741782952772E-2</v>
      </c>
      <c r="G232" s="99">
        <f t="shared" si="12"/>
        <v>18.549095980392966</v>
      </c>
      <c r="H232" s="46"/>
      <c r="I232" s="46">
        <f>G232*'Eilat Car Data'!F$6</f>
        <v>513809.95865688514</v>
      </c>
      <c r="J232" s="46">
        <f>I232*'Tier 1 Coefficients'!I$10</f>
        <v>123314390.07765244</v>
      </c>
      <c r="K232" s="46">
        <f t="shared" si="13"/>
        <v>123314.39007765244</v>
      </c>
      <c r="L232" s="46">
        <f>K232*'Tier 1 Coefficients'!D$4</f>
        <v>390783.30215608061</v>
      </c>
      <c r="M232" s="46">
        <f>K232*'Tier 1 Coefficients'!C$21</f>
        <v>313218.5507972372</v>
      </c>
      <c r="N232" s="46">
        <f>K232*'Tier 1 Coefficients'!C$45</f>
        <v>6289.0338939602743</v>
      </c>
      <c r="O232" s="46">
        <f>I232*'Tier 2 FC'!D$36</f>
        <v>107900091.31794588</v>
      </c>
      <c r="P232" s="46">
        <f t="shared" si="14"/>
        <v>107900.09131794589</v>
      </c>
      <c r="Q232" s="46">
        <f>P232*'Tier 1 Coefficients'!D$4</f>
        <v>341935.38938657055</v>
      </c>
      <c r="R232" s="46">
        <f>$I232*'T2 HDV'!D25</f>
        <v>4624.2896279119659</v>
      </c>
      <c r="S232" s="121">
        <f>$I232*'T2 HDV'!E25</f>
        <v>249711.63990724616</v>
      </c>
      <c r="T232" s="46">
        <f>44.011*(P232/(12.011+1.008*'Tier 3 CO2 Tables'!B$4+16*'Tier 3 CO2 Tables'!C$4))</f>
        <v>341987.03423867386</v>
      </c>
      <c r="U232" s="46">
        <f>I232*'Tier 3 CO2 Tables'!H$15/10000</f>
        <v>80.154353550474084</v>
      </c>
      <c r="V232" s="46">
        <f>44.011*(U232/(12.011+1.008*'Tier 3 CO2 Tables'!B$6+16*'Tier 3 CO2 Tables'!C$6))</f>
        <v>250.05410218221581</v>
      </c>
      <c r="W232" s="46">
        <f>I232*'T3 Methane'!D$30</f>
        <v>89916742.764954895</v>
      </c>
      <c r="X232" s="46" cm="1">
        <f t="array" ref="X232">_xlfn.IFS(E232='Euro Age Table'!C$5,'Euro Age Table'!G$5,E232='Euro Age Table'!C$6,'Euro Age Table'!G$6,E232='Euro Age Table'!C$7,'Euro Age Table'!G$7,E232='Euro Age Table'!C$8,'Euro Age Table'!G$8,E232='Euro Age Table'!C$9,'Euro Age Table'!G$9,E232='Euro Age Table'!C$10,'Euro Age Table'!G$10,E232='Euro Age Table'!C$11,'Euro Age Table'!G$11)</f>
        <v>3</v>
      </c>
      <c r="Y232" s="46">
        <f>X232*'Eilat Car Data'!F$6</f>
        <v>83100</v>
      </c>
      <c r="Z232" s="46">
        <f>'T3 N2O HDV'!C16</f>
        <v>37</v>
      </c>
      <c r="AA232" s="124">
        <f t="shared" si="15"/>
        <v>19010968.47030475</v>
      </c>
    </row>
    <row r="233" spans="1:27" ht="12.5">
      <c r="A233" s="58" t="s">
        <v>75</v>
      </c>
      <c r="B233" s="49" t="s">
        <v>22</v>
      </c>
      <c r="C233" s="49" t="s">
        <v>79</v>
      </c>
      <c r="D233" s="56" t="s">
        <v>87</v>
      </c>
      <c r="E233" s="50" t="s">
        <v>54</v>
      </c>
      <c r="F233" s="97">
        <v>0</v>
      </c>
      <c r="G233" s="99">
        <f t="shared" si="12"/>
        <v>0</v>
      </c>
      <c r="H233" s="46"/>
      <c r="I233" s="46">
        <f>G233*'Eilat Car Data'!F$6</f>
        <v>0</v>
      </c>
      <c r="J233" s="46">
        <f>I233*'Tier 1 Coefficients'!I$10</f>
        <v>0</v>
      </c>
      <c r="K233" s="46">
        <f t="shared" si="13"/>
        <v>0</v>
      </c>
      <c r="L233" s="46">
        <f>K233*'Tier 1 Coefficients'!D$4</f>
        <v>0</v>
      </c>
      <c r="M233" s="46">
        <f>K233*'Tier 1 Coefficients'!C$21</f>
        <v>0</v>
      </c>
      <c r="N233" s="46">
        <f>K233*'Tier 1 Coefficients'!C$45</f>
        <v>0</v>
      </c>
      <c r="O233" s="46">
        <f>I233*'Tier 2 FC'!D$35</f>
        <v>0</v>
      </c>
      <c r="P233" s="46">
        <f t="shared" si="14"/>
        <v>0</v>
      </c>
      <c r="Q233" s="46">
        <f>P233*'Tier 1 Coefficients'!D$4</f>
        <v>0</v>
      </c>
      <c r="R233" s="46">
        <f>$I233*'T2 HDV'!D19</f>
        <v>0</v>
      </c>
      <c r="S233" s="121">
        <f>$I233*'T2 HDV'!E19</f>
        <v>0</v>
      </c>
      <c r="T233" s="46">
        <f>44.011*(P233/(12.011+1.008*'Tier 3 CO2 Tables'!B$4+16*'Tier 3 CO2 Tables'!C$4))</f>
        <v>0</v>
      </c>
      <c r="U233" s="46">
        <f>I233*'Tier 3 CO2 Tables'!H$15/10000</f>
        <v>0</v>
      </c>
      <c r="V233" s="46">
        <f>44.011*(U233/(12.011+1.008*'Tier 3 CO2 Tables'!B$6+16*'Tier 3 CO2 Tables'!C$6))</f>
        <v>0</v>
      </c>
      <c r="W233" s="46">
        <f>I233*'T3 Methane'!D$30</f>
        <v>0</v>
      </c>
      <c r="X233" s="46" cm="1">
        <f t="array" ref="X233">_xlfn.IFS(E233='Euro Age Table'!C$5,'Euro Age Table'!G$5,E233='Euro Age Table'!C$6,'Euro Age Table'!G$6,E233='Euro Age Table'!C$7,'Euro Age Table'!G$7,E233='Euro Age Table'!C$8,'Euro Age Table'!G$8,E233='Euro Age Table'!C$9,'Euro Age Table'!G$9,E233='Euro Age Table'!C$10,'Euro Age Table'!G$10,E233='Euro Age Table'!C$11,'Euro Age Table'!G$11)</f>
        <v>27</v>
      </c>
      <c r="Y233" s="46">
        <f>X233*'Eilat Car Data'!F$6</f>
        <v>747900</v>
      </c>
      <c r="Z233" s="46">
        <f>'T3 N2O HDV'!C10</f>
        <v>30</v>
      </c>
      <c r="AA233" s="124">
        <f t="shared" si="15"/>
        <v>0</v>
      </c>
    </row>
    <row r="234" spans="1:27" ht="12.5">
      <c r="A234" s="58" t="s">
        <v>75</v>
      </c>
      <c r="B234" s="49" t="s">
        <v>22</v>
      </c>
      <c r="C234" s="49" t="s">
        <v>79</v>
      </c>
      <c r="D234" s="56" t="s">
        <v>87</v>
      </c>
      <c r="E234" s="50" t="s">
        <v>55</v>
      </c>
      <c r="F234" s="97">
        <v>2.4756356194452925E-5</v>
      </c>
      <c r="G234" s="99">
        <f t="shared" si="12"/>
        <v>1.8889099776367581E-2</v>
      </c>
      <c r="H234" s="46"/>
      <c r="I234" s="46">
        <f>G234*'Eilat Car Data'!F$6</f>
        <v>523.22806380538202</v>
      </c>
      <c r="J234" s="46">
        <f>I234*'Tier 1 Coefficients'!I$10</f>
        <v>125574.73531329169</v>
      </c>
      <c r="K234" s="46">
        <f t="shared" si="13"/>
        <v>125.5747353132917</v>
      </c>
      <c r="L234" s="46">
        <f>K234*'Tier 1 Coefficients'!D$4</f>
        <v>397.94633620782139</v>
      </c>
      <c r="M234" s="46">
        <f>K234*'Tier 1 Coefficients'!C$21</f>
        <v>318.95982769576091</v>
      </c>
      <c r="N234" s="46">
        <f>K234*'Tier 1 Coefficients'!C$45</f>
        <v>6.4043115009778759</v>
      </c>
      <c r="O234" s="46">
        <f>I234*'Tier 2 FC'!D$36</f>
        <v>109877.89339913022</v>
      </c>
      <c r="P234" s="46">
        <f t="shared" si="14"/>
        <v>109.87789339913022</v>
      </c>
      <c r="Q234" s="46">
        <f>P234*'Tier 1 Coefficients'!D$4</f>
        <v>348.20304418184367</v>
      </c>
      <c r="R234" s="46">
        <f>$I234*'T2 HDV'!D20</f>
        <v>1.5173613850356078</v>
      </c>
      <c r="S234" s="121">
        <f>$I234*'T2 HDV'!E20</f>
        <v>254.28883900941565</v>
      </c>
      <c r="T234" s="46">
        <f>44.011*(P234/(12.011+1.008*'Tier 3 CO2 Tables'!B$4+16*'Tier 3 CO2 Tables'!C$4))</f>
        <v>348.2556356809306</v>
      </c>
      <c r="U234" s="46">
        <f>I234*'Tier 3 CO2 Tables'!H$15/10000</f>
        <v>8.1623577953639601E-2</v>
      </c>
      <c r="V234" s="46">
        <f>44.011*(U234/(12.011+1.008*'Tier 3 CO2 Tables'!B$6+16*'Tier 3 CO2 Tables'!C$6))</f>
        <v>0.25463757859696112</v>
      </c>
      <c r="W234" s="46">
        <f>I234*'T3 Methane'!D$30</f>
        <v>91564.911165941856</v>
      </c>
      <c r="X234" s="46" cm="1">
        <f t="array" ref="X234">_xlfn.IFS(E234='Euro Age Table'!C$5,'Euro Age Table'!G$5,E234='Euro Age Table'!C$6,'Euro Age Table'!G$6,E234='Euro Age Table'!C$7,'Euro Age Table'!G$7,E234='Euro Age Table'!C$8,'Euro Age Table'!G$8,E234='Euro Age Table'!C$9,'Euro Age Table'!G$9,E234='Euro Age Table'!C$10,'Euro Age Table'!G$10,E234='Euro Age Table'!C$11,'Euro Age Table'!G$11)</f>
        <v>23</v>
      </c>
      <c r="Y234" s="46">
        <f>X234*'Eilat Car Data'!F$6</f>
        <v>637100</v>
      </c>
      <c r="Z234" s="46">
        <f>'T3 N2O HDV'!C11</f>
        <v>11</v>
      </c>
      <c r="AA234" s="124">
        <f t="shared" si="15"/>
        <v>5755.5087018592021</v>
      </c>
    </row>
    <row r="235" spans="1:27" ht="12.5">
      <c r="A235" s="58" t="s">
        <v>75</v>
      </c>
      <c r="B235" s="49" t="s">
        <v>22</v>
      </c>
      <c r="C235" s="49" t="s">
        <v>79</v>
      </c>
      <c r="D235" s="56" t="s">
        <v>87</v>
      </c>
      <c r="E235" s="50" t="s">
        <v>56</v>
      </c>
      <c r="F235" s="97">
        <v>1.6504237462968617E-5</v>
      </c>
      <c r="G235" s="99">
        <f t="shared" si="12"/>
        <v>1.2592733184245055E-2</v>
      </c>
      <c r="H235" s="46"/>
      <c r="I235" s="46">
        <f>G235*'Eilat Car Data'!F$6</f>
        <v>348.81870920358801</v>
      </c>
      <c r="J235" s="46">
        <f>I235*'Tier 1 Coefficients'!I$10</f>
        <v>83716.490208861127</v>
      </c>
      <c r="K235" s="46">
        <f t="shared" si="13"/>
        <v>83.716490208861131</v>
      </c>
      <c r="L235" s="46">
        <f>K235*'Tier 1 Coefficients'!D$4</f>
        <v>265.29755747188091</v>
      </c>
      <c r="M235" s="46">
        <f>K235*'Tier 1 Coefficients'!C$21</f>
        <v>212.63988513050728</v>
      </c>
      <c r="N235" s="46">
        <f>K235*'Tier 1 Coefficients'!C$45</f>
        <v>4.269541000651917</v>
      </c>
      <c r="O235" s="46">
        <f>I235*'Tier 2 FC'!D$36</f>
        <v>73251.928932753479</v>
      </c>
      <c r="P235" s="46">
        <f t="shared" si="14"/>
        <v>73.251928932753472</v>
      </c>
      <c r="Q235" s="46">
        <f>P235*'Tier 1 Coefficients'!D$4</f>
        <v>232.13536278789576</v>
      </c>
      <c r="R235" s="46">
        <f>$I235*'T2 HDV'!D21</f>
        <v>1.0115742566904051</v>
      </c>
      <c r="S235" s="121">
        <f>$I235*'T2 HDV'!E21</f>
        <v>169.52589267294377</v>
      </c>
      <c r="T235" s="46">
        <f>44.011*(P235/(12.011+1.008*'Tier 3 CO2 Tables'!B$4+16*'Tier 3 CO2 Tables'!C$4))</f>
        <v>232.17042378728701</v>
      </c>
      <c r="U235" s="46">
        <f>I235*'Tier 3 CO2 Tables'!H$15/10000</f>
        <v>5.4415718635759731E-2</v>
      </c>
      <c r="V235" s="46">
        <f>44.011*(U235/(12.011+1.008*'Tier 3 CO2 Tables'!B$6+16*'Tier 3 CO2 Tables'!C$6))</f>
        <v>0.16975838573130742</v>
      </c>
      <c r="W235" s="46">
        <f>I235*'T3 Methane'!D$30</f>
        <v>61043.274110627899</v>
      </c>
      <c r="X235" s="46" cm="1">
        <f t="array" ref="X235">_xlfn.IFS(E235='Euro Age Table'!C$5,'Euro Age Table'!G$5,E235='Euro Age Table'!C$6,'Euro Age Table'!G$6,E235='Euro Age Table'!C$7,'Euro Age Table'!G$7,E235='Euro Age Table'!C$8,'Euro Age Table'!G$8,E235='Euro Age Table'!C$9,'Euro Age Table'!G$9,E235='Euro Age Table'!C$10,'Euro Age Table'!G$10,E235='Euro Age Table'!C$11,'Euro Age Table'!G$11)</f>
        <v>18</v>
      </c>
      <c r="Y235" s="46">
        <f>X235*'Eilat Car Data'!F$6</f>
        <v>498600</v>
      </c>
      <c r="Z235" s="46">
        <f>'T3 N2O HDV'!C12</f>
        <v>11</v>
      </c>
      <c r="AA235" s="124">
        <f t="shared" si="15"/>
        <v>3837.0058012394684</v>
      </c>
    </row>
    <row r="236" spans="1:27" ht="12.5">
      <c r="A236" s="58" t="s">
        <v>75</v>
      </c>
      <c r="B236" s="49" t="s">
        <v>22</v>
      </c>
      <c r="C236" s="49" t="s">
        <v>79</v>
      </c>
      <c r="D236" s="56" t="s">
        <v>87</v>
      </c>
      <c r="E236" s="50" t="s">
        <v>57</v>
      </c>
      <c r="F236" s="97">
        <v>1.4853813716671755E-4</v>
      </c>
      <c r="G236" s="99">
        <f t="shared" si="12"/>
        <v>0.1133345986582055</v>
      </c>
      <c r="H236" s="46"/>
      <c r="I236" s="46">
        <f>G236*'Eilat Car Data'!F$6</f>
        <v>3139.3683828322924</v>
      </c>
      <c r="J236" s="46">
        <f>I236*'Tier 1 Coefficients'!I$10</f>
        <v>753448.4118797502</v>
      </c>
      <c r="K236" s="46">
        <f t="shared" si="13"/>
        <v>753.44841187975021</v>
      </c>
      <c r="L236" s="46">
        <f>K236*'Tier 1 Coefficients'!D$4</f>
        <v>2387.6780172469284</v>
      </c>
      <c r="M236" s="46">
        <f>K236*'Tier 1 Coefficients'!C$21</f>
        <v>1913.7589661745656</v>
      </c>
      <c r="N236" s="46">
        <f>K236*'Tier 1 Coefficients'!C$45</f>
        <v>38.425869005867256</v>
      </c>
      <c r="O236" s="46">
        <f>I236*'Tier 2 FC'!D$36</f>
        <v>659267.36039478134</v>
      </c>
      <c r="P236" s="46">
        <f t="shared" si="14"/>
        <v>659.26736039478135</v>
      </c>
      <c r="Q236" s="46">
        <f>P236*'Tier 1 Coefficients'!D$4</f>
        <v>2089.2182650910622</v>
      </c>
      <c r="R236" s="46">
        <f>$I236*'T2 HDV'!D22</f>
        <v>9.1041683102136464</v>
      </c>
      <c r="S236" s="121">
        <f>$I236*'T2 HDV'!E22</f>
        <v>1525.733034056494</v>
      </c>
      <c r="T236" s="46">
        <f>44.011*(P236/(12.011+1.008*'Tier 3 CO2 Tables'!B$4+16*'Tier 3 CO2 Tables'!C$4))</f>
        <v>2089.5338140855838</v>
      </c>
      <c r="U236" s="46">
        <f>I236*'Tier 3 CO2 Tables'!H$15/10000</f>
        <v>0.48974146772183758</v>
      </c>
      <c r="V236" s="46">
        <f>44.011*(U236/(12.011+1.008*'Tier 3 CO2 Tables'!B$6+16*'Tier 3 CO2 Tables'!C$6))</f>
        <v>1.5278254715817667</v>
      </c>
      <c r="W236" s="46">
        <f>I236*'T3 Methane'!D$30</f>
        <v>549389.46699565114</v>
      </c>
      <c r="X236" s="46" cm="1">
        <f t="array" ref="X236">_xlfn.IFS(E236='Euro Age Table'!C$5,'Euro Age Table'!G$5,E236='Euro Age Table'!C$6,'Euro Age Table'!G$6,E236='Euro Age Table'!C$7,'Euro Age Table'!G$7,E236='Euro Age Table'!C$8,'Euro Age Table'!G$8,E236='Euro Age Table'!C$9,'Euro Age Table'!G$9,E236='Euro Age Table'!C$10,'Euro Age Table'!G$10,E236='Euro Age Table'!C$11,'Euro Age Table'!G$11)</f>
        <v>16</v>
      </c>
      <c r="Y236" s="46">
        <f>X236*'Eilat Car Data'!F$6</f>
        <v>443200</v>
      </c>
      <c r="Z236" s="46">
        <f>'T3 N2O HDV'!C13</f>
        <v>5</v>
      </c>
      <c r="AA236" s="124">
        <f t="shared" si="15"/>
        <v>15696.841914161461</v>
      </c>
    </row>
    <row r="237" spans="1:27" ht="12.5">
      <c r="A237" s="58" t="s">
        <v>75</v>
      </c>
      <c r="B237" s="49" t="s">
        <v>22</v>
      </c>
      <c r="C237" s="49" t="s">
        <v>79</v>
      </c>
      <c r="D237" s="56" t="s">
        <v>87</v>
      </c>
      <c r="E237" s="50" t="s">
        <v>58</v>
      </c>
      <c r="F237" s="97">
        <v>1.6504237462968617E-5</v>
      </c>
      <c r="G237" s="99">
        <f t="shared" si="12"/>
        <v>1.2592733184245055E-2</v>
      </c>
      <c r="H237" s="46"/>
      <c r="I237" s="46">
        <f>G237*'Eilat Car Data'!F$6</f>
        <v>348.81870920358801</v>
      </c>
      <c r="J237" s="46">
        <f>I237*'Tier 1 Coefficients'!I$10</f>
        <v>83716.490208861127</v>
      </c>
      <c r="K237" s="46">
        <f t="shared" si="13"/>
        <v>83.716490208861131</v>
      </c>
      <c r="L237" s="46">
        <f>K237*'Tier 1 Coefficients'!D$4</f>
        <v>265.29755747188091</v>
      </c>
      <c r="M237" s="46">
        <f>K237*'Tier 1 Coefficients'!C$21</f>
        <v>212.63988513050728</v>
      </c>
      <c r="N237" s="46">
        <f>K237*'Tier 1 Coefficients'!C$45</f>
        <v>4.269541000651917</v>
      </c>
      <c r="O237" s="46">
        <f>I237*'Tier 2 FC'!D$36</f>
        <v>73251.928932753479</v>
      </c>
      <c r="P237" s="46">
        <f t="shared" si="14"/>
        <v>73.251928932753472</v>
      </c>
      <c r="Q237" s="46">
        <f>P237*'Tier 1 Coefficients'!D$4</f>
        <v>232.13536278789576</v>
      </c>
      <c r="R237" s="46">
        <f>$I237*'T2 HDV'!D23</f>
        <v>1.0115742566904051</v>
      </c>
      <c r="S237" s="121">
        <f>$I237*'T2 HDV'!E23</f>
        <v>169.52589267294377</v>
      </c>
      <c r="T237" s="46">
        <f>44.011*(P237/(12.011+1.008*'Tier 3 CO2 Tables'!B$4+16*'Tier 3 CO2 Tables'!C$4))</f>
        <v>232.17042378728701</v>
      </c>
      <c r="U237" s="46">
        <f>I237*'Tier 3 CO2 Tables'!H$15/10000</f>
        <v>5.4415718635759731E-2</v>
      </c>
      <c r="V237" s="46">
        <f>44.011*(U237/(12.011+1.008*'Tier 3 CO2 Tables'!B$6+16*'Tier 3 CO2 Tables'!C$6))</f>
        <v>0.16975838573130742</v>
      </c>
      <c r="W237" s="46">
        <f>I237*'T3 Methane'!D$30</f>
        <v>61043.274110627899</v>
      </c>
      <c r="X237" s="46" cm="1">
        <f t="array" ref="X237">_xlfn.IFS(E237='Euro Age Table'!C$5,'Euro Age Table'!G$5,E237='Euro Age Table'!C$6,'Euro Age Table'!G$6,E237='Euro Age Table'!C$7,'Euro Age Table'!G$7,E237='Euro Age Table'!C$8,'Euro Age Table'!G$8,E237='Euro Age Table'!C$9,'Euro Age Table'!G$9,E237='Euro Age Table'!C$10,'Euro Age Table'!G$10,E237='Euro Age Table'!C$11,'Euro Age Table'!G$11)</f>
        <v>13</v>
      </c>
      <c r="Y237" s="46">
        <f>X237*'Eilat Car Data'!F$6</f>
        <v>360100</v>
      </c>
      <c r="Z237" s="46">
        <f>'T3 N2O HDV'!C14</f>
        <v>11.2</v>
      </c>
      <c r="AA237" s="124">
        <f t="shared" si="15"/>
        <v>3906.7695430801855</v>
      </c>
    </row>
    <row r="238" spans="1:27" ht="12.5">
      <c r="A238" s="58" t="s">
        <v>75</v>
      </c>
      <c r="B238" s="49" t="s">
        <v>22</v>
      </c>
      <c r="C238" s="49" t="s">
        <v>79</v>
      </c>
      <c r="D238" s="56" t="s">
        <v>87</v>
      </c>
      <c r="E238" s="50" t="s">
        <v>59</v>
      </c>
      <c r="F238" s="97">
        <v>0</v>
      </c>
      <c r="G238" s="99">
        <f t="shared" si="12"/>
        <v>0</v>
      </c>
      <c r="H238" s="46"/>
      <c r="I238" s="46">
        <f>G238*'Eilat Car Data'!F$6</f>
        <v>0</v>
      </c>
      <c r="J238" s="46">
        <f>I238*'Tier 1 Coefficients'!I$10</f>
        <v>0</v>
      </c>
      <c r="K238" s="46">
        <f t="shared" si="13"/>
        <v>0</v>
      </c>
      <c r="L238" s="46">
        <f>K238*'Tier 1 Coefficients'!D$4</f>
        <v>0</v>
      </c>
      <c r="M238" s="46">
        <f>K238*'Tier 1 Coefficients'!C$21</f>
        <v>0</v>
      </c>
      <c r="N238" s="46">
        <f>K238*'Tier 1 Coefficients'!C$45</f>
        <v>0</v>
      </c>
      <c r="O238" s="46">
        <f>I238*'Tier 2 FC'!D$36</f>
        <v>0</v>
      </c>
      <c r="P238" s="46">
        <f t="shared" si="14"/>
        <v>0</v>
      </c>
      <c r="Q238" s="46">
        <f>P238*'Tier 1 Coefficients'!D$4</f>
        <v>0</v>
      </c>
      <c r="R238" s="46">
        <f>$I238*'T2 HDV'!D24</f>
        <v>0</v>
      </c>
      <c r="S238" s="121">
        <f>$I238*'T2 HDV'!E24</f>
        <v>0</v>
      </c>
      <c r="T238" s="46">
        <f>44.011*(P238/(12.011+1.008*'Tier 3 CO2 Tables'!B$4+16*'Tier 3 CO2 Tables'!C$4))</f>
        <v>0</v>
      </c>
      <c r="U238" s="46">
        <f>I238*'Tier 3 CO2 Tables'!H$15/10000</f>
        <v>0</v>
      </c>
      <c r="V238" s="46">
        <f>44.011*(U238/(12.011+1.008*'Tier 3 CO2 Tables'!B$6+16*'Tier 3 CO2 Tables'!C$6))</f>
        <v>0</v>
      </c>
      <c r="W238" s="46">
        <f>I238*'T3 Methane'!D$30</f>
        <v>0</v>
      </c>
      <c r="X238" s="46" cm="1">
        <f t="array" ref="X238">_xlfn.IFS(E238='Euro Age Table'!C$5,'Euro Age Table'!G$5,E238='Euro Age Table'!C$6,'Euro Age Table'!G$6,E238='Euro Age Table'!C$7,'Euro Age Table'!G$7,E238='Euro Age Table'!C$8,'Euro Age Table'!G$8,E238='Euro Age Table'!C$9,'Euro Age Table'!G$9,E238='Euro Age Table'!C$10,'Euro Age Table'!G$10,E238='Euro Age Table'!C$11,'Euro Age Table'!G$11)</f>
        <v>9</v>
      </c>
      <c r="Y238" s="46">
        <f>X238*'Eilat Car Data'!F$6</f>
        <v>249300</v>
      </c>
      <c r="Z238" s="46">
        <f>'T3 N2O HDV'!C15</f>
        <v>29.8</v>
      </c>
      <c r="AA238" s="124">
        <f t="shared" si="15"/>
        <v>0</v>
      </c>
    </row>
    <row r="239" spans="1:27" ht="12.5">
      <c r="A239" s="58" t="s">
        <v>75</v>
      </c>
      <c r="B239" s="49" t="s">
        <v>22</v>
      </c>
      <c r="C239" s="49" t="s">
        <v>79</v>
      </c>
      <c r="D239" s="57" t="s">
        <v>87</v>
      </c>
      <c r="E239" s="50" t="s">
        <v>60</v>
      </c>
      <c r="F239" s="97">
        <v>0</v>
      </c>
      <c r="G239" s="99">
        <f t="shared" si="12"/>
        <v>0</v>
      </c>
      <c r="H239" s="46"/>
      <c r="I239" s="46">
        <f>G239*'Eilat Car Data'!F$6</f>
        <v>0</v>
      </c>
      <c r="J239" s="46">
        <f>I239*'Tier 1 Coefficients'!I$10</f>
        <v>0</v>
      </c>
      <c r="K239" s="46">
        <f t="shared" si="13"/>
        <v>0</v>
      </c>
      <c r="L239" s="46">
        <f>K239*'Tier 1 Coefficients'!D$4</f>
        <v>0</v>
      </c>
      <c r="M239" s="46">
        <f>K239*'Tier 1 Coefficients'!C$21</f>
        <v>0</v>
      </c>
      <c r="N239" s="46">
        <f>K239*'Tier 1 Coefficients'!C$45</f>
        <v>0</v>
      </c>
      <c r="O239" s="46">
        <f>I239*'Tier 2 FC'!D$36</f>
        <v>0</v>
      </c>
      <c r="P239" s="46">
        <f t="shared" si="14"/>
        <v>0</v>
      </c>
      <c r="Q239" s="46">
        <f>P239*'Tier 1 Coefficients'!D$4</f>
        <v>0</v>
      </c>
      <c r="R239" s="46">
        <f>$I239*'T2 HDV'!D25</f>
        <v>0</v>
      </c>
      <c r="S239" s="121">
        <f>$I239*'T2 HDV'!E25</f>
        <v>0</v>
      </c>
      <c r="T239" s="46">
        <f>44.011*(P239/(12.011+1.008*'Tier 3 CO2 Tables'!B$4+16*'Tier 3 CO2 Tables'!C$4))</f>
        <v>0</v>
      </c>
      <c r="U239" s="46">
        <f>I239*'Tier 3 CO2 Tables'!H$15/10000</f>
        <v>0</v>
      </c>
      <c r="V239" s="46">
        <f>44.011*(U239/(12.011+1.008*'Tier 3 CO2 Tables'!B$6+16*'Tier 3 CO2 Tables'!C$6))</f>
        <v>0</v>
      </c>
      <c r="W239" s="46">
        <f>I239*'T3 Methane'!D$30</f>
        <v>0</v>
      </c>
      <c r="X239" s="46" cm="1">
        <f t="array" ref="X239">_xlfn.IFS(E239='Euro Age Table'!C$5,'Euro Age Table'!G$5,E239='Euro Age Table'!C$6,'Euro Age Table'!G$6,E239='Euro Age Table'!C$7,'Euro Age Table'!G$7,E239='Euro Age Table'!C$8,'Euro Age Table'!G$8,E239='Euro Age Table'!C$9,'Euro Age Table'!G$9,E239='Euro Age Table'!C$10,'Euro Age Table'!G$10,E239='Euro Age Table'!C$11,'Euro Age Table'!G$11)</f>
        <v>3</v>
      </c>
      <c r="Y239" s="46">
        <f>X239*'Eilat Car Data'!F$6</f>
        <v>83100</v>
      </c>
      <c r="Z239" s="46">
        <f>'T3 N2O HDV'!C16</f>
        <v>37</v>
      </c>
      <c r="AA239" s="124">
        <f t="shared" si="15"/>
        <v>0</v>
      </c>
    </row>
    <row r="240" spans="1:27" ht="12.5">
      <c r="A240" s="58" t="s">
        <v>75</v>
      </c>
      <c r="B240" s="49" t="s">
        <v>22</v>
      </c>
      <c r="C240" s="49" t="s">
        <v>79</v>
      </c>
      <c r="D240" s="56" t="s">
        <v>82</v>
      </c>
      <c r="E240" s="50" t="s">
        <v>54</v>
      </c>
      <c r="F240" s="97">
        <v>3.3008474925937234E-5</v>
      </c>
      <c r="G240" s="99">
        <f t="shared" si="12"/>
        <v>2.518546636849011E-2</v>
      </c>
      <c r="H240" s="46"/>
      <c r="I240" s="46">
        <f>G240*'Eilat Car Data'!F$6</f>
        <v>697.63741840717603</v>
      </c>
      <c r="J240" s="46">
        <f>I240*'Tier 1 Coefficients'!I$10</f>
        <v>167432.98041772225</v>
      </c>
      <c r="K240" s="46">
        <f t="shared" si="13"/>
        <v>167.43298041772226</v>
      </c>
      <c r="L240" s="46">
        <f>K240*'Tier 1 Coefficients'!D$4</f>
        <v>530.59511494376181</v>
      </c>
      <c r="M240" s="46">
        <f>K240*'Tier 1 Coefficients'!C$21</f>
        <v>425.27977026101456</v>
      </c>
      <c r="N240" s="46">
        <f>K240*'Tier 1 Coefficients'!C$45</f>
        <v>8.539082001303834</v>
      </c>
      <c r="O240" s="46">
        <f>I240*'Tier 2 FC'!D$35</f>
        <v>175106.99202020117</v>
      </c>
      <c r="P240" s="46">
        <f t="shared" si="14"/>
        <v>175.10699202020118</v>
      </c>
      <c r="Q240" s="46">
        <f>P240*'Tier 1 Coefficients'!D$4</f>
        <v>554.91405771201755</v>
      </c>
      <c r="R240" s="46">
        <f>$I240*'T2 HDV'!D19</f>
        <v>2.0231485133808103</v>
      </c>
      <c r="S240" s="121">
        <f>$I240*'T2 HDV'!E19</f>
        <v>339.05178534588754</v>
      </c>
      <c r="T240" s="46">
        <f>44.011*(P240/(12.011+1.008*'Tier 3 CO2 Tables'!B$4+16*'Tier 3 CO2 Tables'!C$4))</f>
        <v>554.99787019627661</v>
      </c>
      <c r="U240" s="46">
        <f>I240*'Tier 3 CO2 Tables'!H$15/10000</f>
        <v>0.10883143727151946</v>
      </c>
      <c r="V240" s="46">
        <f>44.011*(U240/(12.011+1.008*'Tier 3 CO2 Tables'!B$6+16*'Tier 3 CO2 Tables'!C$6))</f>
        <v>0.33951677146261483</v>
      </c>
      <c r="W240" s="46">
        <f>I240*'T3 Methane'!D$30</f>
        <v>122086.5482212558</v>
      </c>
      <c r="X240" s="46" cm="1">
        <f t="array" ref="X240">_xlfn.IFS(E240='Euro Age Table'!C$5,'Euro Age Table'!G$5,E240='Euro Age Table'!C$6,'Euro Age Table'!G$6,E240='Euro Age Table'!C$7,'Euro Age Table'!G$7,E240='Euro Age Table'!C$8,'Euro Age Table'!G$8,E240='Euro Age Table'!C$9,'Euro Age Table'!G$9,E240='Euro Age Table'!C$10,'Euro Age Table'!G$10,E240='Euro Age Table'!C$11,'Euro Age Table'!G$11)</f>
        <v>27</v>
      </c>
      <c r="Y240" s="46">
        <f>X240*'Eilat Car Data'!F$6</f>
        <v>747900</v>
      </c>
      <c r="Z240" s="46">
        <f>'T3 N2O HDV'!C17</f>
        <v>30</v>
      </c>
      <c r="AA240" s="124">
        <f t="shared" si="15"/>
        <v>20929.122552215282</v>
      </c>
    </row>
    <row r="241" spans="1:27" ht="12.5">
      <c r="A241" s="58" t="s">
        <v>75</v>
      </c>
      <c r="B241" s="49" t="s">
        <v>22</v>
      </c>
      <c r="C241" s="49" t="s">
        <v>79</v>
      </c>
      <c r="D241" s="56" t="s">
        <v>82</v>
      </c>
      <c r="E241" s="50" t="s">
        <v>55</v>
      </c>
      <c r="F241" s="97">
        <v>2.6406779940749787E-4</v>
      </c>
      <c r="G241" s="99">
        <f t="shared" si="12"/>
        <v>0.20148373094792088</v>
      </c>
      <c r="H241" s="46"/>
      <c r="I241" s="46">
        <f>G241*'Eilat Car Data'!F$6</f>
        <v>5581.0993472574082</v>
      </c>
      <c r="J241" s="46">
        <f>I241*'Tier 1 Coefficients'!I$10</f>
        <v>1339463.843341778</v>
      </c>
      <c r="K241" s="46">
        <f t="shared" si="13"/>
        <v>1339.4638433417781</v>
      </c>
      <c r="L241" s="46">
        <f>K241*'Tier 1 Coefficients'!D$4</f>
        <v>4244.7609195500945</v>
      </c>
      <c r="M241" s="46">
        <f>K241*'Tier 1 Coefficients'!C$21</f>
        <v>3402.2381620881165</v>
      </c>
      <c r="N241" s="46">
        <f>K241*'Tier 1 Coefficients'!C$45</f>
        <v>68.312656010430672</v>
      </c>
      <c r="O241" s="46">
        <f>I241*'Tier 2 FC'!D$36</f>
        <v>1172030.8629240557</v>
      </c>
      <c r="P241" s="46">
        <f t="shared" si="14"/>
        <v>1172.0308629240556</v>
      </c>
      <c r="Q241" s="46">
        <f>P241*'Tier 1 Coefficients'!D$4</f>
        <v>3714.1658046063321</v>
      </c>
      <c r="R241" s="46">
        <f>$I241*'T2 HDV'!D20</f>
        <v>16.185188107046482</v>
      </c>
      <c r="S241" s="121">
        <f>$I241*'T2 HDV'!E20</f>
        <v>2712.4142827671003</v>
      </c>
      <c r="T241" s="46">
        <f>44.011*(P241/(12.011+1.008*'Tier 3 CO2 Tables'!B$4+16*'Tier 3 CO2 Tables'!C$4))</f>
        <v>3714.7267805965921</v>
      </c>
      <c r="U241" s="46">
        <f>I241*'Tier 3 CO2 Tables'!H$15/10000</f>
        <v>0.8706514981721557</v>
      </c>
      <c r="V241" s="46">
        <f>44.011*(U241/(12.011+1.008*'Tier 3 CO2 Tables'!B$6+16*'Tier 3 CO2 Tables'!C$6))</f>
        <v>2.7161341717009186</v>
      </c>
      <c r="W241" s="46">
        <f>I241*'T3 Methane'!D$30</f>
        <v>976692.38577004639</v>
      </c>
      <c r="X241" s="46" cm="1">
        <f t="array" ref="X241">_xlfn.IFS(E241='Euro Age Table'!C$5,'Euro Age Table'!G$5,E241='Euro Age Table'!C$6,'Euro Age Table'!G$6,E241='Euro Age Table'!C$7,'Euro Age Table'!G$7,E241='Euro Age Table'!C$8,'Euro Age Table'!G$8,E241='Euro Age Table'!C$9,'Euro Age Table'!G$9,E241='Euro Age Table'!C$10,'Euro Age Table'!G$10,E241='Euro Age Table'!C$11,'Euro Age Table'!G$11)</f>
        <v>23</v>
      </c>
      <c r="Y241" s="46">
        <f>X241*'Eilat Car Data'!F$6</f>
        <v>637100</v>
      </c>
      <c r="Z241" s="46">
        <f>'T3 N2O HDV'!C18</f>
        <v>17</v>
      </c>
      <c r="AA241" s="124">
        <f t="shared" si="15"/>
        <v>94878.688903375936</v>
      </c>
    </row>
    <row r="242" spans="1:27" ht="12.5">
      <c r="A242" s="58" t="s">
        <v>75</v>
      </c>
      <c r="B242" s="49" t="s">
        <v>22</v>
      </c>
      <c r="C242" s="49" t="s">
        <v>79</v>
      </c>
      <c r="D242" s="56" t="s">
        <v>82</v>
      </c>
      <c r="E242" s="50" t="s">
        <v>56</v>
      </c>
      <c r="F242" s="97">
        <v>1.5431462027875656E-3</v>
      </c>
      <c r="G242" s="99">
        <f t="shared" si="12"/>
        <v>1.1774205527269126</v>
      </c>
      <c r="H242" s="46"/>
      <c r="I242" s="46">
        <f>G242*'Eilat Car Data'!F$6</f>
        <v>32614.54931053548</v>
      </c>
      <c r="J242" s="46">
        <f>I242*'Tier 1 Coefficients'!I$10</f>
        <v>7827491.8345285151</v>
      </c>
      <c r="K242" s="46">
        <f t="shared" si="13"/>
        <v>7827.491834528515</v>
      </c>
      <c r="L242" s="46">
        <f>K242*'Tier 1 Coefficients'!D$4</f>
        <v>24805.321623620865</v>
      </c>
      <c r="M242" s="46">
        <f>K242*'Tier 1 Coefficients'!C$21</f>
        <v>19881.82925970243</v>
      </c>
      <c r="N242" s="46">
        <f>K242*'Tier 1 Coefficients'!C$45</f>
        <v>399.20208356095424</v>
      </c>
      <c r="O242" s="46">
        <f>I242*'Tier 2 FC'!D$36</f>
        <v>6849055.355212451</v>
      </c>
      <c r="P242" s="46">
        <f t="shared" si="14"/>
        <v>6849.0553552124511</v>
      </c>
      <c r="Q242" s="46">
        <f>P242*'Tier 1 Coefficients'!D$4</f>
        <v>21704.656420668256</v>
      </c>
      <c r="R242" s="46">
        <f>$I242*'T2 HDV'!D21</f>
        <v>94.582193000552891</v>
      </c>
      <c r="S242" s="121">
        <f>$I242*'T2 HDV'!E21</f>
        <v>15850.670964920242</v>
      </c>
      <c r="T242" s="46">
        <f>44.011*(P242/(12.011+1.008*'Tier 3 CO2 Tables'!B$4+16*'Tier 3 CO2 Tables'!C$4))</f>
        <v>21707.934624111342</v>
      </c>
      <c r="U242" s="46">
        <f>I242*'Tier 3 CO2 Tables'!H$15/10000</f>
        <v>5.0878696924435349</v>
      </c>
      <c r="V242" s="46">
        <f>44.011*(U242/(12.011+1.008*'Tier 3 CO2 Tables'!B$6+16*'Tier 3 CO2 Tables'!C$6))</f>
        <v>15.872409065877243</v>
      </c>
      <c r="W242" s="46">
        <f>I242*'T3 Methane'!D$30</f>
        <v>5707546.129343709</v>
      </c>
      <c r="X242" s="46" cm="1">
        <f t="array" ref="X242">_xlfn.IFS(E242='Euro Age Table'!C$5,'Euro Age Table'!G$5,E242='Euro Age Table'!C$6,'Euro Age Table'!G$6,E242='Euro Age Table'!C$7,'Euro Age Table'!G$7,E242='Euro Age Table'!C$8,'Euro Age Table'!G$8,E242='Euro Age Table'!C$9,'Euro Age Table'!G$9,E242='Euro Age Table'!C$10,'Euro Age Table'!G$10,E242='Euro Age Table'!C$11,'Euro Age Table'!G$11)</f>
        <v>18</v>
      </c>
      <c r="Y242" s="46">
        <f>X242*'Eilat Car Data'!F$6</f>
        <v>498600</v>
      </c>
      <c r="Z242" s="46">
        <f>'T3 N2O HDV'!C19</f>
        <v>17</v>
      </c>
      <c r="AA242" s="124">
        <f t="shared" si="15"/>
        <v>554447.33827910316</v>
      </c>
    </row>
    <row r="243" spans="1:27" ht="12.5">
      <c r="A243" s="58" t="s">
        <v>75</v>
      </c>
      <c r="B243" s="49" t="s">
        <v>22</v>
      </c>
      <c r="C243" s="49" t="s">
        <v>79</v>
      </c>
      <c r="D243" s="56" t="s">
        <v>82</v>
      </c>
      <c r="E243" s="50" t="s">
        <v>57</v>
      </c>
      <c r="F243" s="97">
        <v>3.0285275744547412E-3</v>
      </c>
      <c r="G243" s="99">
        <f t="shared" si="12"/>
        <v>2.3107665393089674</v>
      </c>
      <c r="H243" s="46"/>
      <c r="I243" s="46">
        <f>G243*'Eilat Car Data'!F$6</f>
        <v>64008.233138858399</v>
      </c>
      <c r="J243" s="46">
        <f>I243*'Tier 1 Coefficients'!I$10</f>
        <v>15361975.953326017</v>
      </c>
      <c r="K243" s="46">
        <f t="shared" si="13"/>
        <v>15361.975953326017</v>
      </c>
      <c r="L243" s="46">
        <f>K243*'Tier 1 Coefficients'!D$4</f>
        <v>48682.101796090144</v>
      </c>
      <c r="M243" s="46">
        <f>K243*'Tier 1 Coefficients'!C$21</f>
        <v>39019.418921448079</v>
      </c>
      <c r="N243" s="46">
        <f>K243*'Tier 1 Coefficients'!C$45</f>
        <v>783.46077361962682</v>
      </c>
      <c r="O243" s="46">
        <f>I243*'Tier 2 FC'!D$36</f>
        <v>13441728.959160265</v>
      </c>
      <c r="P243" s="46">
        <f t="shared" si="14"/>
        <v>13441.728959160264</v>
      </c>
      <c r="Q243" s="46">
        <f>P243*'Tier 1 Coefficients'!D$4</f>
        <v>42596.839071578877</v>
      </c>
      <c r="R243" s="46">
        <f>$I243*'T2 HDV'!D22</f>
        <v>185.62387610268934</v>
      </c>
      <c r="S243" s="121">
        <f>$I243*'T2 HDV'!E22</f>
        <v>31108.001305485181</v>
      </c>
      <c r="T243" s="46">
        <f>44.011*(P243/(12.011+1.008*'Tier 3 CO2 Tables'!B$4+16*'Tier 3 CO2 Tables'!C$4))</f>
        <v>42603.272764967172</v>
      </c>
      <c r="U243" s="46">
        <f>I243*'Tier 3 CO2 Tables'!H$15/10000</f>
        <v>9.98528436966191</v>
      </c>
      <c r="V243" s="46">
        <f>44.011*(U243/(12.011+1.008*'Tier 3 CO2 Tables'!B$6+16*'Tier 3 CO2 Tables'!C$6))</f>
        <v>31.150663781694909</v>
      </c>
      <c r="W243" s="46">
        <f>I243*'T3 Methane'!D$30</f>
        <v>11201440.79930022</v>
      </c>
      <c r="X243" s="46" cm="1">
        <f t="array" ref="X243">_xlfn.IFS(E243='Euro Age Table'!C$5,'Euro Age Table'!G$5,E243='Euro Age Table'!C$6,'Euro Age Table'!G$6,E243='Euro Age Table'!C$7,'Euro Age Table'!G$7,E243='Euro Age Table'!C$8,'Euro Age Table'!G$8,E243='Euro Age Table'!C$9,'Euro Age Table'!G$9,E243='Euro Age Table'!C$10,'Euro Age Table'!G$10,E243='Euro Age Table'!C$11,'Euro Age Table'!G$11)</f>
        <v>16</v>
      </c>
      <c r="Y243" s="46">
        <f>X243*'Eilat Car Data'!F$6</f>
        <v>443200</v>
      </c>
      <c r="Z243" s="46">
        <f>'T3 N2O HDV'!C20</f>
        <v>8</v>
      </c>
      <c r="AA243" s="124">
        <f t="shared" si="15"/>
        <v>512065.86511086719</v>
      </c>
    </row>
    <row r="244" spans="1:27" ht="12.5">
      <c r="A244" s="58" t="s">
        <v>75</v>
      </c>
      <c r="B244" s="49" t="s">
        <v>22</v>
      </c>
      <c r="C244" s="49" t="s">
        <v>79</v>
      </c>
      <c r="D244" s="56" t="s">
        <v>82</v>
      </c>
      <c r="E244" s="50" t="s">
        <v>58</v>
      </c>
      <c r="F244" s="97">
        <v>5.9992903177890919E-3</v>
      </c>
      <c r="G244" s="99">
        <f t="shared" si="12"/>
        <v>4.5774585124730773</v>
      </c>
      <c r="H244" s="46"/>
      <c r="I244" s="46">
        <f>G244*'Eilat Car Data'!F$6</f>
        <v>126795.60079550424</v>
      </c>
      <c r="J244" s="46">
        <f>I244*'Tier 1 Coefficients'!I$10</f>
        <v>30430944.19092102</v>
      </c>
      <c r="K244" s="46">
        <f t="shared" si="13"/>
        <v>30430.944190921018</v>
      </c>
      <c r="L244" s="46">
        <f>K244*'Tier 1 Coefficients'!D$4</f>
        <v>96435.662141028704</v>
      </c>
      <c r="M244" s="46">
        <f>K244*'Tier 1 Coefficients'!C$21</f>
        <v>77294.598244939392</v>
      </c>
      <c r="N244" s="46">
        <f>K244*'Tier 1 Coefficients'!C$45</f>
        <v>1551.9781537369718</v>
      </c>
      <c r="O244" s="46">
        <f>I244*'Tier 2 FC'!D$36</f>
        <v>26627076.16705589</v>
      </c>
      <c r="P244" s="46">
        <f t="shared" si="14"/>
        <v>26627.07616705589</v>
      </c>
      <c r="Q244" s="46">
        <f>P244*'Tier 1 Coefficients'!D$4</f>
        <v>84381.20437340012</v>
      </c>
      <c r="R244" s="46">
        <f>$I244*'T2 HDV'!D23</f>
        <v>367.70724230696226</v>
      </c>
      <c r="S244" s="121">
        <f>$I244*'T2 HDV'!E23</f>
        <v>61622.661986615058</v>
      </c>
      <c r="T244" s="46">
        <f>44.011*(P244/(12.011+1.008*'Tier 3 CO2 Tables'!B$4+16*'Tier 3 CO2 Tables'!C$4))</f>
        <v>84393.949046678841</v>
      </c>
      <c r="U244" s="46">
        <f>I244*'Tier 3 CO2 Tables'!H$15/10000</f>
        <v>19.780113724098662</v>
      </c>
      <c r="V244" s="46">
        <f>44.011*(U244/(12.011+1.008*'Tier 3 CO2 Tables'!B$6+16*'Tier 3 CO2 Tables'!C$6))</f>
        <v>61.707173213330243</v>
      </c>
      <c r="W244" s="46">
        <f>I244*'T3 Methane'!D$30</f>
        <v>22189230.139213242</v>
      </c>
      <c r="X244" s="46" cm="1">
        <f t="array" ref="X244">_xlfn.IFS(E244='Euro Age Table'!C$5,'Euro Age Table'!G$5,E244='Euro Age Table'!C$6,'Euro Age Table'!G$6,E244='Euro Age Table'!C$7,'Euro Age Table'!G$7,E244='Euro Age Table'!C$8,'Euro Age Table'!G$8,E244='Euro Age Table'!C$9,'Euro Age Table'!G$9,E244='Euro Age Table'!C$10,'Euro Age Table'!G$10,E244='Euro Age Table'!C$11,'Euro Age Table'!G$11)</f>
        <v>13</v>
      </c>
      <c r="Y244" s="46">
        <f>X244*'Eilat Car Data'!F$6</f>
        <v>360100</v>
      </c>
      <c r="Z244" s="46">
        <f>'T3 N2O HDV'!C21</f>
        <v>17.399999999999999</v>
      </c>
      <c r="AA244" s="124">
        <f t="shared" si="15"/>
        <v>2206243.4538417738</v>
      </c>
    </row>
    <row r="245" spans="1:27" ht="12.5">
      <c r="A245" s="58" t="s">
        <v>75</v>
      </c>
      <c r="B245" s="49" t="s">
        <v>22</v>
      </c>
      <c r="C245" s="49" t="s">
        <v>79</v>
      </c>
      <c r="D245" s="56" t="s">
        <v>82</v>
      </c>
      <c r="E245" s="50" t="s">
        <v>59</v>
      </c>
      <c r="F245" s="97">
        <v>2.5639332898721747E-2</v>
      </c>
      <c r="G245" s="99">
        <f t="shared" si="12"/>
        <v>19.562811001724693</v>
      </c>
      <c r="H245" s="46"/>
      <c r="I245" s="46">
        <f>G245*'Eilat Car Data'!F$6</f>
        <v>541889.86474777397</v>
      </c>
      <c r="J245" s="46">
        <f>I245*'Tier 1 Coefficients'!I$10</f>
        <v>130053567.53946576</v>
      </c>
      <c r="K245" s="46">
        <f t="shared" si="13"/>
        <v>130053.56753946576</v>
      </c>
      <c r="L245" s="46">
        <f>K245*'Tier 1 Coefficients'!D$4</f>
        <v>412139.75553256698</v>
      </c>
      <c r="M245" s="46">
        <f>K245*'Tier 1 Coefficients'!C$21</f>
        <v>330336.06155024306</v>
      </c>
      <c r="N245" s="46">
        <f>K245*'Tier 1 Coefficients'!C$45</f>
        <v>6632.7319445127532</v>
      </c>
      <c r="O245" s="46">
        <f>I245*'Tier 2 FC'!D$36</f>
        <v>113796871.59703253</v>
      </c>
      <c r="P245" s="46">
        <f t="shared" si="14"/>
        <v>113796.87159703253</v>
      </c>
      <c r="Q245" s="46">
        <f>P245*'Tier 1 Coefficients'!D$4</f>
        <v>360622.28609099606</v>
      </c>
      <c r="R245" s="46">
        <f>$I245*'T2 HDV'!D24</f>
        <v>5960.7885122255129</v>
      </c>
      <c r="S245" s="121">
        <f>$I245*'T2 HDV'!E24</f>
        <v>263358.47426741815</v>
      </c>
      <c r="T245" s="46">
        <f>44.011*(P245/(12.011+1.008*'Tier 3 CO2 Tables'!B$4+16*'Tier 3 CO2 Tables'!C$4))</f>
        <v>360676.75335355045</v>
      </c>
      <c r="U245" s="46">
        <f>I245*'Tier 3 CO2 Tables'!H$15/10000</f>
        <v>84.534818900652738</v>
      </c>
      <c r="V245" s="46">
        <f>44.011*(U245/(12.011+1.008*'Tier 3 CO2 Tables'!B$6+16*'Tier 3 CO2 Tables'!C$6))</f>
        <v>263.71965223358609</v>
      </c>
      <c r="W245" s="46">
        <f>I245*'T3 Methane'!D$30</f>
        <v>94830726.330860451</v>
      </c>
      <c r="X245" s="46" cm="1">
        <f t="array" ref="X245">_xlfn.IFS(E245='Euro Age Table'!C$5,'Euro Age Table'!G$5,E245='Euro Age Table'!C$6,'Euro Age Table'!G$6,E245='Euro Age Table'!C$7,'Euro Age Table'!G$7,E245='Euro Age Table'!C$8,'Euro Age Table'!G$8,E245='Euro Age Table'!C$9,'Euro Age Table'!G$9,E245='Euro Age Table'!C$10,'Euro Age Table'!G$10,E245='Euro Age Table'!C$11,'Euro Age Table'!G$11)</f>
        <v>9</v>
      </c>
      <c r="Y245" s="46">
        <f>X245*'Eilat Car Data'!F$6</f>
        <v>249300</v>
      </c>
      <c r="Z245" s="46">
        <f>'T3 N2O HDV'!C22</f>
        <v>45.6</v>
      </c>
      <c r="AA245" s="124">
        <f t="shared" si="15"/>
        <v>24710177.832498495</v>
      </c>
    </row>
    <row r="246" spans="1:27" ht="12.5">
      <c r="A246" s="58" t="s">
        <v>75</v>
      </c>
      <c r="B246" s="49" t="s">
        <v>22</v>
      </c>
      <c r="C246" s="49" t="s">
        <v>79</v>
      </c>
      <c r="D246" s="57" t="s">
        <v>82</v>
      </c>
      <c r="E246" s="50" t="s">
        <v>60</v>
      </c>
      <c r="F246" s="97">
        <v>7.3295318573043625E-2</v>
      </c>
      <c r="G246" s="99">
        <f t="shared" si="12"/>
        <v>55.924328071232289</v>
      </c>
      <c r="H246" s="46"/>
      <c r="I246" s="46">
        <f>G246*'Eilat Car Data'!F$6</f>
        <v>1549103.8875731344</v>
      </c>
      <c r="J246" s="46">
        <f>I246*'Tier 1 Coefficients'!I$10</f>
        <v>371784933.01755226</v>
      </c>
      <c r="K246" s="46">
        <f t="shared" si="13"/>
        <v>371784.93301755225</v>
      </c>
      <c r="L246" s="46">
        <f>K246*'Tier 1 Coefficients'!D$4</f>
        <v>1178186.4527326231</v>
      </c>
      <c r="M246" s="46">
        <f>K246*'Tier 1 Coefficients'!C$21</f>
        <v>944333.72986458277</v>
      </c>
      <c r="N246" s="46">
        <f>K246*'Tier 1 Coefficients'!C$45</f>
        <v>18961.031583895165</v>
      </c>
      <c r="O246" s="46">
        <f>I246*'Tier 2 FC'!D$36</f>
        <v>325311816.39035821</v>
      </c>
      <c r="P246" s="46">
        <f t="shared" si="14"/>
        <v>325311.8163903582</v>
      </c>
      <c r="Q246" s="46">
        <f>P246*'Tier 1 Coefficients'!D$4</f>
        <v>1030913.1461410451</v>
      </c>
      <c r="R246" s="46">
        <f>$I246*'T2 HDV'!D25</f>
        <v>13941.934988158209</v>
      </c>
      <c r="S246" s="121">
        <f>$I246*'T2 HDV'!E25</f>
        <v>752864.48936054332</v>
      </c>
      <c r="T246" s="46">
        <f>44.011*(P246/(12.011+1.008*'Tier 3 CO2 Tables'!B$4+16*'Tier 3 CO2 Tables'!C$4))</f>
        <v>1031068.8520393419</v>
      </c>
      <c r="U246" s="46">
        <f>I246*'Tier 3 CO2 Tables'!H$15/10000</f>
        <v>241.66020646140896</v>
      </c>
      <c r="V246" s="46">
        <f>44.011*(U246/(12.011+1.008*'Tier 3 CO2 Tables'!B$6+16*'Tier 3 CO2 Tables'!C$6))</f>
        <v>753.8969910327362</v>
      </c>
      <c r="W246" s="46">
        <f>I246*'T3 Methane'!D$30</f>
        <v>271093180.32529849</v>
      </c>
      <c r="X246" s="46" cm="1">
        <f t="array" ref="X246">_xlfn.IFS(E246='Euro Age Table'!C$5,'Euro Age Table'!G$5,E246='Euro Age Table'!C$6,'Euro Age Table'!G$6,E246='Euro Age Table'!C$7,'Euro Age Table'!G$7,E246='Euro Age Table'!C$8,'Euro Age Table'!G$8,E246='Euro Age Table'!C$9,'Euro Age Table'!G$9,E246='Euro Age Table'!C$10,'Euro Age Table'!G$10,E246='Euro Age Table'!C$11,'Euro Age Table'!G$11)</f>
        <v>3</v>
      </c>
      <c r="Y246" s="46">
        <f>X246*'Eilat Car Data'!F$6</f>
        <v>83100</v>
      </c>
      <c r="Z246" s="46">
        <f>'T3 N2O HDV'!C23</f>
        <v>56.5</v>
      </c>
      <c r="AA246" s="124">
        <f t="shared" si="15"/>
        <v>87524369.647882089</v>
      </c>
    </row>
    <row r="247" spans="1:27" ht="12.5">
      <c r="A247" s="58" t="s">
        <v>75</v>
      </c>
      <c r="B247" s="49" t="s">
        <v>22</v>
      </c>
      <c r="C247" s="49" t="s">
        <v>79</v>
      </c>
      <c r="D247" s="56" t="s">
        <v>83</v>
      </c>
      <c r="E247" s="50" t="s">
        <v>54</v>
      </c>
      <c r="F247" s="97">
        <v>8.2521187314843085E-6</v>
      </c>
      <c r="G247" s="99">
        <f t="shared" si="12"/>
        <v>6.2963665921225275E-3</v>
      </c>
      <c r="H247" s="46"/>
      <c r="I247" s="46">
        <f>G247*'Eilat Car Data'!F$6</f>
        <v>174.40935460179401</v>
      </c>
      <c r="J247" s="46">
        <f>I247*'Tier 1 Coefficients'!I$10</f>
        <v>41858.245104430564</v>
      </c>
      <c r="K247" s="46">
        <f t="shared" si="13"/>
        <v>41.858245104430566</v>
      </c>
      <c r="L247" s="46">
        <f>K247*'Tier 1 Coefficients'!D$4</f>
        <v>132.64877873594045</v>
      </c>
      <c r="M247" s="46">
        <f>K247*'Tier 1 Coefficients'!C$21</f>
        <v>106.31994256525364</v>
      </c>
      <c r="N247" s="46">
        <f>K247*'Tier 1 Coefficients'!C$45</f>
        <v>2.1347705003259585</v>
      </c>
      <c r="O247" s="46">
        <f>I247*'Tier 2 FC'!D37</f>
        <v>51799.578316732819</v>
      </c>
      <c r="P247" s="46">
        <f t="shared" si="14"/>
        <v>51.79957831673282</v>
      </c>
      <c r="Q247" s="46">
        <f>P247*'Tier 1 Coefficients'!D$4</f>
        <v>164.15286368572632</v>
      </c>
      <c r="R247" s="46">
        <f>$I247*'T2 HDV'!D27</f>
        <v>0.50578712834520256</v>
      </c>
      <c r="S247" s="121">
        <f>$I247*'T2 HDV'!E27</f>
        <v>84.762946336471884</v>
      </c>
      <c r="T247" s="46">
        <f>44.011*(P247/(12.011+1.008*'Tier 3 CO2 Tables'!B$4+16*'Tier 3 CO2 Tables'!C$4))</f>
        <v>164.17765682101015</v>
      </c>
      <c r="U247" s="46">
        <f>I247*'Tier 3 CO2 Tables'!H$15/10000</f>
        <v>2.7207859317879866E-2</v>
      </c>
      <c r="V247" s="46">
        <f>44.011*(U247/(12.011+1.008*'Tier 3 CO2 Tables'!B$6+16*'Tier 3 CO2 Tables'!C$6))</f>
        <v>8.4879192865653708E-2</v>
      </c>
      <c r="W247" s="46">
        <f>I247*'T3 Methane'!D$30</f>
        <v>30521.63705531395</v>
      </c>
      <c r="X247" s="46" cm="1">
        <f t="array" ref="X247">_xlfn.IFS(E247='Euro Age Table'!C$5,'Euro Age Table'!G$5,E247='Euro Age Table'!C$6,'Euro Age Table'!G$6,E247='Euro Age Table'!C$7,'Euro Age Table'!G$7,E247='Euro Age Table'!C$8,'Euro Age Table'!G$8,E247='Euro Age Table'!C$9,'Euro Age Table'!G$9,E247='Euro Age Table'!C$10,'Euro Age Table'!G$10,E247='Euro Age Table'!C$11,'Euro Age Table'!G$11)</f>
        <v>27</v>
      </c>
      <c r="Y247" s="46">
        <f>X247*'Eilat Car Data'!F$6</f>
        <v>747900</v>
      </c>
      <c r="Z247" s="46">
        <f>'T3 N2O HDV'!C24</f>
        <v>30</v>
      </c>
      <c r="AA247" s="124">
        <f t="shared" si="15"/>
        <v>5232.2806380538204</v>
      </c>
    </row>
    <row r="248" spans="1:27" ht="12.5">
      <c r="A248" s="58" t="s">
        <v>75</v>
      </c>
      <c r="B248" s="49" t="s">
        <v>22</v>
      </c>
      <c r="C248" s="49" t="s">
        <v>79</v>
      </c>
      <c r="D248" s="56" t="s">
        <v>83</v>
      </c>
      <c r="E248" s="50" t="s">
        <v>55</v>
      </c>
      <c r="F248" s="97">
        <v>8.2521187314843085E-6</v>
      </c>
      <c r="G248" s="99">
        <f t="shared" si="12"/>
        <v>6.2963665921225275E-3</v>
      </c>
      <c r="H248" s="46"/>
      <c r="I248" s="46">
        <f>G248*'Eilat Car Data'!F$6</f>
        <v>174.40935460179401</v>
      </c>
      <c r="J248" s="46">
        <f>I248*'Tier 1 Coefficients'!I$10</f>
        <v>41858.245104430564</v>
      </c>
      <c r="K248" s="46">
        <f t="shared" si="13"/>
        <v>41.858245104430566</v>
      </c>
      <c r="L248" s="46">
        <f>K248*'Tier 1 Coefficients'!D$4</f>
        <v>132.64877873594045</v>
      </c>
      <c r="M248" s="46">
        <f>K248*'Tier 1 Coefficients'!C$21</f>
        <v>106.31994256525364</v>
      </c>
      <c r="N248" s="46">
        <f>K248*'Tier 1 Coefficients'!C$45</f>
        <v>2.1347705003259585</v>
      </c>
      <c r="O248" s="46">
        <f>I248*'Tier 2 FC'!D$38</f>
        <v>43776.748005050293</v>
      </c>
      <c r="P248" s="46">
        <f t="shared" si="14"/>
        <v>43.776748005050294</v>
      </c>
      <c r="Q248" s="46">
        <f>P248*'Tier 1 Coefficients'!D$4</f>
        <v>138.72851442800439</v>
      </c>
      <c r="R248" s="46">
        <f>$I248*'T2 HDV'!D28</f>
        <v>0.50578712834520256</v>
      </c>
      <c r="S248" s="121">
        <f>$I248*'T2 HDV'!E28</f>
        <v>84.762946336471884</v>
      </c>
      <c r="T248" s="46">
        <f>44.011*(P248/(12.011+1.008*'Tier 3 CO2 Tables'!B$4+16*'Tier 3 CO2 Tables'!C$4))</f>
        <v>138.74946754906915</v>
      </c>
      <c r="U248" s="46">
        <f>I248*'Tier 3 CO2 Tables'!H$15/10000</f>
        <v>2.7207859317879866E-2</v>
      </c>
      <c r="V248" s="46">
        <f>44.011*(U248/(12.011+1.008*'Tier 3 CO2 Tables'!B$6+16*'Tier 3 CO2 Tables'!C$6))</f>
        <v>8.4879192865653708E-2</v>
      </c>
      <c r="W248" s="46">
        <f>I248*'T3 Methane'!D$30</f>
        <v>30521.63705531395</v>
      </c>
      <c r="X248" s="46" cm="1">
        <f t="array" ref="X248">_xlfn.IFS(E248='Euro Age Table'!C$5,'Euro Age Table'!G$5,E248='Euro Age Table'!C$6,'Euro Age Table'!G$6,E248='Euro Age Table'!C$7,'Euro Age Table'!G$7,E248='Euro Age Table'!C$8,'Euro Age Table'!G$8,E248='Euro Age Table'!C$9,'Euro Age Table'!G$9,E248='Euro Age Table'!C$10,'Euro Age Table'!G$10,E248='Euro Age Table'!C$11,'Euro Age Table'!G$11)</f>
        <v>23</v>
      </c>
      <c r="Y248" s="46">
        <f>X248*'Eilat Car Data'!F$6</f>
        <v>637100</v>
      </c>
      <c r="Z248" s="46">
        <f>'T3 N2O HDV'!C25</f>
        <v>18</v>
      </c>
      <c r="AA248" s="124">
        <f t="shared" si="15"/>
        <v>3139.3683828322919</v>
      </c>
    </row>
    <row r="249" spans="1:27" ht="12.5">
      <c r="A249" s="58" t="s">
        <v>75</v>
      </c>
      <c r="B249" s="49" t="s">
        <v>22</v>
      </c>
      <c r="C249" s="49" t="s">
        <v>79</v>
      </c>
      <c r="D249" s="56" t="s">
        <v>83</v>
      </c>
      <c r="E249" s="50" t="s">
        <v>56</v>
      </c>
      <c r="F249" s="97">
        <v>4.1260593657421542E-5</v>
      </c>
      <c r="G249" s="99">
        <f t="shared" si="12"/>
        <v>3.1481832960612639E-2</v>
      </c>
      <c r="H249" s="46"/>
      <c r="I249" s="46">
        <f>G249*'Eilat Car Data'!F$6</f>
        <v>872.04677300897015</v>
      </c>
      <c r="J249" s="46">
        <f>I249*'Tier 1 Coefficients'!I$10</f>
        <v>209291.22552215285</v>
      </c>
      <c r="K249" s="46">
        <f t="shared" si="13"/>
        <v>209.29122552215284</v>
      </c>
      <c r="L249" s="46">
        <f>K249*'Tier 1 Coefficients'!D$4</f>
        <v>663.24389367970241</v>
      </c>
      <c r="M249" s="46">
        <f>K249*'Tier 1 Coefficients'!C$21</f>
        <v>531.59971282626827</v>
      </c>
      <c r="N249" s="46">
        <f>K249*'Tier 1 Coefficients'!C$45</f>
        <v>10.673852501629794</v>
      </c>
      <c r="O249" s="46">
        <f>I249*'Tier 2 FC'!D$38</f>
        <v>218883.74002525152</v>
      </c>
      <c r="P249" s="46">
        <f t="shared" si="14"/>
        <v>218.88374002525151</v>
      </c>
      <c r="Q249" s="46">
        <f>P249*'Tier 1 Coefficients'!D$4</f>
        <v>693.64257214002203</v>
      </c>
      <c r="R249" s="46">
        <f>$I249*'T2 HDV'!D29</f>
        <v>2.5289356417260134</v>
      </c>
      <c r="S249" s="121">
        <f>$I249*'T2 HDV'!E29</f>
        <v>423.81473168235948</v>
      </c>
      <c r="T249" s="46">
        <f>44.011*(P249/(12.011+1.008*'Tier 3 CO2 Tables'!B$4+16*'Tier 3 CO2 Tables'!C$4))</f>
        <v>693.74733774534593</v>
      </c>
      <c r="U249" s="46">
        <f>I249*'Tier 3 CO2 Tables'!H$15/10000</f>
        <v>0.13603929658939934</v>
      </c>
      <c r="V249" s="46">
        <f>44.011*(U249/(12.011+1.008*'Tier 3 CO2 Tables'!B$6+16*'Tier 3 CO2 Tables'!C$6))</f>
        <v>0.42439596432826854</v>
      </c>
      <c r="W249" s="46">
        <f>I249*'T3 Methane'!D$30</f>
        <v>152608.18527656977</v>
      </c>
      <c r="X249" s="46" cm="1">
        <f t="array" ref="X249">_xlfn.IFS(E249='Euro Age Table'!C$5,'Euro Age Table'!G$5,E249='Euro Age Table'!C$6,'Euro Age Table'!G$6,E249='Euro Age Table'!C$7,'Euro Age Table'!G$7,E249='Euro Age Table'!C$8,'Euro Age Table'!G$8,E249='Euro Age Table'!C$9,'Euro Age Table'!G$9,E249='Euro Age Table'!C$10,'Euro Age Table'!G$10,E249='Euro Age Table'!C$11,'Euro Age Table'!G$11)</f>
        <v>18</v>
      </c>
      <c r="Y249" s="46">
        <f>X249*'Eilat Car Data'!F$6</f>
        <v>498600</v>
      </c>
      <c r="Z249" s="46">
        <f>'T3 N2O HDV'!C26</f>
        <v>18</v>
      </c>
      <c r="AA249" s="124">
        <f t="shared" si="15"/>
        <v>15696.841914161463</v>
      </c>
    </row>
    <row r="250" spans="1:27" ht="12.5">
      <c r="A250" s="58" t="s">
        <v>75</v>
      </c>
      <c r="B250" s="49" t="s">
        <v>22</v>
      </c>
      <c r="C250" s="49" t="s">
        <v>79</v>
      </c>
      <c r="D250" s="56" t="s">
        <v>83</v>
      </c>
      <c r="E250" s="50" t="s">
        <v>57</v>
      </c>
      <c r="F250" s="97">
        <v>4.2911017403718404E-4</v>
      </c>
      <c r="G250" s="99">
        <f t="shared" si="12"/>
        <v>0.32741106279037141</v>
      </c>
      <c r="H250" s="106"/>
      <c r="I250" s="46">
        <f>G250*'Eilat Car Data'!F$6</f>
        <v>9069.2864392932879</v>
      </c>
      <c r="J250" s="46">
        <f>I250*'Tier 1 Coefficients'!I$10</f>
        <v>2176628.745430389</v>
      </c>
      <c r="K250" s="46">
        <f t="shared" si="13"/>
        <v>2176.6287454303888</v>
      </c>
      <c r="L250" s="46">
        <f>K250*'Tier 1 Coefficients'!D$4</f>
        <v>6897.7364942689019</v>
      </c>
      <c r="M250" s="46">
        <f>K250*'Tier 1 Coefficients'!C$21</f>
        <v>5528.6370133931878</v>
      </c>
      <c r="N250" s="46">
        <f>K250*'Tier 1 Coefficients'!C$45</f>
        <v>111.00806601694983</v>
      </c>
      <c r="O250" s="46">
        <f>I250*'Tier 2 FC'!D$38</f>
        <v>2276390.8962626155</v>
      </c>
      <c r="P250" s="46">
        <f t="shared" si="14"/>
        <v>2276.3908962626156</v>
      </c>
      <c r="Q250" s="46">
        <f>P250*'Tier 1 Coefficients'!D$4</f>
        <v>7213.882750256229</v>
      </c>
      <c r="R250" s="46">
        <f>$I250*'T2 HDV'!D30</f>
        <v>26.300930673950532</v>
      </c>
      <c r="S250" s="121">
        <f>$I250*'T2 HDV'!E30</f>
        <v>4407.6732094965382</v>
      </c>
      <c r="T250" s="46">
        <f>44.011*(P250/(12.011+1.008*'Tier 3 CO2 Tables'!B$4+16*'Tier 3 CO2 Tables'!C$4))</f>
        <v>7214.9723125515975</v>
      </c>
      <c r="U250" s="46">
        <f>I250*'Tier 3 CO2 Tables'!H$15/10000</f>
        <v>1.4148086845297529</v>
      </c>
      <c r="V250" s="46">
        <f>44.011*(U250/(12.011+1.008*'Tier 3 CO2 Tables'!B$6+16*'Tier 3 CO2 Tables'!C$6))</f>
        <v>4.4137180290139923</v>
      </c>
      <c r="W250" s="46">
        <f>I250*'T3 Methane'!D$30</f>
        <v>1587125.1268763253</v>
      </c>
      <c r="X250" s="46" cm="1">
        <f t="array" ref="X250">_xlfn.IFS(E250='Euro Age Table'!C$5,'Euro Age Table'!G$5,E250='Euro Age Table'!C$6,'Euro Age Table'!G$6,E250='Euro Age Table'!C$7,'Euro Age Table'!G$7,E250='Euro Age Table'!C$8,'Euro Age Table'!G$8,E250='Euro Age Table'!C$9,'Euro Age Table'!G$9,E250='Euro Age Table'!C$10,'Euro Age Table'!G$10,E250='Euro Age Table'!C$11,'Euro Age Table'!G$11)</f>
        <v>16</v>
      </c>
      <c r="Y250" s="46">
        <f>X250*'Eilat Car Data'!F$6</f>
        <v>443200</v>
      </c>
      <c r="Z250" s="46">
        <f>'T3 N2O HDV'!C27</f>
        <v>9</v>
      </c>
      <c r="AA250" s="124">
        <f t="shared" si="15"/>
        <v>81623.577953639586</v>
      </c>
    </row>
    <row r="251" spans="1:27" ht="12.5">
      <c r="A251" s="58" t="s">
        <v>75</v>
      </c>
      <c r="B251" s="49" t="s">
        <v>22</v>
      </c>
      <c r="C251" s="49" t="s">
        <v>79</v>
      </c>
      <c r="D251" s="56" t="s">
        <v>83</v>
      </c>
      <c r="E251" s="50" t="s">
        <v>58</v>
      </c>
      <c r="F251" s="97">
        <v>8.2521187314843085E-5</v>
      </c>
      <c r="G251" s="99">
        <f t="shared" si="12"/>
        <v>6.2963665921225279E-2</v>
      </c>
      <c r="H251" s="46"/>
      <c r="I251" s="46">
        <f>G251*'Eilat Car Data'!F$6</f>
        <v>1744.0935460179403</v>
      </c>
      <c r="J251" s="46">
        <f>I251*'Tier 1 Coefficients'!I$10</f>
        <v>418582.45104430569</v>
      </c>
      <c r="K251" s="46">
        <f t="shared" si="13"/>
        <v>418.58245104430569</v>
      </c>
      <c r="L251" s="46">
        <f>K251*'Tier 1 Coefficients'!D$4</f>
        <v>1326.4877873594048</v>
      </c>
      <c r="M251" s="46">
        <f>K251*'Tier 1 Coefficients'!C$21</f>
        <v>1063.1994256525365</v>
      </c>
      <c r="N251" s="46">
        <f>K251*'Tier 1 Coefficients'!C$45</f>
        <v>21.347705003259588</v>
      </c>
      <c r="O251" s="46">
        <f>I251*'Tier 2 FC'!D$38</f>
        <v>437767.48005050304</v>
      </c>
      <c r="P251" s="46">
        <f t="shared" si="14"/>
        <v>437.76748005050302</v>
      </c>
      <c r="Q251" s="46">
        <f>P251*'Tier 1 Coefficients'!D$4</f>
        <v>1387.2851442800441</v>
      </c>
      <c r="R251" s="46">
        <f>$I251*'T2 HDV'!D31</f>
        <v>5.0578712834520267</v>
      </c>
      <c r="S251" s="121">
        <f>$I251*'T2 HDV'!E31</f>
        <v>847.62946336471896</v>
      </c>
      <c r="T251" s="46">
        <f>44.011*(P251/(12.011+1.008*'Tier 3 CO2 Tables'!B$4+16*'Tier 3 CO2 Tables'!C$4))</f>
        <v>1387.4946754906919</v>
      </c>
      <c r="U251" s="46">
        <f>I251*'Tier 3 CO2 Tables'!H$15/10000</f>
        <v>0.27207859317879868</v>
      </c>
      <c r="V251" s="46">
        <f>44.011*(U251/(12.011+1.008*'Tier 3 CO2 Tables'!B$6+16*'Tier 3 CO2 Tables'!C$6))</f>
        <v>0.84879192865653708</v>
      </c>
      <c r="W251" s="46">
        <f>I251*'T3 Methane'!D$30</f>
        <v>305216.37055313954</v>
      </c>
      <c r="X251" s="46" cm="1">
        <f t="array" ref="X251">_xlfn.IFS(E251='Euro Age Table'!C$5,'Euro Age Table'!G$5,E251='Euro Age Table'!C$6,'Euro Age Table'!G$6,E251='Euro Age Table'!C$7,'Euro Age Table'!G$7,E251='Euro Age Table'!C$8,'Euro Age Table'!G$8,E251='Euro Age Table'!C$9,'Euro Age Table'!G$9,E251='Euro Age Table'!C$10,'Euro Age Table'!G$10,E251='Euro Age Table'!C$11,'Euro Age Table'!G$11)</f>
        <v>13</v>
      </c>
      <c r="Y251" s="46">
        <f>X251*'Eilat Car Data'!F$6</f>
        <v>360100</v>
      </c>
      <c r="Z251" s="46">
        <f>'T3 N2O HDV'!C28</f>
        <v>19</v>
      </c>
      <c r="AA251" s="124">
        <f t="shared" si="15"/>
        <v>33137.777374340869</v>
      </c>
    </row>
    <row r="252" spans="1:27" ht="12.5">
      <c r="A252" s="58" t="s">
        <v>75</v>
      </c>
      <c r="B252" s="49" t="s">
        <v>22</v>
      </c>
      <c r="C252" s="49" t="s">
        <v>79</v>
      </c>
      <c r="D252" s="56" t="s">
        <v>83</v>
      </c>
      <c r="E252" s="50" t="s">
        <v>59</v>
      </c>
      <c r="F252" s="97">
        <v>8.2521187314843085E-5</v>
      </c>
      <c r="G252" s="99">
        <f t="shared" si="12"/>
        <v>6.2963665921225279E-2</v>
      </c>
      <c r="H252" s="46"/>
      <c r="I252" s="46">
        <f>G252*'Eilat Car Data'!F$6</f>
        <v>1744.0935460179403</v>
      </c>
      <c r="J252" s="46">
        <f>I252*'Tier 1 Coefficients'!I$10</f>
        <v>418582.45104430569</v>
      </c>
      <c r="K252" s="46">
        <f t="shared" si="13"/>
        <v>418.58245104430569</v>
      </c>
      <c r="L252" s="46">
        <f>K252*'Tier 1 Coefficients'!D$4</f>
        <v>1326.4877873594048</v>
      </c>
      <c r="M252" s="46">
        <f>K252*'Tier 1 Coefficients'!C$21</f>
        <v>1063.1994256525365</v>
      </c>
      <c r="N252" s="46">
        <f>K252*'Tier 1 Coefficients'!C$45</f>
        <v>21.347705003259588</v>
      </c>
      <c r="O252" s="46">
        <f>I252*'Tier 2 FC'!D$38</f>
        <v>437767.48005050304</v>
      </c>
      <c r="P252" s="46">
        <f t="shared" si="14"/>
        <v>437.76748005050302</v>
      </c>
      <c r="Q252" s="46">
        <f>P252*'Tier 1 Coefficients'!D$4</f>
        <v>1387.2851442800441</v>
      </c>
      <c r="R252" s="46">
        <f>$I252*'T2 HDV'!D32</f>
        <v>19.185029006197343</v>
      </c>
      <c r="S252" s="121">
        <f>$I252*'T2 HDV'!E32</f>
        <v>847.62946336471896</v>
      </c>
      <c r="T252" s="46">
        <f>44.011*(P252/(12.011+1.008*'Tier 3 CO2 Tables'!B$4+16*'Tier 3 CO2 Tables'!C$4))</f>
        <v>1387.4946754906919</v>
      </c>
      <c r="U252" s="46">
        <f>I252*'Tier 3 CO2 Tables'!H$15/10000</f>
        <v>0.27207859317879868</v>
      </c>
      <c r="V252" s="46">
        <f>44.011*(U252/(12.011+1.008*'Tier 3 CO2 Tables'!B$6+16*'Tier 3 CO2 Tables'!C$6))</f>
        <v>0.84879192865653708</v>
      </c>
      <c r="W252" s="46">
        <f>I252*'T3 Methane'!D$30</f>
        <v>305216.37055313954</v>
      </c>
      <c r="X252" s="46" cm="1">
        <f t="array" ref="X252">_xlfn.IFS(E252='Euro Age Table'!C$5,'Euro Age Table'!G$5,E252='Euro Age Table'!C$6,'Euro Age Table'!G$6,E252='Euro Age Table'!C$7,'Euro Age Table'!G$7,E252='Euro Age Table'!C$8,'Euro Age Table'!G$8,E252='Euro Age Table'!C$9,'Euro Age Table'!G$9,E252='Euro Age Table'!C$10,'Euro Age Table'!G$10,E252='Euro Age Table'!C$11,'Euro Age Table'!G$11)</f>
        <v>9</v>
      </c>
      <c r="Y252" s="46">
        <f>X252*'Eilat Car Data'!F$6</f>
        <v>249300</v>
      </c>
      <c r="Z252" s="46">
        <f>'T3 N2O HDV'!C29</f>
        <v>49</v>
      </c>
      <c r="AA252" s="124">
        <f t="shared" si="15"/>
        <v>85460.583754879073</v>
      </c>
    </row>
    <row r="253" spans="1:27" ht="12.5">
      <c r="A253" s="58" t="s">
        <v>75</v>
      </c>
      <c r="B253" s="49" t="s">
        <v>22</v>
      </c>
      <c r="C253" s="49" t="s">
        <v>79</v>
      </c>
      <c r="D253" s="57" t="s">
        <v>83</v>
      </c>
      <c r="E253" s="50" t="s">
        <v>60</v>
      </c>
      <c r="F253" s="97">
        <v>3.0532839306491943E-4</v>
      </c>
      <c r="G253" s="99">
        <f t="shared" si="12"/>
        <v>0.23296556390853351</v>
      </c>
      <c r="H253" s="46"/>
      <c r="I253" s="46">
        <f>G253*'Eilat Car Data'!F$6</f>
        <v>6453.1461202663786</v>
      </c>
      <c r="J253" s="46">
        <f>I253*'Tier 1 Coefficients'!I$10</f>
        <v>1548755.0688639309</v>
      </c>
      <c r="K253" s="46">
        <f t="shared" si="13"/>
        <v>1548.7550688639308</v>
      </c>
      <c r="L253" s="46">
        <f>K253*'Tier 1 Coefficients'!D$4</f>
        <v>4908.004813229797</v>
      </c>
      <c r="M253" s="46">
        <f>K253*'Tier 1 Coefficients'!C$21</f>
        <v>3933.8378749143844</v>
      </c>
      <c r="N253" s="46">
        <f>K253*'Tier 1 Coefficients'!C$45</f>
        <v>78.986508512060468</v>
      </c>
      <c r="O253" s="46">
        <f>I253*'Tier 2 FC'!D$38</f>
        <v>1619739.676186861</v>
      </c>
      <c r="P253" s="46">
        <f t="shared" si="14"/>
        <v>1619.7396761868611</v>
      </c>
      <c r="Q253" s="46">
        <f>P253*'Tier 1 Coefficients'!D$4</f>
        <v>5132.9550338361623</v>
      </c>
      <c r="R253" s="46">
        <f>$I253*'T2 HDV'!D33</f>
        <v>58.078315082397403</v>
      </c>
      <c r="S253" s="121">
        <f>$I253*'T2 HDV'!E33</f>
        <v>3136.22901444946</v>
      </c>
      <c r="T253" s="46">
        <f>44.011*(P253/(12.011+1.008*'Tier 3 CO2 Tables'!B$4+16*'Tier 3 CO2 Tables'!C$4))</f>
        <v>5133.7302993155599</v>
      </c>
      <c r="U253" s="46">
        <f>I253*'Tier 3 CO2 Tables'!H$15/10000</f>
        <v>1.0066907947615551</v>
      </c>
      <c r="V253" s="46">
        <f>44.011*(U253/(12.011+1.008*'Tier 3 CO2 Tables'!B$6+16*'Tier 3 CO2 Tables'!C$6))</f>
        <v>3.1405301360291875</v>
      </c>
      <c r="W253" s="46">
        <f>I253*'T3 Methane'!D$30</f>
        <v>1129300.5710466162</v>
      </c>
      <c r="X253" s="46" cm="1">
        <f t="array" ref="X253">_xlfn.IFS(E253='Euro Age Table'!C$5,'Euro Age Table'!G$5,E253='Euro Age Table'!C$6,'Euro Age Table'!G$6,E253='Euro Age Table'!C$7,'Euro Age Table'!G$7,E253='Euro Age Table'!C$8,'Euro Age Table'!G$8,E253='Euro Age Table'!C$9,'Euro Age Table'!G$9,E253='Euro Age Table'!C$10,'Euro Age Table'!G$10,E253='Euro Age Table'!C$11,'Euro Age Table'!G$11)</f>
        <v>3</v>
      </c>
      <c r="Y253" s="46">
        <f>X253*'Eilat Car Data'!F$6</f>
        <v>83100</v>
      </c>
      <c r="Z253" s="46">
        <f>'T3 N2O HDV'!C30</f>
        <v>61</v>
      </c>
      <c r="AA253" s="124">
        <f t="shared" si="15"/>
        <v>393641.91333624907</v>
      </c>
    </row>
    <row r="254" spans="1:27" ht="12.5">
      <c r="A254" s="58" t="s">
        <v>75</v>
      </c>
      <c r="B254" s="49" t="s">
        <v>22</v>
      </c>
      <c r="C254" s="49" t="s">
        <v>79</v>
      </c>
      <c r="D254" s="56" t="s">
        <v>84</v>
      </c>
      <c r="E254" s="50" t="s">
        <v>54</v>
      </c>
      <c r="F254" s="97">
        <v>5.7764831120390159E-5</v>
      </c>
      <c r="G254" s="99">
        <f t="shared" si="12"/>
        <v>4.4074566144857691E-2</v>
      </c>
      <c r="H254" s="46"/>
      <c r="I254" s="46">
        <f>G254*'Eilat Car Data'!F$6</f>
        <v>1220.8654822125579</v>
      </c>
      <c r="J254" s="46">
        <f>I254*'Tier 1 Coefficients'!I$10</f>
        <v>293007.71573101392</v>
      </c>
      <c r="K254" s="46">
        <f t="shared" si="13"/>
        <v>293.00771573101389</v>
      </c>
      <c r="L254" s="46">
        <f>K254*'Tier 1 Coefficients'!D$4</f>
        <v>928.54145115158303</v>
      </c>
      <c r="M254" s="46">
        <f>K254*'Tier 1 Coefficients'!C$21</f>
        <v>744.23959795677524</v>
      </c>
      <c r="N254" s="46">
        <f>K254*'Tier 1 Coefficients'!C$45</f>
        <v>14.943393502281708</v>
      </c>
      <c r="O254" s="46">
        <f>I254*'Tier 2 FC'!D$37</f>
        <v>362597.04821712972</v>
      </c>
      <c r="P254" s="46">
        <f t="shared" si="14"/>
        <v>362.59704821712972</v>
      </c>
      <c r="Q254" s="46">
        <f>P254*'Tier 1 Coefficients'!D$4</f>
        <v>1149.070045800084</v>
      </c>
      <c r="R254" s="46">
        <f>$I254*'T2 HDV'!D27</f>
        <v>3.5405098984164178</v>
      </c>
      <c r="S254" s="121">
        <f>$I254*'T2 HDV'!E27</f>
        <v>593.34062435530313</v>
      </c>
      <c r="T254" s="46">
        <f>44.011*(P254/(12.011+1.008*'Tier 3 CO2 Tables'!B$4+16*'Tier 3 CO2 Tables'!C$4))</f>
        <v>1149.2435977470709</v>
      </c>
      <c r="U254" s="46">
        <f>I254*'Tier 3 CO2 Tables'!H$15/10000</f>
        <v>0.19045501522515904</v>
      </c>
      <c r="V254" s="46">
        <f>44.011*(U254/(12.011+1.008*'Tier 3 CO2 Tables'!B$6+16*'Tier 3 CO2 Tables'!C$6))</f>
        <v>0.59415435005957584</v>
      </c>
      <c r="W254" s="46">
        <f>I254*'T3 Methane'!D$30</f>
        <v>213651.45938719762</v>
      </c>
      <c r="X254" s="46" cm="1">
        <f t="array" ref="X254">_xlfn.IFS(E254='Euro Age Table'!C$5,'Euro Age Table'!G$5,E254='Euro Age Table'!C$6,'Euro Age Table'!G$6,E254='Euro Age Table'!C$7,'Euro Age Table'!G$7,E254='Euro Age Table'!C$8,'Euro Age Table'!G$8,E254='Euro Age Table'!C$9,'Euro Age Table'!G$9,E254='Euro Age Table'!C$10,'Euro Age Table'!G$10,E254='Euro Age Table'!C$11,'Euro Age Table'!G$11)</f>
        <v>27</v>
      </c>
      <c r="Y254" s="46">
        <f>X254*'Eilat Car Data'!F$6</f>
        <v>747900</v>
      </c>
      <c r="Z254" s="46">
        <f>'T3 N2O HDV'!C24</f>
        <v>30</v>
      </c>
      <c r="AA254" s="124">
        <f t="shared" si="15"/>
        <v>36625.964466376739</v>
      </c>
    </row>
    <row r="255" spans="1:27" ht="12.5">
      <c r="A255" s="58" t="s">
        <v>75</v>
      </c>
      <c r="B255" s="49" t="s">
        <v>22</v>
      </c>
      <c r="C255" s="49" t="s">
        <v>79</v>
      </c>
      <c r="D255" s="56" t="s">
        <v>84</v>
      </c>
      <c r="E255" s="50" t="s">
        <v>55</v>
      </c>
      <c r="F255" s="97">
        <v>5.7764831120390159E-5</v>
      </c>
      <c r="G255" s="99">
        <f t="shared" si="12"/>
        <v>4.4074566144857691E-2</v>
      </c>
      <c r="H255" s="46"/>
      <c r="I255" s="46">
        <f>G255*'Eilat Car Data'!F$6</f>
        <v>1220.8654822125579</v>
      </c>
      <c r="J255" s="46">
        <f>I255*'Tier 1 Coefficients'!I$10</f>
        <v>293007.71573101392</v>
      </c>
      <c r="K255" s="46">
        <f t="shared" si="13"/>
        <v>293.00771573101389</v>
      </c>
      <c r="L255" s="46">
        <f>K255*'Tier 1 Coefficients'!D$4</f>
        <v>928.54145115158303</v>
      </c>
      <c r="M255" s="46">
        <f>K255*'Tier 1 Coefficients'!C$21</f>
        <v>744.23959795677524</v>
      </c>
      <c r="N255" s="46">
        <f>K255*'Tier 1 Coefficients'!C$45</f>
        <v>14.943393502281708</v>
      </c>
      <c r="O255" s="46">
        <f>I255*'Tier 2 FC'!D$38</f>
        <v>306437.23603535205</v>
      </c>
      <c r="P255" s="46">
        <f t="shared" si="14"/>
        <v>306.43723603535204</v>
      </c>
      <c r="Q255" s="46">
        <f>P255*'Tier 1 Coefficients'!D$4</f>
        <v>971.09960099603063</v>
      </c>
      <c r="R255" s="46">
        <f>$I255*'T2 HDV'!D28</f>
        <v>3.5405098984164178</v>
      </c>
      <c r="S255" s="121">
        <f>$I255*'T2 HDV'!E28</f>
        <v>593.34062435530313</v>
      </c>
      <c r="T255" s="46">
        <f>44.011*(P255/(12.011+1.008*'Tier 3 CO2 Tables'!B$4+16*'Tier 3 CO2 Tables'!C$4))</f>
        <v>971.24627284348412</v>
      </c>
      <c r="U255" s="46">
        <f>I255*'Tier 3 CO2 Tables'!H$15/10000</f>
        <v>0.19045501522515904</v>
      </c>
      <c r="V255" s="46">
        <f>44.011*(U255/(12.011+1.008*'Tier 3 CO2 Tables'!B$6+16*'Tier 3 CO2 Tables'!C$6))</f>
        <v>0.59415435005957584</v>
      </c>
      <c r="W255" s="46">
        <f>I255*'T3 Methane'!D$30</f>
        <v>213651.45938719762</v>
      </c>
      <c r="X255" s="46" cm="1">
        <f t="array" ref="X255">_xlfn.IFS(E255='Euro Age Table'!C$5,'Euro Age Table'!G$5,E255='Euro Age Table'!C$6,'Euro Age Table'!G$6,E255='Euro Age Table'!C$7,'Euro Age Table'!G$7,E255='Euro Age Table'!C$8,'Euro Age Table'!G$8,E255='Euro Age Table'!C$9,'Euro Age Table'!G$9,E255='Euro Age Table'!C$10,'Euro Age Table'!G$10,E255='Euro Age Table'!C$11,'Euro Age Table'!G$11)</f>
        <v>23</v>
      </c>
      <c r="Y255" s="46">
        <f>X255*'Eilat Car Data'!F$6</f>
        <v>637100</v>
      </c>
      <c r="Z255" s="46">
        <f>'T3 N2O HDV'!C25</f>
        <v>18</v>
      </c>
      <c r="AA255" s="124">
        <f t="shared" si="15"/>
        <v>21975.578679826041</v>
      </c>
    </row>
    <row r="256" spans="1:27" ht="12.5">
      <c r="A256" s="58" t="s">
        <v>75</v>
      </c>
      <c r="B256" s="49" t="s">
        <v>22</v>
      </c>
      <c r="C256" s="49" t="s">
        <v>79</v>
      </c>
      <c r="D256" s="56" t="s">
        <v>84</v>
      </c>
      <c r="E256" s="50" t="s">
        <v>56</v>
      </c>
      <c r="F256" s="97">
        <v>2.3931144321304496E-4</v>
      </c>
      <c r="G256" s="99">
        <f t="shared" si="12"/>
        <v>0.18259463117155331</v>
      </c>
      <c r="H256" s="46"/>
      <c r="I256" s="46">
        <f>G256*'Eilat Car Data'!F$6</f>
        <v>5057.8712834520265</v>
      </c>
      <c r="J256" s="46">
        <f>I256*'Tier 1 Coefficients'!I$10</f>
        <v>1213889.1080284864</v>
      </c>
      <c r="K256" s="46">
        <f t="shared" si="13"/>
        <v>1213.8891080284864</v>
      </c>
      <c r="L256" s="46">
        <f>K256*'Tier 1 Coefficients'!D$4</f>
        <v>3846.8145833422732</v>
      </c>
      <c r="M256" s="46">
        <f>K256*'Tier 1 Coefficients'!C$21</f>
        <v>3083.2783343923552</v>
      </c>
      <c r="N256" s="46">
        <f>K256*'Tier 1 Coefficients'!C$45</f>
        <v>61.908344509452803</v>
      </c>
      <c r="O256" s="46">
        <f>I256*'Tier 2 FC'!D$38</f>
        <v>1269525.6921464587</v>
      </c>
      <c r="P256" s="46">
        <f t="shared" si="14"/>
        <v>1269.5256921464586</v>
      </c>
      <c r="Q256" s="46">
        <f>P256*'Tier 1 Coefficients'!D$4</f>
        <v>4023.1269184121275</v>
      </c>
      <c r="R256" s="46">
        <f>$I256*'T2 HDV'!D29</f>
        <v>14.667826722010876</v>
      </c>
      <c r="S256" s="121">
        <f>$I256*'T2 HDV'!E29</f>
        <v>2458.1254437576849</v>
      </c>
      <c r="T256" s="46">
        <f>44.011*(P256/(12.011+1.008*'Tier 3 CO2 Tables'!B$4+16*'Tier 3 CO2 Tables'!C$4))</f>
        <v>4023.7345589230058</v>
      </c>
      <c r="U256" s="46">
        <f>I256*'Tier 3 CO2 Tables'!H$15/10000</f>
        <v>0.7890279202185162</v>
      </c>
      <c r="V256" s="46">
        <f>44.011*(U256/(12.011+1.008*'Tier 3 CO2 Tables'!B$6+16*'Tier 3 CO2 Tables'!C$6))</f>
        <v>2.4614965931039579</v>
      </c>
      <c r="W256" s="46">
        <f>I256*'T3 Methane'!D$30</f>
        <v>885127.47460410465</v>
      </c>
      <c r="X256" s="46" cm="1">
        <f t="array" ref="X256">_xlfn.IFS(E256='Euro Age Table'!C$5,'Euro Age Table'!G$5,E256='Euro Age Table'!C$6,'Euro Age Table'!G$6,E256='Euro Age Table'!C$7,'Euro Age Table'!G$7,E256='Euro Age Table'!C$8,'Euro Age Table'!G$8,E256='Euro Age Table'!C$9,'Euro Age Table'!G$9,E256='Euro Age Table'!C$10,'Euro Age Table'!G$10,E256='Euro Age Table'!C$11,'Euro Age Table'!G$11)</f>
        <v>18</v>
      </c>
      <c r="Y256" s="46">
        <f>X256*'Eilat Car Data'!F$6</f>
        <v>498600</v>
      </c>
      <c r="Z256" s="46">
        <f>'T3 N2O HDV'!C26</f>
        <v>18</v>
      </c>
      <c r="AA256" s="124">
        <f t="shared" si="15"/>
        <v>91041.683102136478</v>
      </c>
    </row>
    <row r="257" spans="1:27" ht="12.5">
      <c r="A257" s="58" t="s">
        <v>75</v>
      </c>
      <c r="B257" s="49" t="s">
        <v>22</v>
      </c>
      <c r="C257" s="49" t="s">
        <v>79</v>
      </c>
      <c r="D257" s="56" t="s">
        <v>84</v>
      </c>
      <c r="E257" s="50" t="s">
        <v>57</v>
      </c>
      <c r="F257" s="97">
        <v>1.1140360287503817E-3</v>
      </c>
      <c r="G257" s="99">
        <f t="shared" si="12"/>
        <v>0.85000948993654124</v>
      </c>
      <c r="H257" s="46"/>
      <c r="I257" s="46">
        <f>G257*'Eilat Car Data'!F$6</f>
        <v>23545.262871242194</v>
      </c>
      <c r="J257" s="46">
        <f>I257*'Tier 1 Coefficients'!I$10</f>
        <v>5650863.0890981266</v>
      </c>
      <c r="K257" s="46">
        <f t="shared" si="13"/>
        <v>5650.8630890981267</v>
      </c>
      <c r="L257" s="46">
        <f>K257*'Tier 1 Coefficients'!D$4</f>
        <v>17907.585129351963</v>
      </c>
      <c r="M257" s="46">
        <f>K257*'Tier 1 Coefficients'!C$21</f>
        <v>14353.192246309241</v>
      </c>
      <c r="N257" s="46">
        <f>K257*'Tier 1 Coefficients'!C$45</f>
        <v>288.19401754400445</v>
      </c>
      <c r="O257" s="46">
        <f>I257*'Tier 2 FC'!D$38</f>
        <v>5909860.980681791</v>
      </c>
      <c r="P257" s="46">
        <f t="shared" si="14"/>
        <v>5909.8609806817913</v>
      </c>
      <c r="Q257" s="46">
        <f>P257*'Tier 1 Coefficients'!D$4</f>
        <v>18728.349447780598</v>
      </c>
      <c r="R257" s="46">
        <f>$I257*'T2 HDV'!D30</f>
        <v>68.281262326602359</v>
      </c>
      <c r="S257" s="121">
        <f>$I257*'T2 HDV'!E30</f>
        <v>11442.997755423707</v>
      </c>
      <c r="T257" s="46">
        <f>44.011*(P257/(12.011+1.008*'Tier 3 CO2 Tables'!B$4+16*'Tier 3 CO2 Tables'!C$4))</f>
        <v>18731.178119124343</v>
      </c>
      <c r="U257" s="46">
        <f>I257*'Tier 3 CO2 Tables'!H$15/10000</f>
        <v>3.6730610079137826</v>
      </c>
      <c r="V257" s="46">
        <f>44.011*(U257/(12.011+1.008*'Tier 3 CO2 Tables'!B$6+16*'Tier 3 CO2 Tables'!C$6))</f>
        <v>11.458691036863252</v>
      </c>
      <c r="W257" s="46">
        <f>I257*'T3 Methane'!D$30</f>
        <v>4120421.0024673841</v>
      </c>
      <c r="X257" s="46" cm="1">
        <f t="array" ref="X257">_xlfn.IFS(E257='Euro Age Table'!C$5,'Euro Age Table'!G$5,E257='Euro Age Table'!C$6,'Euro Age Table'!G$6,E257='Euro Age Table'!C$7,'Euro Age Table'!G$7,E257='Euro Age Table'!C$8,'Euro Age Table'!G$8,E257='Euro Age Table'!C$9,'Euro Age Table'!G$9,E257='Euro Age Table'!C$10,'Euro Age Table'!G$10,E257='Euro Age Table'!C$11,'Euro Age Table'!G$11)</f>
        <v>16</v>
      </c>
      <c r="Y257" s="46">
        <f>X257*'Eilat Car Data'!F$6</f>
        <v>443200</v>
      </c>
      <c r="Z257" s="46">
        <f>'T3 N2O HDV'!C27</f>
        <v>9</v>
      </c>
      <c r="AA257" s="124">
        <f t="shared" si="15"/>
        <v>211907.36584117974</v>
      </c>
    </row>
    <row r="258" spans="1:27" ht="12.5">
      <c r="A258" s="58" t="s">
        <v>75</v>
      </c>
      <c r="B258" s="49" t="s">
        <v>22</v>
      </c>
      <c r="C258" s="49" t="s">
        <v>79</v>
      </c>
      <c r="D258" s="56" t="s">
        <v>84</v>
      </c>
      <c r="E258" s="50" t="s">
        <v>58</v>
      </c>
      <c r="F258" s="97">
        <v>5.2070869195665987E-3</v>
      </c>
      <c r="G258" s="99">
        <f t="shared" si="12"/>
        <v>3.973007319629315</v>
      </c>
      <c r="H258" s="46"/>
      <c r="I258" s="46">
        <f>G258*'Eilat Car Data'!F$6</f>
        <v>110052.30275373203</v>
      </c>
      <c r="J258" s="46">
        <f>I258*'Tier 1 Coefficients'!I$10</f>
        <v>26412552.660895687</v>
      </c>
      <c r="K258" s="46">
        <f t="shared" si="13"/>
        <v>26412.552660895686</v>
      </c>
      <c r="L258" s="46">
        <f>K258*'Tier 1 Coefficients'!D$4</f>
        <v>83701.379382378436</v>
      </c>
      <c r="M258" s="46">
        <f>K258*'Tier 1 Coefficients'!C$21</f>
        <v>67087.883758675045</v>
      </c>
      <c r="N258" s="46">
        <f>K258*'Tier 1 Coefficients'!C$45</f>
        <v>1347.04018570568</v>
      </c>
      <c r="O258" s="46">
        <f>I258*'Tier 2 FC'!D$38</f>
        <v>27623127.991186738</v>
      </c>
      <c r="P258" s="46">
        <f t="shared" si="14"/>
        <v>27623.127991186739</v>
      </c>
      <c r="Q258" s="46">
        <f>P258*'Tier 1 Coefficients'!D$4</f>
        <v>87537.692604070777</v>
      </c>
      <c r="R258" s="46">
        <f>$I258*'T2 HDV'!D31</f>
        <v>319.15167798582286</v>
      </c>
      <c r="S258" s="121">
        <f>$I258*'T2 HDV'!E31</f>
        <v>53485.419138313766</v>
      </c>
      <c r="T258" s="46">
        <f>44.011*(P258/(12.011+1.008*'Tier 3 CO2 Tables'!B$4+16*'Tier 3 CO2 Tables'!C$4))</f>
        <v>87550.914023462654</v>
      </c>
      <c r="U258" s="46">
        <f>I258*'Tier 3 CO2 Tables'!H$15/10000</f>
        <v>17.168159229582194</v>
      </c>
      <c r="V258" s="46">
        <f>44.011*(U258/(12.011+1.008*'Tier 3 CO2 Tables'!B$6+16*'Tier 3 CO2 Tables'!C$6))</f>
        <v>53.558770698227484</v>
      </c>
      <c r="W258" s="46">
        <f>I258*'T3 Methane'!D$30</f>
        <v>19259152.981903106</v>
      </c>
      <c r="X258" s="46" cm="1">
        <f t="array" ref="X258">_xlfn.IFS(E258='Euro Age Table'!C$5,'Euro Age Table'!G$5,E258='Euro Age Table'!C$6,'Euro Age Table'!G$6,E258='Euro Age Table'!C$7,'Euro Age Table'!G$7,E258='Euro Age Table'!C$8,'Euro Age Table'!G$8,E258='Euro Age Table'!C$9,'Euro Age Table'!G$9,E258='Euro Age Table'!C$10,'Euro Age Table'!G$10,E258='Euro Age Table'!C$11,'Euro Age Table'!G$11)</f>
        <v>13</v>
      </c>
      <c r="Y258" s="46">
        <f>X258*'Eilat Car Data'!F$6</f>
        <v>360100</v>
      </c>
      <c r="Z258" s="46">
        <f>'T3 N2O HDV'!C28</f>
        <v>19</v>
      </c>
      <c r="AA258" s="124">
        <f t="shared" si="15"/>
        <v>2090993.7523209085</v>
      </c>
    </row>
    <row r="259" spans="1:27" ht="12.5">
      <c r="A259" s="58" t="s">
        <v>75</v>
      </c>
      <c r="B259" s="49" t="s">
        <v>22</v>
      </c>
      <c r="C259" s="49" t="s">
        <v>79</v>
      </c>
      <c r="D259" s="56" t="s">
        <v>84</v>
      </c>
      <c r="E259" s="50" t="s">
        <v>59</v>
      </c>
      <c r="F259" s="97">
        <v>1.7808072222543138E-2</v>
      </c>
      <c r="G259" s="99">
        <f t="shared" si="12"/>
        <v>13.587559105800414</v>
      </c>
      <c r="H259" s="46"/>
      <c r="I259" s="46">
        <f>G259*'Eilat Car Data'!F$6</f>
        <v>376375.38723067148</v>
      </c>
      <c r="J259" s="46">
        <f>I259*'Tier 1 Coefficients'!I$10</f>
        <v>90330092.935361147</v>
      </c>
      <c r="K259" s="46">
        <f t="shared" si="13"/>
        <v>90330.092935361143</v>
      </c>
      <c r="L259" s="46">
        <f>K259*'Tier 1 Coefficients'!D$4</f>
        <v>286256.06451215944</v>
      </c>
      <c r="M259" s="46">
        <f>K259*'Tier 1 Coefficients'!C$21</f>
        <v>229438.43605581729</v>
      </c>
      <c r="N259" s="46">
        <f>K259*'Tier 1 Coefficients'!C$45</f>
        <v>4606.8347397034177</v>
      </c>
      <c r="O259" s="46">
        <f>I259*'Tier 2 FC'!D$38</f>
        <v>94470222.194898546</v>
      </c>
      <c r="P259" s="46">
        <f t="shared" si="14"/>
        <v>94470.222194898539</v>
      </c>
      <c r="Q259" s="46">
        <f>P259*'Tier 1 Coefficients'!D$4</f>
        <v>299376.13413563347</v>
      </c>
      <c r="R259" s="46">
        <f>$I259*'T2 HDV'!D32</f>
        <v>4140.1292595373861</v>
      </c>
      <c r="S259" s="121">
        <f>$I259*'T2 HDV'!E32</f>
        <v>182918.43819410633</v>
      </c>
      <c r="T259" s="46">
        <f>44.011*(P259/(12.011+1.008*'Tier 3 CO2 Tables'!B$4+16*'Tier 3 CO2 Tables'!C$4))</f>
        <v>299421.3509708913</v>
      </c>
      <c r="U259" s="46">
        <f>I259*'Tier 3 CO2 Tables'!H$15/10000</f>
        <v>58.714560407984756</v>
      </c>
      <c r="V259" s="46">
        <f>44.011*(U259/(12.011+1.008*'Tier 3 CO2 Tables'!B$6+16*'Tier 3 CO2 Tables'!C$6))</f>
        <v>183.16929820408072</v>
      </c>
      <c r="W259" s="46">
        <f>I259*'T3 Methane'!D$30</f>
        <v>65865692.765367508</v>
      </c>
      <c r="X259" s="46" cm="1">
        <f t="array" ref="X259">_xlfn.IFS(E259='Euro Age Table'!C$5,'Euro Age Table'!G$5,E259='Euro Age Table'!C$6,'Euro Age Table'!G$6,E259='Euro Age Table'!C$7,'Euro Age Table'!G$7,E259='Euro Age Table'!C$8,'Euro Age Table'!G$8,E259='Euro Age Table'!C$9,'Euro Age Table'!G$9,E259='Euro Age Table'!C$10,'Euro Age Table'!G$10,E259='Euro Age Table'!C$11,'Euro Age Table'!G$11)</f>
        <v>9</v>
      </c>
      <c r="Y259" s="46">
        <f>X259*'Eilat Car Data'!F$6</f>
        <v>249300</v>
      </c>
      <c r="Z259" s="46">
        <f>'T3 N2O HDV'!C29</f>
        <v>49</v>
      </c>
      <c r="AA259" s="124">
        <f t="shared" si="15"/>
        <v>18442393.974302903</v>
      </c>
    </row>
    <row r="260" spans="1:27" ht="12.5">
      <c r="A260" s="58" t="s">
        <v>75</v>
      </c>
      <c r="B260" s="51" t="s">
        <v>22</v>
      </c>
      <c r="C260" s="51" t="s">
        <v>79</v>
      </c>
      <c r="D260" s="57" t="s">
        <v>84</v>
      </c>
      <c r="E260" s="50" t="s">
        <v>60</v>
      </c>
      <c r="F260" s="97">
        <v>5.0651504773850685E-2</v>
      </c>
      <c r="G260" s="99">
        <f t="shared" si="12"/>
        <v>38.647098142448073</v>
      </c>
      <c r="H260" s="46"/>
      <c r="I260" s="46">
        <f>G260*'Eilat Car Data'!F$6</f>
        <v>1070524.6185458116</v>
      </c>
      <c r="J260" s="46">
        <f>I260*'Tier 1 Coefficients'!I$10</f>
        <v>256925908.45099479</v>
      </c>
      <c r="K260" s="46">
        <f t="shared" ref="K260:K323" si="16">J260/1000</f>
        <v>256925.90845099479</v>
      </c>
      <c r="L260" s="46">
        <f>K260*'Tier 1 Coefficients'!D$4</f>
        <v>814198.2038812025</v>
      </c>
      <c r="M260" s="46">
        <f>K260*'Tier 1 Coefficients'!C$21</f>
        <v>652591.80746552674</v>
      </c>
      <c r="N260" s="46">
        <f>K260*'Tier 1 Coefficients'!C$45</f>
        <v>13103.221331000734</v>
      </c>
      <c r="O260" s="46">
        <f>I260*'Tier 2 FC'!D$38</f>
        <v>268701679.25499874</v>
      </c>
      <c r="P260" s="46">
        <f t="shared" ref="P260:P323" si="17">O260/1000</f>
        <v>268701.67925499874</v>
      </c>
      <c r="Q260" s="46">
        <f>P260*'Tier 1 Coefficients'!D$4</f>
        <v>851515.62155909103</v>
      </c>
      <c r="R260" s="46">
        <f>$I260*'T2 HDV'!D33</f>
        <v>9634.7215669123034</v>
      </c>
      <c r="S260" s="121">
        <f>$I260*'T2 HDV'!E33</f>
        <v>520274.96461326443</v>
      </c>
      <c r="T260" s="46">
        <f>44.011*(P260/(12.011+1.008*'Tier 3 CO2 Tables'!B$4+16*'Tier 3 CO2 Tables'!C$4))</f>
        <v>851644.23181618669</v>
      </c>
      <c r="U260" s="46">
        <f>I260*'Tier 3 CO2 Tables'!H$15/10000</f>
        <v>167.0018404931466</v>
      </c>
      <c r="V260" s="46">
        <f>44.011*(U260/(12.011+1.008*'Tier 3 CO2 Tables'!B$6+16*'Tier 3 CO2 Tables'!C$6))</f>
        <v>520.98848580938238</v>
      </c>
      <c r="W260" s="46">
        <f>I260*'T3 Methane'!D$30</f>
        <v>187341808.24551705</v>
      </c>
      <c r="X260" s="46" cm="1">
        <f t="array" ref="X260">_xlfn.IFS(E260='Euro Age Table'!C$5,'Euro Age Table'!G$5,E260='Euro Age Table'!C$6,'Euro Age Table'!G$6,E260='Euro Age Table'!C$7,'Euro Age Table'!G$7,E260='Euro Age Table'!C$8,'Euro Age Table'!G$8,E260='Euro Age Table'!C$9,'Euro Age Table'!G$9,E260='Euro Age Table'!C$10,'Euro Age Table'!G$10,E260='Euro Age Table'!C$11,'Euro Age Table'!G$11)</f>
        <v>3</v>
      </c>
      <c r="Y260" s="46">
        <f>X260*'Eilat Car Data'!F$6</f>
        <v>83100</v>
      </c>
      <c r="Z260" s="46">
        <f>'T3 N2O HDV'!C30</f>
        <v>61</v>
      </c>
      <c r="AA260" s="124">
        <f t="shared" ref="AA260:AA323" si="18">Z260*I260</f>
        <v>65302001.731294513</v>
      </c>
    </row>
    <row r="261" spans="1:27" ht="12.5">
      <c r="A261" s="58" t="s">
        <v>75</v>
      </c>
      <c r="B261" s="49" t="s">
        <v>23</v>
      </c>
      <c r="C261" s="49" t="s">
        <v>76</v>
      </c>
      <c r="D261" s="56" t="s">
        <v>77</v>
      </c>
      <c r="E261" s="50" t="s">
        <v>54</v>
      </c>
      <c r="F261" s="97">
        <v>1.3203389970374894E-4</v>
      </c>
      <c r="G261" s="99">
        <f t="shared" si="12"/>
        <v>0.10074186547396044</v>
      </c>
      <c r="H261" s="46"/>
      <c r="I261" s="46">
        <f>G261*'Eilat Car Data'!F$6</f>
        <v>2790.5496736287041</v>
      </c>
      <c r="J261" s="46">
        <f>I261*'Tier 1 Coefficients'!I$5*4</f>
        <v>641826.42493460199</v>
      </c>
      <c r="K261" s="46">
        <f t="shared" si="16"/>
        <v>641.82642493460196</v>
      </c>
      <c r="L261" s="46">
        <f>K261*'Tier 1 Coefficients'!D$5</f>
        <v>1940.8831090022363</v>
      </c>
      <c r="M261" s="46">
        <f>K261*'Tier 1 Coefficients'!C$21*0.95</f>
        <v>1548.7271633671944</v>
      </c>
      <c r="N261" s="46">
        <f>K261*1.02*'Tier 1 Coefficients'!C$45</f>
        <v>33.387810625097991</v>
      </c>
      <c r="O261" s="46">
        <f>I261*'Tier 2 FC'!D31*1.28</f>
        <v>446487.94778059266</v>
      </c>
      <c r="P261" s="46">
        <f t="shared" si="17"/>
        <v>446.48794778059266</v>
      </c>
      <c r="Q261" s="46">
        <f>P261*'Tier 1 Coefficients'!D5</f>
        <v>1350.1795540885123</v>
      </c>
      <c r="R261" s="46">
        <f>I261*'T2 LPG'!C11*1.02</f>
        <v>0</v>
      </c>
      <c r="S261" s="121">
        <f>I261*'T2 LPG'!D2</f>
        <v>1850.1344336158309</v>
      </c>
      <c r="T261" s="46">
        <f>44.011*(P261/(12.011+1.008*'Tier 3 CO2 Tables'!B$5+16*'Tier 3 CO2 Tables'!C$5))</f>
        <v>1349.9664108607788</v>
      </c>
      <c r="U261" s="46">
        <f>I261*'Tier 3 CO2 Tables'!H$15/10000</f>
        <v>0.43532574908607785</v>
      </c>
      <c r="V261" s="46">
        <f>44.011*(U261/(12.011+1.008*'Tier 3 CO2 Tables'!B$6+16*'Tier 3 CO2 Tables'!C$6))</f>
        <v>1.3580670858504593</v>
      </c>
      <c r="W261" s="46">
        <f>I261*3.04*'T3 Methane'!D$13</f>
        <v>678661.68062650086</v>
      </c>
      <c r="X261" s="46" cm="1">
        <f t="array" ref="X261">_xlfn.IFS(E261='Euro Age Table'!C$5,'Euro Age Table'!G$5,E261='Euro Age Table'!C$6,'Euro Age Table'!G$6,E261='Euro Age Table'!C$7,'Euro Age Table'!G$7,E261='Euro Age Table'!C$8,'Euro Age Table'!G$8,E261='Euro Age Table'!C$9,'Euro Age Table'!G$9,E261='Euro Age Table'!C$10,'Euro Age Table'!G$10,E261='Euro Age Table'!C$11,'Euro Age Table'!G$11)</f>
        <v>27</v>
      </c>
      <c r="Y261" s="46">
        <f>X261*'Eilat Car Data'!F$6</f>
        <v>747900</v>
      </c>
      <c r="Z261" s="46">
        <f>'T3 N2O HDV'!C$2</f>
        <v>6</v>
      </c>
      <c r="AA261" s="124">
        <f t="shared" si="18"/>
        <v>16743.298041772225</v>
      </c>
    </row>
    <row r="262" spans="1:27" ht="12.5">
      <c r="A262" s="58" t="s">
        <v>75</v>
      </c>
      <c r="B262" s="49" t="s">
        <v>23</v>
      </c>
      <c r="C262" s="49" t="s">
        <v>76</v>
      </c>
      <c r="D262" s="56" t="s">
        <v>77</v>
      </c>
      <c r="E262" s="50" t="s">
        <v>55</v>
      </c>
      <c r="F262" s="97">
        <v>6.6016949851874468E-5</v>
      </c>
      <c r="G262" s="99">
        <f t="shared" si="12"/>
        <v>5.037093273698022E-2</v>
      </c>
      <c r="H262" s="46"/>
      <c r="I262" s="46">
        <f>G262*'Eilat Car Data'!F$6</f>
        <v>1395.2748368143521</v>
      </c>
      <c r="J262" s="46">
        <f>I262*'Tier 1 Coefficients'!I$5*4</f>
        <v>320913.212467301</v>
      </c>
      <c r="K262" s="46">
        <f t="shared" si="16"/>
        <v>320.91321246730098</v>
      </c>
      <c r="L262" s="46">
        <f>K262*'Tier 1 Coefficients'!D$5</f>
        <v>970.44155450111816</v>
      </c>
      <c r="M262" s="46">
        <f>K262*'Tier 1 Coefficients'!C$21*0.95</f>
        <v>774.3635816835972</v>
      </c>
      <c r="N262" s="46">
        <f>K262*1.02*'Tier 1 Coefficients'!C$45</f>
        <v>16.693905312548996</v>
      </c>
      <c r="O262" s="46">
        <f>I262*'Tier 2 FC'!D$32*1.28</f>
        <v>180381.13090335944</v>
      </c>
      <c r="P262" s="46">
        <f t="shared" si="17"/>
        <v>180.38113090335943</v>
      </c>
      <c r="Q262" s="46">
        <f>P262*'Tier 1 Coefficients'!D6</f>
        <v>494.78544206791491</v>
      </c>
      <c r="R262" s="46">
        <f>I262*'T2 LPG'!C12*1.02</f>
        <v>4.269541000651917</v>
      </c>
      <c r="S262" s="121">
        <f>I262*'T2 LPG'!D3</f>
        <v>831.58380274135379</v>
      </c>
      <c r="T262" s="46">
        <f>44.011*(P262/(12.011+1.008*'Tier 3 CO2 Tables'!B$5+16*'Tier 3 CO2 Tables'!C$5))</f>
        <v>545.38642998775458</v>
      </c>
      <c r="U262" s="46">
        <f>I262*'Tier 3 CO2 Tables'!H$15/10000</f>
        <v>0.21766287454303893</v>
      </c>
      <c r="V262" s="46">
        <f>44.011*(U262/(12.011+1.008*'Tier 3 CO2 Tables'!B$6+16*'Tier 3 CO2 Tables'!C$6))</f>
        <v>0.67903354292522966</v>
      </c>
      <c r="W262" s="46">
        <f>I262*3.04*'T3 Methane'!D$13</f>
        <v>339330.84031325043</v>
      </c>
      <c r="X262" s="46" cm="1">
        <f t="array" ref="X262">_xlfn.IFS(E262='Euro Age Table'!C$5,'Euro Age Table'!G$5,E262='Euro Age Table'!C$6,'Euro Age Table'!G$6,E262='Euro Age Table'!C$7,'Euro Age Table'!G$7,E262='Euro Age Table'!C$8,'Euro Age Table'!G$8,E262='Euro Age Table'!C$9,'Euro Age Table'!G$9,E262='Euro Age Table'!C$10,'Euro Age Table'!G$10,E262='Euro Age Table'!C$11,'Euro Age Table'!G$11)</f>
        <v>23</v>
      </c>
      <c r="Y262" s="46">
        <f>X262*'Eilat Car Data'!F$6</f>
        <v>637100</v>
      </c>
      <c r="Z262" s="46">
        <f>'T3 N2O HDV'!C$2</f>
        <v>6</v>
      </c>
      <c r="AA262" s="124">
        <f t="shared" si="18"/>
        <v>8371.6490208861123</v>
      </c>
    </row>
    <row r="263" spans="1:27" ht="12.5">
      <c r="A263" s="58" t="s">
        <v>75</v>
      </c>
      <c r="B263" s="49" t="s">
        <v>23</v>
      </c>
      <c r="C263" s="49" t="s">
        <v>76</v>
      </c>
      <c r="D263" s="56" t="s">
        <v>77</v>
      </c>
      <c r="E263" s="50" t="s">
        <v>57</v>
      </c>
      <c r="F263" s="97">
        <v>9.0773306046327393E-5</v>
      </c>
      <c r="G263" s="99">
        <f t="shared" si="12"/>
        <v>6.9260032513347808E-2</v>
      </c>
      <c r="H263" s="46"/>
      <c r="I263" s="46">
        <f>G263*'Eilat Car Data'!F$6</f>
        <v>1918.5029006197342</v>
      </c>
      <c r="J263" s="46">
        <f>I263*'Tier 1 Coefficients'!I$5*4</f>
        <v>441255.66714253888</v>
      </c>
      <c r="K263" s="46">
        <f t="shared" si="16"/>
        <v>441.25566714253887</v>
      </c>
      <c r="L263" s="46">
        <f>K263*'Tier 1 Coefficients'!D$5</f>
        <v>1334.3571374390376</v>
      </c>
      <c r="M263" s="46">
        <f>K263*'Tier 1 Coefficients'!C$21*0.95</f>
        <v>1064.7499248149463</v>
      </c>
      <c r="N263" s="46">
        <f>K263*1.02*'Tier 1 Coefficients'!C$45</f>
        <v>22.954119804754871</v>
      </c>
      <c r="O263" s="46">
        <f>I263*'Tier 2 FC'!D$32*1.28</f>
        <v>248024.05499211923</v>
      </c>
      <c r="P263" s="46">
        <f t="shared" si="17"/>
        <v>248.02405499211923</v>
      </c>
      <c r="Q263" s="46">
        <f>P263*'Tier 1 Coefficients'!D7</f>
        <v>759.69768044086129</v>
      </c>
      <c r="R263" s="46">
        <f>I263*'T2 LPG'!C14*1.02</f>
        <v>17.611856627689161</v>
      </c>
      <c r="S263" s="121">
        <f>I263*'T2 LPG'!D5</f>
        <v>890.18534588755676</v>
      </c>
      <c r="T263" s="46">
        <f>44.011*(P263/(12.011+1.008*'Tier 3 CO2 Tables'!B$5+16*'Tier 3 CO2 Tables'!C$5))</f>
        <v>749.90634123316249</v>
      </c>
      <c r="U263" s="46">
        <f>I263*'Tier 3 CO2 Tables'!H$15/10000</f>
        <v>0.29928645249667857</v>
      </c>
      <c r="V263" s="46">
        <f>44.011*(U263/(12.011+1.008*'Tier 3 CO2 Tables'!B$6+16*'Tier 3 CO2 Tables'!C$6))</f>
        <v>0.93367112152219089</v>
      </c>
      <c r="W263" s="46">
        <f>I263*3.04*'T3 Methane'!D$13</f>
        <v>466579.90543071937</v>
      </c>
      <c r="X263" s="46" cm="1">
        <f t="array" ref="X263">_xlfn.IFS(E263='Euro Age Table'!C$5,'Euro Age Table'!G$5,E263='Euro Age Table'!C$6,'Euro Age Table'!G$6,E263='Euro Age Table'!C$7,'Euro Age Table'!G$7,E263='Euro Age Table'!C$8,'Euro Age Table'!G$8,E263='Euro Age Table'!C$9,'Euro Age Table'!G$9,E263='Euro Age Table'!C$10,'Euro Age Table'!G$10,E263='Euro Age Table'!C$11,'Euro Age Table'!G$11)</f>
        <v>16</v>
      </c>
      <c r="Y263" s="46">
        <f>X263*'Eilat Car Data'!F$6</f>
        <v>443200</v>
      </c>
      <c r="Z263" s="46">
        <f>'T3 N2O HDV'!C$2</f>
        <v>6</v>
      </c>
      <c r="AA263" s="124">
        <f t="shared" si="18"/>
        <v>11511.017403718404</v>
      </c>
    </row>
    <row r="264" spans="1:27" ht="12.5">
      <c r="A264" s="58" t="s">
        <v>75</v>
      </c>
      <c r="B264" s="49" t="s">
        <v>23</v>
      </c>
      <c r="C264" s="49" t="s">
        <v>76</v>
      </c>
      <c r="D264" s="56" t="s">
        <v>77</v>
      </c>
      <c r="E264" s="50" t="s">
        <v>58</v>
      </c>
      <c r="F264" s="97">
        <v>1.8154661209265479E-4</v>
      </c>
      <c r="G264" s="99">
        <f t="shared" si="12"/>
        <v>0.13852006502669562</v>
      </c>
      <c r="H264" s="46"/>
      <c r="I264" s="46">
        <f>G264*'Eilat Car Data'!F$6</f>
        <v>3837.0058012394684</v>
      </c>
      <c r="J264" s="46">
        <f>I264*'Tier 1 Coefficients'!I$5*4</f>
        <v>882511.33428507776</v>
      </c>
      <c r="K264" s="46">
        <f t="shared" si="16"/>
        <v>882.51133428507774</v>
      </c>
      <c r="L264" s="46">
        <f>K264*'Tier 1 Coefficients'!D$5</f>
        <v>2668.7142748780752</v>
      </c>
      <c r="M264" s="46">
        <f>K264*'Tier 1 Coefficients'!C$21*0.95</f>
        <v>2129.4998496298927</v>
      </c>
      <c r="N264" s="46">
        <f>K264*1.02*'Tier 1 Coefficients'!C$45</f>
        <v>45.908239609509742</v>
      </c>
      <c r="O264" s="46">
        <f>I264*'Tier 2 FC'!D$32*1.28</f>
        <v>496048.10998423846</v>
      </c>
      <c r="P264" s="46">
        <f t="shared" si="17"/>
        <v>496.04810998423847</v>
      </c>
      <c r="Q264" s="46">
        <f>P264*'Tier 1 Coefficients'!D8</f>
        <v>1470286.5979932828</v>
      </c>
      <c r="R264" s="46">
        <f>I264*'T2 LPG'!C15*1.02</f>
        <v>35.223713255378321</v>
      </c>
      <c r="S264" s="121">
        <f>I264*'T2 LPG'!D6</f>
        <v>1527.1283088933085</v>
      </c>
      <c r="T264" s="46">
        <f>44.011*(P264/(12.011+1.008*'Tier 3 CO2 Tables'!B$5+16*'Tier 3 CO2 Tables'!C$5))</f>
        <v>1499.812682466325</v>
      </c>
      <c r="U264" s="46">
        <f>I264*'Tier 3 CO2 Tables'!H$15/10000</f>
        <v>0.59857290499335714</v>
      </c>
      <c r="V264" s="46">
        <f>44.011*(U264/(12.011+1.008*'Tier 3 CO2 Tables'!B$6+16*'Tier 3 CO2 Tables'!C$6))</f>
        <v>1.8673422430443818</v>
      </c>
      <c r="W264" s="46">
        <f>I264*3.04*'T3 Methane'!D$13</f>
        <v>933159.81086143875</v>
      </c>
      <c r="X264" s="46" cm="1">
        <f t="array" ref="X264">_xlfn.IFS(E264='Euro Age Table'!C$5,'Euro Age Table'!G$5,E264='Euro Age Table'!C$6,'Euro Age Table'!G$6,E264='Euro Age Table'!C$7,'Euro Age Table'!G$7,E264='Euro Age Table'!C$8,'Euro Age Table'!G$8,E264='Euro Age Table'!C$9,'Euro Age Table'!G$9,E264='Euro Age Table'!C$10,'Euro Age Table'!G$10,E264='Euro Age Table'!C$11,'Euro Age Table'!G$11)</f>
        <v>13</v>
      </c>
      <c r="Y264" s="46">
        <f>X264*'Eilat Car Data'!F$6</f>
        <v>360100</v>
      </c>
      <c r="Z264" s="46">
        <f>'T3 N2O HDV'!C$2</f>
        <v>6</v>
      </c>
      <c r="AA264" s="124">
        <f t="shared" si="18"/>
        <v>23022.034807436808</v>
      </c>
    </row>
    <row r="265" spans="1:27" ht="12.5">
      <c r="A265" s="58" t="s">
        <v>75</v>
      </c>
      <c r="B265" s="49" t="s">
        <v>23</v>
      </c>
      <c r="C265" s="49" t="s">
        <v>76</v>
      </c>
      <c r="D265" s="57" t="s">
        <v>77</v>
      </c>
      <c r="E265" s="51" t="s">
        <v>60</v>
      </c>
      <c r="F265" s="97">
        <v>0</v>
      </c>
      <c r="G265" s="99">
        <f t="shared" si="12"/>
        <v>0</v>
      </c>
      <c r="H265" s="46"/>
      <c r="I265" s="46">
        <f>G265*'Eilat Car Data'!F$6</f>
        <v>0</v>
      </c>
      <c r="J265" s="46">
        <f>I265*'Tier 1 Coefficients'!I$5*4</f>
        <v>0</v>
      </c>
      <c r="K265" s="46">
        <f t="shared" si="16"/>
        <v>0</v>
      </c>
      <c r="L265" s="46">
        <f>K265*'Tier 1 Coefficients'!D$5</f>
        <v>0</v>
      </c>
      <c r="M265" s="46">
        <f>K265*'Tier 1 Coefficients'!C$21*0.95</f>
        <v>0</v>
      </c>
      <c r="N265" s="46">
        <f>K265*1.02*'Tier 1 Coefficients'!C$45</f>
        <v>0</v>
      </c>
      <c r="O265" s="46">
        <f>I265*'Tier 2 FC'!D$32*1.28</f>
        <v>0</v>
      </c>
      <c r="P265" s="46">
        <f t="shared" si="17"/>
        <v>0</v>
      </c>
      <c r="Q265" s="46">
        <f>P265*'Tier 1 Coefficients'!D9</f>
        <v>0</v>
      </c>
      <c r="R265" s="46">
        <f>I265*'T2 LPG'!C17*1.02</f>
        <v>0</v>
      </c>
      <c r="S265" s="121">
        <f>I265*'T2 LPG'!D8</f>
        <v>0</v>
      </c>
      <c r="T265" s="46">
        <f>44.011*(P265/(12.011+1.008*'Tier 3 CO2 Tables'!B$5+16*'Tier 3 CO2 Tables'!C$5))</f>
        <v>0</v>
      </c>
      <c r="U265" s="46">
        <f>I265*'Tier 3 CO2 Tables'!H$15/10000</f>
        <v>0</v>
      </c>
      <c r="V265" s="46">
        <f>44.011*(U265/(12.011+1.008*'Tier 3 CO2 Tables'!B$6+16*'Tier 3 CO2 Tables'!C$6))</f>
        <v>0</v>
      </c>
      <c r="W265" s="46">
        <f>I265*3.04*'T3 Methane'!D$13</f>
        <v>0</v>
      </c>
      <c r="X265" s="46" cm="1">
        <f t="array" ref="X265">_xlfn.IFS(E265='Euro Age Table'!C$5,'Euro Age Table'!G$5,E265='Euro Age Table'!C$6,'Euro Age Table'!G$6,E265='Euro Age Table'!C$7,'Euro Age Table'!G$7,E265='Euro Age Table'!C$8,'Euro Age Table'!G$8,E265='Euro Age Table'!C$9,'Euro Age Table'!G$9,E265='Euro Age Table'!C$10,'Euro Age Table'!G$10,E265='Euro Age Table'!C$11,'Euro Age Table'!G$11)</f>
        <v>3</v>
      </c>
      <c r="Y265" s="46">
        <f>X265*'Eilat Car Data'!F$6</f>
        <v>83100</v>
      </c>
      <c r="Z265" s="46">
        <f>'T3 N2O HDV'!C$2</f>
        <v>6</v>
      </c>
      <c r="AA265" s="124">
        <f t="shared" si="18"/>
        <v>0</v>
      </c>
    </row>
    <row r="266" spans="1:27" ht="12.5">
      <c r="A266" s="58" t="s">
        <v>75</v>
      </c>
      <c r="B266" s="49" t="s">
        <v>23</v>
      </c>
      <c r="C266" s="49" t="s">
        <v>76</v>
      </c>
      <c r="D266" s="56" t="s">
        <v>85</v>
      </c>
      <c r="E266" s="50" t="s">
        <v>57</v>
      </c>
      <c r="F266" s="97">
        <v>8.2521187314843085E-6</v>
      </c>
      <c r="G266" s="99">
        <f t="shared" si="12"/>
        <v>6.2963665921225275E-3</v>
      </c>
      <c r="H266" s="46"/>
      <c r="I266" s="46">
        <f>G266*'Eilat Car Data'!F$6</f>
        <v>174.40935460179401</v>
      </c>
      <c r="J266" s="46">
        <f>I266*'Tier 1 Coefficients'!I$5*4</f>
        <v>40114.151558412625</v>
      </c>
      <c r="K266" s="46">
        <f t="shared" si="16"/>
        <v>40.114151558412622</v>
      </c>
      <c r="L266" s="46">
        <f>K266*'Tier 1 Coefficients'!D$5</f>
        <v>121.30519431263977</v>
      </c>
      <c r="M266" s="46">
        <f>K266*'Tier 1 Coefficients'!C$21*0.95</f>
        <v>96.79544771044965</v>
      </c>
      <c r="N266" s="46">
        <f>K266*1.02*'Tier 1 Coefficients'!C$45</f>
        <v>2.0867381640686244</v>
      </c>
      <c r="O266" s="46">
        <f>I266*'Tier 2 FC'!D$34*1.28</f>
        <v>34602.81595299593</v>
      </c>
      <c r="P266" s="46">
        <f t="shared" si="17"/>
        <v>34.602815952995932</v>
      </c>
      <c r="Q266" s="46">
        <f>P266*'Tier 1 Coefficients'!D10</f>
        <v>107.06111255856941</v>
      </c>
      <c r="R266" s="46">
        <f>I266*'T2 LPG'!C14*1.02</f>
        <v>1.6010778752444688</v>
      </c>
      <c r="S266" s="121">
        <f>I266*'T2 LPG'!D5</f>
        <v>80.925940535232428</v>
      </c>
      <c r="T266" s="46">
        <f>44.011*(P266/(12.011+1.008*'Tier 3 CO2 Tables'!B$5+16*'Tier 3 CO2 Tables'!C$5))</f>
        <v>104.62239684171034</v>
      </c>
      <c r="U266" s="46">
        <f>I266*'Tier 3 CO2 Tables'!H$15/10000</f>
        <v>2.7207859317879866E-2</v>
      </c>
      <c r="V266" s="46">
        <f>44.011*(U266/(12.011+1.008*'Tier 3 CO2 Tables'!B$6+16*'Tier 3 CO2 Tables'!C$6))</f>
        <v>8.4879192865653708E-2</v>
      </c>
      <c r="W266" s="46">
        <f>I266*3.04*'T3 Methane'!D$13</f>
        <v>42416.355039156304</v>
      </c>
      <c r="X266" s="46" cm="1">
        <f t="array" ref="X266">_xlfn.IFS(E266='Euro Age Table'!C$5,'Euro Age Table'!G$5,E266='Euro Age Table'!C$6,'Euro Age Table'!G$6,E266='Euro Age Table'!C$7,'Euro Age Table'!G$7,E266='Euro Age Table'!C$8,'Euro Age Table'!G$8,E266='Euro Age Table'!C$9,'Euro Age Table'!G$9,E266='Euro Age Table'!C$10,'Euro Age Table'!G$10,E266='Euro Age Table'!C$11,'Euro Age Table'!G$11)</f>
        <v>16</v>
      </c>
      <c r="Y266" s="46">
        <f>X266*'Eilat Car Data'!F$6</f>
        <v>443200</v>
      </c>
      <c r="Z266" s="46">
        <f>'T3 N2O HDV'!C$2</f>
        <v>6</v>
      </c>
      <c r="AA266" s="124">
        <f t="shared" si="18"/>
        <v>1046.456127610764</v>
      </c>
    </row>
    <row r="267" spans="1:27" ht="12.5">
      <c r="A267" s="58" t="s">
        <v>75</v>
      </c>
      <c r="B267" s="49" t="s">
        <v>23</v>
      </c>
      <c r="C267" s="49" t="s">
        <v>76</v>
      </c>
      <c r="D267" s="56" t="s">
        <v>88</v>
      </c>
      <c r="E267" s="49" t="s">
        <v>60</v>
      </c>
      <c r="F267" s="79">
        <v>0</v>
      </c>
      <c r="G267" s="78">
        <f t="shared" si="12"/>
        <v>0</v>
      </c>
      <c r="H267" s="46"/>
      <c r="I267" s="46">
        <f>G267*'Eilat Car Data'!F$6</f>
        <v>0</v>
      </c>
      <c r="J267" s="46">
        <f>I267*'Tier 1 Coefficients'!I$5*4</f>
        <v>0</v>
      </c>
      <c r="K267" s="46">
        <f t="shared" si="16"/>
        <v>0</v>
      </c>
      <c r="L267" s="46">
        <f>K267*'Tier 1 Coefficients'!D$5</f>
        <v>0</v>
      </c>
      <c r="M267" s="46">
        <f>K267*'Tier 1 Coefficients'!C$21*0.95</f>
        <v>0</v>
      </c>
      <c r="N267" s="46">
        <f>K267*1.02*'Tier 1 Coefficients'!C$45</f>
        <v>0</v>
      </c>
      <c r="O267" s="46">
        <f>I267*'Tier 2 FC'!D$34*1.28</f>
        <v>0</v>
      </c>
      <c r="P267" s="46">
        <f t="shared" si="17"/>
        <v>0</v>
      </c>
      <c r="Q267" s="46">
        <f>P267*'Tier 1 Coefficients'!D11</f>
        <v>0</v>
      </c>
      <c r="R267" s="46">
        <f>I267*'T2 LPG'!C17*1.02</f>
        <v>0</v>
      </c>
      <c r="S267" s="121">
        <f>I267*'T2 LPG'!D8</f>
        <v>0</v>
      </c>
      <c r="T267" s="46">
        <f>44.011*(P267/(12.011+1.008*'Tier 3 CO2 Tables'!B$5+16*'Tier 3 CO2 Tables'!C$5))</f>
        <v>0</v>
      </c>
      <c r="U267" s="46">
        <f>I267*'Tier 3 CO2 Tables'!H$15/10000</f>
        <v>0</v>
      </c>
      <c r="V267" s="46">
        <f>44.011*(U267/(12.011+1.008*'Tier 3 CO2 Tables'!B$6+16*'Tier 3 CO2 Tables'!C$6))</f>
        <v>0</v>
      </c>
      <c r="W267" s="46">
        <f>I267*3.04*'T3 Methane'!D$13</f>
        <v>0</v>
      </c>
      <c r="X267" s="46" cm="1">
        <f t="array" ref="X267">_xlfn.IFS(E267='Euro Age Table'!C$5,'Euro Age Table'!G$5,E267='Euro Age Table'!C$6,'Euro Age Table'!G$6,E267='Euro Age Table'!C$7,'Euro Age Table'!G$7,E267='Euro Age Table'!C$8,'Euro Age Table'!G$8,E267='Euro Age Table'!C$9,'Euro Age Table'!G$9,E267='Euro Age Table'!C$10,'Euro Age Table'!G$10,E267='Euro Age Table'!C$11,'Euro Age Table'!G$11)</f>
        <v>3</v>
      </c>
      <c r="Y267" s="46">
        <f>X267*'Eilat Car Data'!F$6</f>
        <v>83100</v>
      </c>
      <c r="Z267" s="46">
        <f>'T3 N2O HDV'!C$2</f>
        <v>6</v>
      </c>
      <c r="AA267" s="124">
        <f t="shared" si="18"/>
        <v>0</v>
      </c>
    </row>
    <row r="268" spans="1:27" ht="12.5">
      <c r="A268" s="89" t="s">
        <v>8</v>
      </c>
      <c r="B268" s="53"/>
      <c r="C268" s="53"/>
      <c r="D268" s="53"/>
      <c r="E268" s="53"/>
      <c r="F268" s="94"/>
      <c r="G268" s="93">
        <v>40</v>
      </c>
      <c r="H268" s="46">
        <f>SUM(G272:G317)</f>
        <v>39.932297002360698</v>
      </c>
      <c r="I268" s="46"/>
      <c r="J268" s="46"/>
      <c r="K268" s="46">
        <f t="shared" si="16"/>
        <v>0</v>
      </c>
      <c r="L268" s="46"/>
      <c r="M268" s="46"/>
      <c r="N268" s="46"/>
      <c r="O268" s="46"/>
      <c r="P268" s="46">
        <f t="shared" si="17"/>
        <v>0</v>
      </c>
      <c r="Q268" s="46"/>
      <c r="R268" s="46"/>
      <c r="S268" s="46"/>
      <c r="T268" s="46"/>
      <c r="U268" s="46"/>
      <c r="V268" s="46">
        <f>44.011*(U268/(12.011+1.008*'Tier 3 CO2 Tables'!B$6+16*'Tier 3 CO2 Tables'!C$6))</f>
        <v>0</v>
      </c>
      <c r="W268" s="46"/>
      <c r="X268" s="46" t="e" cm="1">
        <f t="array" ref="X268">_xlfn.IFS(E268='Euro Age Table'!C$5,'Euro Age Table'!G$5,E268='Euro Age Table'!C$6,'Euro Age Table'!G$6,E268='Euro Age Table'!C$7,'Euro Age Table'!G$7,E268='Euro Age Table'!C$8,'Euro Age Table'!G$8,E268='Euro Age Table'!C$9,'Euro Age Table'!G$9,E268='Euro Age Table'!C$10,'Euro Age Table'!G$10,E268='Euro Age Table'!C$11,'Euro Age Table'!G$11)</f>
        <v>#N/A</v>
      </c>
      <c r="Y268" s="46"/>
      <c r="Z268" s="46"/>
      <c r="AA268" s="124">
        <f t="shared" si="18"/>
        <v>0</v>
      </c>
    </row>
    <row r="269" spans="1:27" ht="12.5">
      <c r="A269" s="49" t="s">
        <v>89</v>
      </c>
      <c r="B269" s="49" t="s">
        <v>22</v>
      </c>
      <c r="C269" s="49" t="s">
        <v>65</v>
      </c>
      <c r="D269" s="49" t="s">
        <v>66</v>
      </c>
      <c r="E269" s="50" t="s">
        <v>57</v>
      </c>
      <c r="F269" s="80">
        <v>0</v>
      </c>
      <c r="G269" s="78">
        <f>F269*$G$166</f>
        <v>0</v>
      </c>
      <c r="H269" s="46"/>
      <c r="I269" s="46">
        <f>G269*'Eilat Car Data'!F$8</f>
        <v>0</v>
      </c>
      <c r="J269" s="46">
        <f>I269*'Tier 1 Coefficients'!I$10</f>
        <v>0</v>
      </c>
      <c r="K269" s="46">
        <f t="shared" si="16"/>
        <v>0</v>
      </c>
      <c r="L269" s="46">
        <f>K269*'Tier 1 Coefficients'!D$4</f>
        <v>0</v>
      </c>
      <c r="M269" s="46">
        <f>K269*'Tier 1 Coefficients'!C$21</f>
        <v>0</v>
      </c>
      <c r="N269" s="46">
        <f>K269*'Tier 1 Coefficients'!C$45</f>
        <v>0</v>
      </c>
      <c r="O269" s="46">
        <f>I269*'Tier 2 FC'!D$44</f>
        <v>0</v>
      </c>
      <c r="P269" s="46">
        <f t="shared" si="17"/>
        <v>0</v>
      </c>
      <c r="Q269" s="46">
        <f>P269*'Tier 1 Coefficients'!D$4</f>
        <v>0</v>
      </c>
      <c r="R269" s="46">
        <f>$I269*'T2 Bus'!C9</f>
        <v>0</v>
      </c>
      <c r="S269" s="46">
        <f>$I269*'T2 Bus'!D9</f>
        <v>0</v>
      </c>
      <c r="T269" s="46">
        <f>44.011*(P269/(12.011+1.008*'Tier 3 CO2 Tables'!B$4+16*'Tier 3 CO2 Tables'!C$4))</f>
        <v>0</v>
      </c>
      <c r="U269" s="46">
        <f>I269*'Tier 3 CO2 Tables'!H$11/10000</f>
        <v>0</v>
      </c>
      <c r="V269" s="46">
        <f>44.011*(U269/(12.011+1.008*'Tier 3 CO2 Tables'!B$6+16*'Tier 3 CO2 Tables'!C$6))</f>
        <v>0</v>
      </c>
      <c r="W269" s="46">
        <f>I269*'T3 Methane'!D$29</f>
        <v>0</v>
      </c>
      <c r="X269" s="46" cm="1">
        <f t="array" ref="X269">_xlfn.IFS(E269='Euro Age Table'!C$5,'Euro Age Table'!G$5,E269='Euro Age Table'!C$6,'Euro Age Table'!G$6,E269='Euro Age Table'!C$7,'Euro Age Table'!G$7,E269='Euro Age Table'!C$8,'Euro Age Table'!G$8,E269='Euro Age Table'!C$9,'Euro Age Table'!G$9,E269='Euro Age Table'!C$10,'Euro Age Table'!G$10,E269='Euro Age Table'!C$11,'Euro Age Table'!G$11)</f>
        <v>16</v>
      </c>
      <c r="Y269" s="46">
        <f>X269*'Eilat Car Data'!F$8</f>
        <v>902400</v>
      </c>
      <c r="Z269" s="46">
        <f>'T3 N2O HDV'!C34</f>
        <v>6</v>
      </c>
      <c r="AA269" s="124">
        <f t="shared" si="18"/>
        <v>0</v>
      </c>
    </row>
    <row r="270" spans="1:27" ht="12.5">
      <c r="A270" s="49" t="s">
        <v>89</v>
      </c>
      <c r="B270" s="49" t="s">
        <v>22</v>
      </c>
      <c r="C270" s="49" t="s">
        <v>65</v>
      </c>
      <c r="D270" s="49" t="s">
        <v>66</v>
      </c>
      <c r="E270" s="50" t="s">
        <v>58</v>
      </c>
      <c r="F270" s="97">
        <v>0</v>
      </c>
      <c r="G270" s="99">
        <f>F270*$G$166</f>
        <v>0</v>
      </c>
      <c r="H270" s="46"/>
      <c r="I270" s="46">
        <f>G270*'Eilat Car Data'!F$8</f>
        <v>0</v>
      </c>
      <c r="J270" s="46">
        <f>I270*'Tier 1 Coefficients'!I$10</f>
        <v>0</v>
      </c>
      <c r="K270" s="46">
        <f t="shared" si="16"/>
        <v>0</v>
      </c>
      <c r="L270" s="46">
        <f>K270*'Tier 1 Coefficients'!D$4</f>
        <v>0</v>
      </c>
      <c r="M270" s="46">
        <f>K270*'Tier 1 Coefficients'!C$21</f>
        <v>0</v>
      </c>
      <c r="N270" s="46">
        <f>K270*'Tier 1 Coefficients'!C$45</f>
        <v>0</v>
      </c>
      <c r="O270" s="46">
        <f>I270*'Tier 2 FC'!D$44</f>
        <v>0</v>
      </c>
      <c r="P270" s="46">
        <f t="shared" si="17"/>
        <v>0</v>
      </c>
      <c r="Q270" s="46">
        <f>P270*'Tier 1 Coefficients'!D$4</f>
        <v>0</v>
      </c>
      <c r="R270" s="46">
        <f>$I270*'T2 Bus'!C10</f>
        <v>0</v>
      </c>
      <c r="S270" s="46">
        <f>$I270*'T2 Bus'!D10</f>
        <v>0</v>
      </c>
      <c r="T270" s="46">
        <f>44.011*(P270/(12.011+1.008*'Tier 3 CO2 Tables'!B$4+16*'Tier 3 CO2 Tables'!C$4))</f>
        <v>0</v>
      </c>
      <c r="U270" s="46">
        <f>I270*'Tier 3 CO2 Tables'!H$11/10000</f>
        <v>0</v>
      </c>
      <c r="V270" s="46">
        <f>44.011*(U270/(12.011+1.008*'Tier 3 CO2 Tables'!B$6+16*'Tier 3 CO2 Tables'!C$6))</f>
        <v>0</v>
      </c>
      <c r="W270" s="46">
        <f>I270*'T3 Methane'!D$29</f>
        <v>0</v>
      </c>
      <c r="X270" s="46" cm="1">
        <f t="array" ref="X270">_xlfn.IFS(E270='Euro Age Table'!C$5,'Euro Age Table'!G$5,E270='Euro Age Table'!C$6,'Euro Age Table'!G$6,E270='Euro Age Table'!C$7,'Euro Age Table'!G$7,E270='Euro Age Table'!C$8,'Euro Age Table'!G$8,E270='Euro Age Table'!C$9,'Euro Age Table'!G$9,E270='Euro Age Table'!C$10,'Euro Age Table'!G$10,E270='Euro Age Table'!C$11,'Euro Age Table'!G$11)</f>
        <v>13</v>
      </c>
      <c r="Y270" s="46">
        <f>X270*'Eilat Car Data'!F$8</f>
        <v>733200</v>
      </c>
      <c r="Z270" s="46">
        <f>'T3 N2O HDV'!C35</f>
        <v>12.8</v>
      </c>
      <c r="AA270" s="124">
        <f t="shared" si="18"/>
        <v>0</v>
      </c>
    </row>
    <row r="271" spans="1:27" ht="12.5">
      <c r="A271" s="49" t="s">
        <v>89</v>
      </c>
      <c r="B271" s="49" t="s">
        <v>22</v>
      </c>
      <c r="C271" s="49" t="s">
        <v>65</v>
      </c>
      <c r="D271" s="49" t="s">
        <v>66</v>
      </c>
      <c r="E271" s="50" t="s">
        <v>59</v>
      </c>
      <c r="F271" s="97">
        <v>1.6925749409825842E-3</v>
      </c>
      <c r="G271" s="99">
        <f>F271*$G$166</f>
        <v>1.2914346799697118</v>
      </c>
      <c r="H271" s="46"/>
      <c r="I271" s="46">
        <f>G271*'Eilat Car Data'!F$8</f>
        <v>72836.915950291746</v>
      </c>
      <c r="J271" s="46">
        <f>I271*'Tier 1 Coefficients'!I$10</f>
        <v>17480859.828070018</v>
      </c>
      <c r="K271" s="46">
        <f t="shared" si="16"/>
        <v>17480.859828070017</v>
      </c>
      <c r="L271" s="46">
        <f>K271*'Tier 1 Coefficients'!D$4</f>
        <v>55396.844795153884</v>
      </c>
      <c r="M271" s="46">
        <f>K271*'Tier 1 Coefficients'!C$21</f>
        <v>44401.383963297842</v>
      </c>
      <c r="N271" s="46">
        <f>K271*'Tier 1 Coefficients'!C$45</f>
        <v>891.5238512315708</v>
      </c>
      <c r="O271" s="46">
        <f>I271*'Tier 2 FC'!D$44</f>
        <v>21923911.701037817</v>
      </c>
      <c r="P271" s="46">
        <f t="shared" si="17"/>
        <v>21923.911701037818</v>
      </c>
      <c r="Q271" s="46">
        <f>P271*'Tier 1 Coefficients'!D$4</f>
        <v>69476.87618058885</v>
      </c>
      <c r="R271" s="46">
        <f>$I271*'T2 Bus'!C11</f>
        <v>2330.7813104093361</v>
      </c>
      <c r="S271" s="46">
        <f>$I271*'T2 Bus'!D11</f>
        <v>19301.782726827314</v>
      </c>
      <c r="T271" s="46">
        <f>44.011*(P271/(12.011+1.008*'Tier 3 CO2 Tables'!B$4+16*'Tier 3 CO2 Tables'!C$4))</f>
        <v>69487.369750737838</v>
      </c>
      <c r="U271" s="46">
        <f>I271*'Tier 3 CO2 Tables'!H$11/10000</f>
        <v>61.911378557747987</v>
      </c>
      <c r="V271" s="46">
        <f>44.011*(U271/(12.011+1.008*'Tier 3 CO2 Tables'!B$6+16*'Tier 3 CO2 Tables'!C$6))</f>
        <v>193.14227480323052</v>
      </c>
      <c r="W271" s="46">
        <f>I271*'T3 Methane'!D$29</f>
        <v>6191137.8557747984</v>
      </c>
      <c r="X271" s="46" cm="1">
        <f t="array" ref="X271">_xlfn.IFS(E271='Euro Age Table'!C$5,'Euro Age Table'!G$5,E271='Euro Age Table'!C$6,'Euro Age Table'!G$6,E271='Euro Age Table'!C$7,'Euro Age Table'!G$7,E271='Euro Age Table'!C$8,'Euro Age Table'!G$8,E271='Euro Age Table'!C$9,'Euro Age Table'!G$9,E271='Euro Age Table'!C$10,'Euro Age Table'!G$10,E271='Euro Age Table'!C$11,'Euro Age Table'!G$11)</f>
        <v>9</v>
      </c>
      <c r="Y271" s="46">
        <f>X271*'Eilat Car Data'!F$8</f>
        <v>507600</v>
      </c>
      <c r="Z271" s="46">
        <f>'T3 N2O HDV'!C36</f>
        <v>33.200000000000003</v>
      </c>
      <c r="AA271" s="124">
        <f t="shared" si="18"/>
        <v>2418185.6095496863</v>
      </c>
    </row>
    <row r="272" spans="1:27" ht="12.5">
      <c r="A272" s="49" t="s">
        <v>89</v>
      </c>
      <c r="B272" s="49" t="s">
        <v>22</v>
      </c>
      <c r="C272" s="49" t="s">
        <v>65</v>
      </c>
      <c r="D272" s="51" t="s">
        <v>66</v>
      </c>
      <c r="E272" s="50" t="s">
        <v>60</v>
      </c>
      <c r="F272" s="97">
        <v>1.0823571333125474E-2</v>
      </c>
      <c r="G272" s="99">
        <f t="shared" ref="G272:G317" si="19">F272*$G$268</f>
        <v>0.43294285332501897</v>
      </c>
      <c r="H272" s="46"/>
      <c r="I272" s="46">
        <f>G272*'Eilat Car Data'!F$8</f>
        <v>24417.976927531072</v>
      </c>
      <c r="J272" s="46">
        <f>I272*'Tier 1 Coefficients'!I$10</f>
        <v>5860314.4626074573</v>
      </c>
      <c r="K272" s="46">
        <f t="shared" si="16"/>
        <v>5860.3144626074572</v>
      </c>
      <c r="L272" s="46">
        <f>K272*'Tier 1 Coefficients'!D$4</f>
        <v>18571.336532003032</v>
      </c>
      <c r="M272" s="46">
        <f>K272*'Tier 1 Coefficients'!C$21</f>
        <v>14885.198735022941</v>
      </c>
      <c r="N272" s="46">
        <f>K272*'Tier 1 Coefficients'!C$45</f>
        <v>298.87603759298031</v>
      </c>
      <c r="O272" s="46">
        <f>I272*'Tier 2 FC'!D$44</f>
        <v>7349811.0551868528</v>
      </c>
      <c r="P272" s="46">
        <f t="shared" si="17"/>
        <v>7349.8110551868531</v>
      </c>
      <c r="Q272" s="46">
        <f>P272*'Tier 1 Coefficients'!D$4</f>
        <v>23291.551233887138</v>
      </c>
      <c r="R272" s="46">
        <f>$I272*'T2 Bus'!C12</f>
        <v>976.71907710124287</v>
      </c>
      <c r="S272" s="46">
        <f>$I272*'T2 Bus'!D12</f>
        <v>6470.7638857957345</v>
      </c>
      <c r="T272" s="46">
        <f>44.011*(P272/(12.011+1.008*'Tier 3 CO2 Tables'!B$4+16*'Tier 3 CO2 Tables'!C$4))</f>
        <v>23295.069116961156</v>
      </c>
      <c r="U272" s="46">
        <f>I272*'Tier 3 CO2 Tables'!H$12/10000</f>
        <v>2.0755280388401411</v>
      </c>
      <c r="V272" s="46">
        <f>44.011*(U272/(12.011+1.008*'Tier 3 CO2 Tables'!B$6+16*'Tier 3 CO2 Tables'!C$6))</f>
        <v>6.4749358870366311</v>
      </c>
      <c r="W272" s="46">
        <f>I272*'T3 Methane'!D$29</f>
        <v>2075528.0388401411</v>
      </c>
      <c r="X272" s="46" cm="1">
        <f t="array" ref="X272">_xlfn.IFS(E272='Euro Age Table'!C$5,'Euro Age Table'!G$5,E272='Euro Age Table'!C$6,'Euro Age Table'!G$6,E272='Euro Age Table'!C$7,'Euro Age Table'!G$7,E272='Euro Age Table'!C$8,'Euro Age Table'!G$8,E272='Euro Age Table'!C$9,'Euro Age Table'!G$9,E272='Euro Age Table'!C$10,'Euro Age Table'!G$10,E272='Euro Age Table'!C$11,'Euro Age Table'!G$11)</f>
        <v>3</v>
      </c>
      <c r="Y272" s="46">
        <f>X272*'Eilat Car Data'!F$8</f>
        <v>169200</v>
      </c>
      <c r="Z272" s="46">
        <f>'T3 N2O HDV'!C37</f>
        <v>41.5</v>
      </c>
      <c r="AA272" s="124">
        <f t="shared" si="18"/>
        <v>1013346.0424925395</v>
      </c>
    </row>
    <row r="273" spans="1:27" ht="12.5">
      <c r="A273" s="52" t="s">
        <v>8</v>
      </c>
      <c r="B273" s="49" t="s">
        <v>22</v>
      </c>
      <c r="C273" s="49" t="s">
        <v>65</v>
      </c>
      <c r="D273" s="49" t="s">
        <v>66</v>
      </c>
      <c r="E273" s="50" t="s">
        <v>55</v>
      </c>
      <c r="F273" s="97">
        <v>0</v>
      </c>
      <c r="G273" s="99">
        <f t="shared" si="19"/>
        <v>0</v>
      </c>
      <c r="H273" s="46"/>
      <c r="I273" s="46">
        <f>G273*'Eilat Car Data'!F$8</f>
        <v>0</v>
      </c>
      <c r="J273" s="46">
        <f>I273*'Tier 1 Coefficients'!I$10</f>
        <v>0</v>
      </c>
      <c r="K273" s="46">
        <f t="shared" si="16"/>
        <v>0</v>
      </c>
      <c r="L273" s="46">
        <f>K273*'Tier 1 Coefficients'!D$4</f>
        <v>0</v>
      </c>
      <c r="M273" s="46">
        <f>K273*'Tier 1 Coefficients'!C$21</f>
        <v>0</v>
      </c>
      <c r="N273" s="46">
        <f>K273*'Tier 1 Coefficients'!C$45</f>
        <v>0</v>
      </c>
      <c r="O273" s="46">
        <f>I273*'Tier 2 FC'!D$44</f>
        <v>0</v>
      </c>
      <c r="P273" s="46">
        <f t="shared" si="17"/>
        <v>0</v>
      </c>
      <c r="Q273" s="46">
        <f>P273*'Tier 1 Coefficients'!D$4</f>
        <v>0</v>
      </c>
      <c r="R273" s="46">
        <f>$I273*'T2 Bus'!C7</f>
        <v>0</v>
      </c>
      <c r="S273" s="46">
        <f>$I273*'T2 Bus'!D7</f>
        <v>0</v>
      </c>
      <c r="T273" s="46">
        <f>44.011*(P273/(12.011+1.008*'Tier 3 CO2 Tables'!B$4+16*'Tier 3 CO2 Tables'!C$4))</f>
        <v>0</v>
      </c>
      <c r="U273" s="46">
        <f>I273*'Tier 3 CO2 Tables'!H$11/10000</f>
        <v>0</v>
      </c>
      <c r="V273" s="46">
        <f>44.011*(U273/(12.011+1.008*'Tier 3 CO2 Tables'!B$6+16*'Tier 3 CO2 Tables'!C$6))</f>
        <v>0</v>
      </c>
      <c r="W273" s="46">
        <f>I273*'T3 Methane'!D$29</f>
        <v>0</v>
      </c>
      <c r="X273" s="46" cm="1">
        <f t="array" ref="X273">_xlfn.IFS(E273='Euro Age Table'!C$5,'Euro Age Table'!G$5,E273='Euro Age Table'!C$6,'Euro Age Table'!G$6,E273='Euro Age Table'!C$7,'Euro Age Table'!G$7,E273='Euro Age Table'!C$8,'Euro Age Table'!G$8,E273='Euro Age Table'!C$9,'Euro Age Table'!G$9,E273='Euro Age Table'!C$10,'Euro Age Table'!G$10,E273='Euro Age Table'!C$11,'Euro Age Table'!G$11)</f>
        <v>23</v>
      </c>
      <c r="Y273" s="46">
        <f>X273*'Eilat Car Data'!F$8</f>
        <v>1297200</v>
      </c>
      <c r="Z273" s="46">
        <f>'T3 N2O HDV'!C32</f>
        <v>12</v>
      </c>
      <c r="AA273" s="124">
        <f t="shared" si="18"/>
        <v>0</v>
      </c>
    </row>
    <row r="274" spans="1:27" ht="12.5">
      <c r="A274" s="49" t="s">
        <v>8</v>
      </c>
      <c r="B274" s="49" t="s">
        <v>22</v>
      </c>
      <c r="C274" s="49" t="s">
        <v>65</v>
      </c>
      <c r="D274" s="49" t="s">
        <v>66</v>
      </c>
      <c r="E274" s="50" t="s">
        <v>56</v>
      </c>
      <c r="F274" s="97">
        <v>0</v>
      </c>
      <c r="G274" s="99">
        <f t="shared" si="19"/>
        <v>0</v>
      </c>
      <c r="H274" s="46"/>
      <c r="I274" s="46">
        <f>G274*'Eilat Car Data'!F$8</f>
        <v>0</v>
      </c>
      <c r="J274" s="46">
        <f>I274*'Tier 1 Coefficients'!I$10</f>
        <v>0</v>
      </c>
      <c r="K274" s="46">
        <f t="shared" si="16"/>
        <v>0</v>
      </c>
      <c r="L274" s="46">
        <f>K274*'Tier 1 Coefficients'!D$4</f>
        <v>0</v>
      </c>
      <c r="M274" s="46">
        <f>K274*'Tier 1 Coefficients'!C$21</f>
        <v>0</v>
      </c>
      <c r="N274" s="46">
        <f>K274*'Tier 1 Coefficients'!C$45</f>
        <v>0</v>
      </c>
      <c r="O274" s="46">
        <f>I274*'Tier 2 FC'!D$44</f>
        <v>0</v>
      </c>
      <c r="P274" s="46">
        <f t="shared" si="17"/>
        <v>0</v>
      </c>
      <c r="Q274" s="46">
        <f>P274*'Tier 1 Coefficients'!D$4</f>
        <v>0</v>
      </c>
      <c r="R274" s="46">
        <f>$I274*'T2 Bus'!C8</f>
        <v>0</v>
      </c>
      <c r="S274" s="46">
        <f>$I274*'T2 Bus'!D8</f>
        <v>0</v>
      </c>
      <c r="T274" s="46">
        <f>44.011*(P274/(12.011+1.008*'Tier 3 CO2 Tables'!B$4+16*'Tier 3 CO2 Tables'!C$4))</f>
        <v>0</v>
      </c>
      <c r="U274" s="46">
        <f>I274*'Tier 3 CO2 Tables'!H$11/10000</f>
        <v>0</v>
      </c>
      <c r="V274" s="46">
        <f>44.011*(U274/(12.011+1.008*'Tier 3 CO2 Tables'!B$6+16*'Tier 3 CO2 Tables'!C$6))</f>
        <v>0</v>
      </c>
      <c r="W274" s="46">
        <f>I274*'T3 Methane'!D$29</f>
        <v>0</v>
      </c>
      <c r="X274" s="46" cm="1">
        <f t="array" ref="X274">_xlfn.IFS(E274='Euro Age Table'!C$5,'Euro Age Table'!G$5,E274='Euro Age Table'!C$6,'Euro Age Table'!G$6,E274='Euro Age Table'!C$7,'Euro Age Table'!G$7,E274='Euro Age Table'!C$8,'Euro Age Table'!G$8,E274='Euro Age Table'!C$9,'Euro Age Table'!G$9,E274='Euro Age Table'!C$10,'Euro Age Table'!G$10,E274='Euro Age Table'!C$11,'Euro Age Table'!G$11)</f>
        <v>18</v>
      </c>
      <c r="Y274" s="46">
        <f>X274*'Eilat Car Data'!F$8</f>
        <v>1015200</v>
      </c>
      <c r="Z274" s="46">
        <f>'T3 N2O HDV'!C33</f>
        <v>12</v>
      </c>
      <c r="AA274" s="124">
        <f t="shared" si="18"/>
        <v>0</v>
      </c>
    </row>
    <row r="275" spans="1:27" ht="12.5">
      <c r="A275" s="49" t="s">
        <v>8</v>
      </c>
      <c r="B275" s="49" t="s">
        <v>22</v>
      </c>
      <c r="C275" s="49" t="s">
        <v>65</v>
      </c>
      <c r="D275" s="49" t="s">
        <v>66</v>
      </c>
      <c r="E275" s="50" t="s">
        <v>57</v>
      </c>
      <c r="F275" s="97">
        <v>1.336243374459935E-3</v>
      </c>
      <c r="G275" s="99">
        <f t="shared" si="19"/>
        <v>5.3449734978397404E-2</v>
      </c>
      <c r="H275" s="46"/>
      <c r="I275" s="46">
        <f>G275*'Eilat Car Data'!F$8</f>
        <v>3014.5650527816138</v>
      </c>
      <c r="J275" s="46">
        <f>I275*'Tier 1 Coefficients'!I$10</f>
        <v>723495.61266758735</v>
      </c>
      <c r="K275" s="46">
        <f t="shared" si="16"/>
        <v>723.49561266758735</v>
      </c>
      <c r="L275" s="46">
        <f>K275*'Tier 1 Coefficients'!D$4</f>
        <v>2292.7575965435844</v>
      </c>
      <c r="M275" s="46">
        <f>K275*'Tier 1 Coefficients'!C$21</f>
        <v>1837.6788561756719</v>
      </c>
      <c r="N275" s="46">
        <f>K275*'Tier 1 Coefficients'!C$45</f>
        <v>36.898276246046954</v>
      </c>
      <c r="O275" s="46">
        <f>I275*'Tier 2 FC'!D$44</f>
        <v>907384.08088726574</v>
      </c>
      <c r="P275" s="46">
        <f t="shared" si="17"/>
        <v>907.38408088726578</v>
      </c>
      <c r="Q275" s="46">
        <f>P275*'Tier 1 Coefficients'!D$4</f>
        <v>2875.5001523317451</v>
      </c>
      <c r="R275" s="46">
        <f>$I275*'T2 Bus'!C9</f>
        <v>3.0145650527816139</v>
      </c>
      <c r="S275" s="46">
        <f>$I275*'T2 Bus'!D9</f>
        <v>2595.5405104449692</v>
      </c>
      <c r="T275" s="46">
        <f>44.011*(P275/(12.011+1.008*'Tier 3 CO2 Tables'!B$4+16*'Tier 3 CO2 Tables'!C$4))</f>
        <v>2875.9344588840936</v>
      </c>
      <c r="U275" s="46">
        <f>I275*'Tier 3 CO2 Tables'!H$11/10000</f>
        <v>2.5623802948643717</v>
      </c>
      <c r="V275" s="46">
        <f>44.011*(U275/(12.011+1.008*'Tier 3 CO2 Tables'!B$6+16*'Tier 3 CO2 Tables'!C$6))</f>
        <v>7.9937480086871986</v>
      </c>
      <c r="W275" s="46">
        <f>I275*'T3 Methane'!D$29</f>
        <v>256238.02948643718</v>
      </c>
      <c r="X275" s="46" cm="1">
        <f t="array" ref="X275">_xlfn.IFS(E275='Euro Age Table'!C$5,'Euro Age Table'!G$5,E275='Euro Age Table'!C$6,'Euro Age Table'!G$6,E275='Euro Age Table'!C$7,'Euro Age Table'!G$7,E275='Euro Age Table'!C$8,'Euro Age Table'!G$8,E275='Euro Age Table'!C$9,'Euro Age Table'!G$9,E275='Euro Age Table'!C$10,'Euro Age Table'!G$10,E275='Euro Age Table'!C$11,'Euro Age Table'!G$11)</f>
        <v>16</v>
      </c>
      <c r="Y275" s="46">
        <f>X275*'Eilat Car Data'!F$8</f>
        <v>902400</v>
      </c>
      <c r="Z275" s="46">
        <f>'T3 N2O HDV'!C34</f>
        <v>6</v>
      </c>
      <c r="AA275" s="124">
        <f t="shared" si="18"/>
        <v>18087.390316689682</v>
      </c>
    </row>
    <row r="276" spans="1:27" ht="12.5">
      <c r="A276" s="49" t="s">
        <v>8</v>
      </c>
      <c r="B276" s="49" t="s">
        <v>22</v>
      </c>
      <c r="C276" s="49" t="s">
        <v>65</v>
      </c>
      <c r="D276" s="49" t="s">
        <v>66</v>
      </c>
      <c r="E276" s="50" t="s">
        <v>58</v>
      </c>
      <c r="F276" s="97">
        <v>6.5921339806690122E-3</v>
      </c>
      <c r="G276" s="99">
        <f t="shared" si="19"/>
        <v>0.26368535922676051</v>
      </c>
      <c r="H276" s="46"/>
      <c r="I276" s="46">
        <f>G276*'Eilat Car Data'!F$8</f>
        <v>14871.854260389293</v>
      </c>
      <c r="J276" s="46">
        <f>I276*'Tier 1 Coefficients'!I$10</f>
        <v>3569245.0224934304</v>
      </c>
      <c r="K276" s="46">
        <f t="shared" si="16"/>
        <v>3569.2450224934305</v>
      </c>
      <c r="L276" s="46">
        <f>K276*'Tier 1 Coefficients'!D$4</f>
        <v>11310.937476281681</v>
      </c>
      <c r="M276" s="46">
        <f>K276*'Tier 1 Coefficients'!C$21</f>
        <v>9065.8823571333141</v>
      </c>
      <c r="N276" s="46">
        <f>K276*'Tier 1 Coefficients'!C$45</f>
        <v>182.03149614716494</v>
      </c>
      <c r="O276" s="46">
        <f>I276*'Tier 2 FC'!D$44</f>
        <v>4476428.1323771775</v>
      </c>
      <c r="P276" s="46">
        <f t="shared" si="17"/>
        <v>4476.4281323771775</v>
      </c>
      <c r="Q276" s="46">
        <f>P276*'Tier 1 Coefficients'!D$4</f>
        <v>14185.800751503275</v>
      </c>
      <c r="R276" s="46">
        <f>$I276*'T2 Bus'!C10</f>
        <v>178.46225112467152</v>
      </c>
      <c r="S276" s="46">
        <f>$I276*'T2 Bus'!D10</f>
        <v>3941.041379003163</v>
      </c>
      <c r="T276" s="46">
        <f>44.011*(P276/(12.011+1.008*'Tier 3 CO2 Tables'!B$4+16*'Tier 3 CO2 Tables'!C$4))</f>
        <v>14187.94333049486</v>
      </c>
      <c r="U276" s="46">
        <f>I276*'Tier 3 CO2 Tables'!H$11/10000</f>
        <v>12.641076121330899</v>
      </c>
      <c r="V276" s="46">
        <f>44.011*(U276/(12.011+1.008*'Tier 3 CO2 Tables'!B$6+16*'Tier 3 CO2 Tables'!C$6))</f>
        <v>39.435823509523509</v>
      </c>
      <c r="W276" s="46">
        <f>I276*'T3 Methane'!D$29</f>
        <v>1264107.6121330899</v>
      </c>
      <c r="X276" s="46" cm="1">
        <f t="array" ref="X276">_xlfn.IFS(E276='Euro Age Table'!C$5,'Euro Age Table'!G$5,E276='Euro Age Table'!C$6,'Euro Age Table'!G$6,E276='Euro Age Table'!C$7,'Euro Age Table'!G$7,E276='Euro Age Table'!C$8,'Euro Age Table'!G$8,E276='Euro Age Table'!C$9,'Euro Age Table'!G$9,E276='Euro Age Table'!C$10,'Euro Age Table'!G$10,E276='Euro Age Table'!C$11,'Euro Age Table'!G$11)</f>
        <v>13</v>
      </c>
      <c r="Y276" s="46">
        <f>X276*'Eilat Car Data'!F$8</f>
        <v>733200</v>
      </c>
      <c r="Z276" s="46">
        <f>'T3 N2O HDV'!C35</f>
        <v>12.8</v>
      </c>
      <c r="AA276" s="124">
        <f t="shared" si="18"/>
        <v>190359.73453298295</v>
      </c>
    </row>
    <row r="277" spans="1:27" ht="12.5">
      <c r="A277" s="49" t="s">
        <v>8</v>
      </c>
      <c r="B277" s="49" t="s">
        <v>22</v>
      </c>
      <c r="C277" s="49" t="s">
        <v>65</v>
      </c>
      <c r="D277" s="49" t="s">
        <v>66</v>
      </c>
      <c r="E277" s="50" t="s">
        <v>59</v>
      </c>
      <c r="F277" s="97">
        <v>4.6634893768651729E-2</v>
      </c>
      <c r="G277" s="99">
        <f t="shared" si="19"/>
        <v>1.8653957507460692</v>
      </c>
      <c r="H277" s="46"/>
      <c r="I277" s="46">
        <f>G277*'Eilat Car Data'!F$8</f>
        <v>105208.32034207831</v>
      </c>
      <c r="J277" s="46">
        <f>I277*'Tier 1 Coefficients'!I$10</f>
        <v>25249996.882098794</v>
      </c>
      <c r="K277" s="46">
        <f t="shared" si="16"/>
        <v>25249.996882098792</v>
      </c>
      <c r="L277" s="46">
        <f>K277*'Tier 1 Coefficients'!D$4</f>
        <v>80017.240119371068</v>
      </c>
      <c r="M277" s="46">
        <f>K277*'Tier 1 Coefficients'!C$21</f>
        <v>64134.99208053093</v>
      </c>
      <c r="N277" s="46">
        <f>K277*'Tier 1 Coefficients'!C$45</f>
        <v>1287.7498409870384</v>
      </c>
      <c r="O277" s="46">
        <f>I277*'Tier 2 FC'!D$44</f>
        <v>31667704.422965571</v>
      </c>
      <c r="P277" s="46">
        <f t="shared" si="17"/>
        <v>31667.704422965573</v>
      </c>
      <c r="Q277" s="46">
        <f>P277*'Tier 1 Coefficients'!D$4</f>
        <v>100354.95531637791</v>
      </c>
      <c r="R277" s="46">
        <f>$I277*'T2 Bus'!C11</f>
        <v>3366.6662509465059</v>
      </c>
      <c r="S277" s="46">
        <f>$I277*'T2 Bus'!D11</f>
        <v>27880.204890650755</v>
      </c>
      <c r="T277" s="46">
        <f>44.011*(P277/(12.011+1.008*'Tier 3 CO2 Tables'!B$4+16*'Tier 3 CO2 Tables'!C$4))</f>
        <v>100370.11261505487</v>
      </c>
      <c r="U277" s="46">
        <f>I277*'Tier 3 CO2 Tables'!H$11/10000</f>
        <v>89.42707229076656</v>
      </c>
      <c r="V277" s="46">
        <f>44.011*(U277/(12.011+1.008*'Tier 3 CO2 Tables'!B$6+16*'Tier 3 CO2 Tables'!C$6))</f>
        <v>278.98180550318318</v>
      </c>
      <c r="W277" s="46">
        <f>I277*'T3 Methane'!D$29</f>
        <v>8942707.2290766556</v>
      </c>
      <c r="X277" s="46" cm="1">
        <f t="array" ref="X277">_xlfn.IFS(E277='Euro Age Table'!C$5,'Euro Age Table'!G$5,E277='Euro Age Table'!C$6,'Euro Age Table'!G$6,E277='Euro Age Table'!C$7,'Euro Age Table'!G$7,E277='Euro Age Table'!C$8,'Euro Age Table'!G$8,E277='Euro Age Table'!C$9,'Euro Age Table'!G$9,E277='Euro Age Table'!C$10,'Euro Age Table'!G$10,E277='Euro Age Table'!C$11,'Euro Age Table'!G$11)</f>
        <v>9</v>
      </c>
      <c r="Y277" s="46">
        <f>X277*'Eilat Car Data'!F$8</f>
        <v>507600</v>
      </c>
      <c r="Z277" s="46">
        <f>'T3 N2O HDV'!C36</f>
        <v>33.200000000000003</v>
      </c>
      <c r="AA277" s="124">
        <f t="shared" si="18"/>
        <v>3492916.235357</v>
      </c>
    </row>
    <row r="278" spans="1:27" ht="12.5">
      <c r="A278" s="51" t="s">
        <v>8</v>
      </c>
      <c r="B278" s="51" t="s">
        <v>22</v>
      </c>
      <c r="C278" s="51" t="s">
        <v>65</v>
      </c>
      <c r="D278" s="49" t="s">
        <v>66</v>
      </c>
      <c r="E278" s="50" t="s">
        <v>60</v>
      </c>
      <c r="F278" s="97">
        <v>7.665582824818494E-2</v>
      </c>
      <c r="G278" s="99">
        <f t="shared" si="19"/>
        <v>3.0662331299273977</v>
      </c>
      <c r="H278" s="46"/>
      <c r="I278" s="46">
        <f>G278*'Eilat Car Data'!F$8</f>
        <v>172935.54852790522</v>
      </c>
      <c r="J278" s="46">
        <f>I278*'Tier 1 Coefficients'!I$10</f>
        <v>41504531.646697253</v>
      </c>
      <c r="K278" s="46">
        <f t="shared" si="16"/>
        <v>41504.531646697251</v>
      </c>
      <c r="L278" s="46">
        <f>K278*'Tier 1 Coefficients'!D$4</f>
        <v>131527.86078838358</v>
      </c>
      <c r="M278" s="46">
        <f>K278*'Tier 1 Coefficients'!C$21</f>
        <v>105421.51038261101</v>
      </c>
      <c r="N278" s="46">
        <f>K278*'Tier 1 Coefficients'!C$45</f>
        <v>2116.7311139815597</v>
      </c>
      <c r="O278" s="46">
        <f>I278*'Tier 2 FC'!D$44</f>
        <v>52053600.10689947</v>
      </c>
      <c r="P278" s="46">
        <f t="shared" si="17"/>
        <v>52053.600106899466</v>
      </c>
      <c r="Q278" s="46">
        <f>P278*'Tier 1 Coefficients'!D$4</f>
        <v>164957.85873876442</v>
      </c>
      <c r="R278" s="46">
        <f>$I278*'T2 Bus'!C12</f>
        <v>6917.4219411162094</v>
      </c>
      <c r="S278" s="46">
        <f>$I278*'T2 Bus'!D12</f>
        <v>45827.920359894888</v>
      </c>
      <c r="T278" s="46">
        <f>44.011*(P278/(12.011+1.008*'Tier 3 CO2 Tables'!B$4+16*'Tier 3 CO2 Tables'!C$4))</f>
        <v>164982.77345798412</v>
      </c>
      <c r="U278" s="46">
        <f>I278*'Tier 3 CO2 Tables'!H$12/10000</f>
        <v>14.699521624871943</v>
      </c>
      <c r="V278" s="46">
        <f>44.011*(U278/(12.011+1.008*'Tier 3 CO2 Tables'!B$6+16*'Tier 3 CO2 Tables'!C$6))</f>
        <v>45.85746774316889</v>
      </c>
      <c r="W278" s="46">
        <f>I278*'T3 Methane'!D$29</f>
        <v>14699521.624871943</v>
      </c>
      <c r="X278" s="46" cm="1">
        <f t="array" ref="X278">_xlfn.IFS(E278='Euro Age Table'!C$5,'Euro Age Table'!G$5,E278='Euro Age Table'!C$6,'Euro Age Table'!G$6,E278='Euro Age Table'!C$7,'Euro Age Table'!G$7,E278='Euro Age Table'!C$8,'Euro Age Table'!G$8,E278='Euro Age Table'!C$9,'Euro Age Table'!G$9,E278='Euro Age Table'!C$10,'Euro Age Table'!G$10,E278='Euro Age Table'!C$11,'Euro Age Table'!G$11)</f>
        <v>3</v>
      </c>
      <c r="Y278" s="46">
        <f>X278*'Eilat Car Data'!F$8</f>
        <v>169200</v>
      </c>
      <c r="Z278" s="46">
        <f>'T3 N2O HDV'!C37</f>
        <v>41.5</v>
      </c>
      <c r="AA278" s="124">
        <f t="shared" si="18"/>
        <v>7176825.2639080668</v>
      </c>
    </row>
    <row r="279" spans="1:27" ht="12.5">
      <c r="A279" s="49" t="s">
        <v>8</v>
      </c>
      <c r="B279" s="49" t="s">
        <v>22</v>
      </c>
      <c r="C279" s="49" t="s">
        <v>67</v>
      </c>
      <c r="D279" s="52" t="s">
        <v>90</v>
      </c>
      <c r="E279" s="50" t="s">
        <v>54</v>
      </c>
      <c r="F279" s="97">
        <v>4.4541445815331164E-5</v>
      </c>
      <c r="G279" s="99">
        <f t="shared" si="19"/>
        <v>1.7816578326132464E-3</v>
      </c>
      <c r="H279" s="46"/>
      <c r="I279" s="46">
        <f>G279*'Eilat Car Data'!F$8</f>
        <v>100.48550175938711</v>
      </c>
      <c r="J279" s="46">
        <f>I279*'Tier 1 Coefficients'!I$10</f>
        <v>24116.520422252906</v>
      </c>
      <c r="K279" s="46">
        <f t="shared" si="16"/>
        <v>24.116520422252908</v>
      </c>
      <c r="L279" s="46">
        <f>K279*'Tier 1 Coefficients'!D$4</f>
        <v>76.425253218119465</v>
      </c>
      <c r="M279" s="46">
        <f>K279*'Tier 1 Coefficients'!C$21</f>
        <v>61.255961872522384</v>
      </c>
      <c r="N279" s="46">
        <f>K279*'Tier 1 Coefficients'!C$45</f>
        <v>1.2299425415348981</v>
      </c>
      <c r="O279" s="46">
        <f>I279*'Tier 2 FC'!D$43</f>
        <v>36777.69364393568</v>
      </c>
      <c r="P279" s="46">
        <f t="shared" si="17"/>
        <v>36.777693643935677</v>
      </c>
      <c r="Q279" s="46">
        <f>P279*'Tier 1 Coefficients'!D$4</f>
        <v>116.54851115763216</v>
      </c>
      <c r="R279" s="46">
        <f>$I279*'T2 Bus'!C6</f>
        <v>2.9140795510222262</v>
      </c>
      <c r="S279" s="46">
        <f>$I279*'T2 Bus'!D6</f>
        <v>266.2865796623758</v>
      </c>
      <c r="T279" s="46">
        <f>44.011*(P279/(12.011+1.008*'Tier 3 CO2 Tables'!B$4+16*'Tier 3 CO2 Tables'!C$4))</f>
        <v>116.56611428035191</v>
      </c>
      <c r="U279" s="46">
        <f>I279*'Tier 3 CO2 Tables'!H$11/10000</f>
        <v>8.541267649547904E-2</v>
      </c>
      <c r="V279" s="46">
        <f>44.011*(U279/(12.011+1.008*'Tier 3 CO2 Tables'!B$6+16*'Tier 3 CO2 Tables'!C$6))</f>
        <v>0.26645826695623986</v>
      </c>
      <c r="W279" s="46">
        <f>I279*'T3 Methane'!D$29</f>
        <v>8541.2676495479045</v>
      </c>
      <c r="X279" s="46" cm="1">
        <f t="array" ref="X279">_xlfn.IFS(E279='Euro Age Table'!C$5,'Euro Age Table'!G$5,E279='Euro Age Table'!C$6,'Euro Age Table'!G$6,E279='Euro Age Table'!C$7,'Euro Age Table'!G$7,E279='Euro Age Table'!C$8,'Euro Age Table'!G$8,E279='Euro Age Table'!C$9,'Euro Age Table'!G$9,E279='Euro Age Table'!C$10,'Euro Age Table'!G$10,E279='Euro Age Table'!C$11,'Euro Age Table'!G$11)</f>
        <v>27</v>
      </c>
      <c r="Y279" s="46">
        <f>X279*'Eilat Car Data'!F$8</f>
        <v>1522800</v>
      </c>
      <c r="Z279" s="46">
        <f>'T3 N2O HDV'!C31</f>
        <v>30</v>
      </c>
      <c r="AA279" s="124">
        <f t="shared" si="18"/>
        <v>3014.5650527816133</v>
      </c>
    </row>
    <row r="280" spans="1:27" ht="12.5">
      <c r="A280" s="49" t="s">
        <v>8</v>
      </c>
      <c r="B280" s="49" t="s">
        <v>22</v>
      </c>
      <c r="C280" s="49" t="s">
        <v>67</v>
      </c>
      <c r="D280" s="49" t="s">
        <v>90</v>
      </c>
      <c r="E280" s="50" t="s">
        <v>55</v>
      </c>
      <c r="F280" s="97">
        <v>0</v>
      </c>
      <c r="G280" s="99">
        <f t="shared" si="19"/>
        <v>0</v>
      </c>
      <c r="H280" s="46"/>
      <c r="I280" s="46">
        <f>G280*'Eilat Car Data'!F$8</f>
        <v>0</v>
      </c>
      <c r="J280" s="46">
        <f>I280*'Tier 1 Coefficients'!I$10</f>
        <v>0</v>
      </c>
      <c r="K280" s="46">
        <f t="shared" si="16"/>
        <v>0</v>
      </c>
      <c r="L280" s="46">
        <f>K280*'Tier 1 Coefficients'!D$4</f>
        <v>0</v>
      </c>
      <c r="M280" s="46">
        <f>K280*'Tier 1 Coefficients'!C$21</f>
        <v>0</v>
      </c>
      <c r="N280" s="46">
        <f>K280*'Tier 1 Coefficients'!C$45</f>
        <v>0</v>
      </c>
      <c r="O280" s="46">
        <f>I280*'Tier 2 FC'!D$44</f>
        <v>0</v>
      </c>
      <c r="P280" s="46">
        <f t="shared" si="17"/>
        <v>0</v>
      </c>
      <c r="Q280" s="46">
        <f>P280*'Tier 1 Coefficients'!D$4</f>
        <v>0</v>
      </c>
      <c r="R280" s="46">
        <f>$I280*'T2 Bus'!C7</f>
        <v>0</v>
      </c>
      <c r="S280" s="46">
        <f>$I280*'T2 Bus'!D7</f>
        <v>0</v>
      </c>
      <c r="T280" s="46">
        <f>44.011*(P280/(12.011+1.008*'Tier 3 CO2 Tables'!B$4+16*'Tier 3 CO2 Tables'!C$4))</f>
        <v>0</v>
      </c>
      <c r="U280" s="46">
        <f>I280*'Tier 3 CO2 Tables'!H$11/10000</f>
        <v>0</v>
      </c>
      <c r="V280" s="46">
        <f>44.011*(U280/(12.011+1.008*'Tier 3 CO2 Tables'!B$6+16*'Tier 3 CO2 Tables'!C$6))</f>
        <v>0</v>
      </c>
      <c r="W280" s="46">
        <f>I280*'T3 Methane'!D$29</f>
        <v>0</v>
      </c>
      <c r="X280" s="46" cm="1">
        <f t="array" ref="X280">_xlfn.IFS(E280='Euro Age Table'!C$5,'Euro Age Table'!G$5,E280='Euro Age Table'!C$6,'Euro Age Table'!G$6,E280='Euro Age Table'!C$7,'Euro Age Table'!G$7,E280='Euro Age Table'!C$8,'Euro Age Table'!G$8,E280='Euro Age Table'!C$9,'Euro Age Table'!G$9,E280='Euro Age Table'!C$10,'Euro Age Table'!G$10,E280='Euro Age Table'!C$11,'Euro Age Table'!G$11)</f>
        <v>23</v>
      </c>
      <c r="Y280" s="46">
        <f>X280*'Eilat Car Data'!F$8</f>
        <v>1297200</v>
      </c>
      <c r="Z280" s="46">
        <f>'T3 N2O HDV'!C32</f>
        <v>12</v>
      </c>
      <c r="AA280" s="124">
        <f t="shared" si="18"/>
        <v>0</v>
      </c>
    </row>
    <row r="281" spans="1:27" ht="12.5">
      <c r="A281" s="49" t="s">
        <v>8</v>
      </c>
      <c r="B281" s="49" t="s">
        <v>22</v>
      </c>
      <c r="C281" s="49" t="s">
        <v>67</v>
      </c>
      <c r="D281" s="49" t="s">
        <v>90</v>
      </c>
      <c r="E281" s="50" t="s">
        <v>56</v>
      </c>
      <c r="F281" s="97">
        <v>8.9082891630662327E-5</v>
      </c>
      <c r="G281" s="99">
        <f t="shared" si="19"/>
        <v>3.5633156652264929E-3</v>
      </c>
      <c r="H281" s="46"/>
      <c r="I281" s="46">
        <f>G281*'Eilat Car Data'!F$8</f>
        <v>200.97100351877421</v>
      </c>
      <c r="J281" s="46">
        <f>I281*'Tier 1 Coefficients'!I$10</f>
        <v>48233.040844505813</v>
      </c>
      <c r="K281" s="46">
        <f t="shared" si="16"/>
        <v>48.233040844505815</v>
      </c>
      <c r="L281" s="46">
        <f>K281*'Tier 1 Coefficients'!D$4</f>
        <v>152.85050643623893</v>
      </c>
      <c r="M281" s="46">
        <f>K281*'Tier 1 Coefficients'!C$21</f>
        <v>122.51192374504477</v>
      </c>
      <c r="N281" s="46">
        <f>K281*'Tier 1 Coefficients'!C$45</f>
        <v>2.4598850830697963</v>
      </c>
      <c r="O281" s="46">
        <f>I281*'Tier 2 FC'!D$44</f>
        <v>60492.272059151037</v>
      </c>
      <c r="P281" s="46">
        <f t="shared" si="17"/>
        <v>60.492272059151034</v>
      </c>
      <c r="Q281" s="46">
        <f>P281*'Tier 1 Coefficients'!D$4</f>
        <v>191.70001015544963</v>
      </c>
      <c r="R281" s="46">
        <f>$I281*'T2 Bus'!C8</f>
        <v>24.116520422252904</v>
      </c>
      <c r="S281" s="46">
        <f>$I281*'T2 Bus'!D8</f>
        <v>297.43708520778586</v>
      </c>
      <c r="T281" s="46">
        <f>44.011*(P281/(12.011+1.008*'Tier 3 CO2 Tables'!B$4+16*'Tier 3 CO2 Tables'!C$4))</f>
        <v>191.72896392560617</v>
      </c>
      <c r="U281" s="46">
        <f>I281*'Tier 3 CO2 Tables'!H$11/10000</f>
        <v>0.17082535299095808</v>
      </c>
      <c r="V281" s="46">
        <f>44.011*(U281/(12.011+1.008*'Tier 3 CO2 Tables'!B$6+16*'Tier 3 CO2 Tables'!C$6))</f>
        <v>0.53291653391247973</v>
      </c>
      <c r="W281" s="46">
        <f>I281*'T3 Methane'!D$29</f>
        <v>17082.535299095809</v>
      </c>
      <c r="X281" s="46" cm="1">
        <f t="array" ref="X281">_xlfn.IFS(E281='Euro Age Table'!C$5,'Euro Age Table'!G$5,E281='Euro Age Table'!C$6,'Euro Age Table'!G$6,E281='Euro Age Table'!C$7,'Euro Age Table'!G$7,E281='Euro Age Table'!C$8,'Euro Age Table'!G$8,E281='Euro Age Table'!C$9,'Euro Age Table'!G$9,E281='Euro Age Table'!C$10,'Euro Age Table'!G$10,E281='Euro Age Table'!C$11,'Euro Age Table'!G$11)</f>
        <v>18</v>
      </c>
      <c r="Y281" s="46">
        <f>X281*'Eilat Car Data'!F$8</f>
        <v>1015200</v>
      </c>
      <c r="Z281" s="46">
        <f>'T3 N2O HDV'!C33</f>
        <v>12</v>
      </c>
      <c r="AA281" s="124">
        <f t="shared" si="18"/>
        <v>2411.6520422252906</v>
      </c>
    </row>
    <row r="282" spans="1:27" ht="12.5">
      <c r="A282" s="49" t="s">
        <v>8</v>
      </c>
      <c r="B282" s="49" t="s">
        <v>22</v>
      </c>
      <c r="C282" s="49" t="s">
        <v>67</v>
      </c>
      <c r="D282" s="49" t="s">
        <v>90</v>
      </c>
      <c r="E282" s="50" t="s">
        <v>57</v>
      </c>
      <c r="F282" s="97">
        <v>2.6724867489198701E-4</v>
      </c>
      <c r="G282" s="99">
        <f t="shared" si="19"/>
        <v>1.068994699567948E-2</v>
      </c>
      <c r="H282" s="46"/>
      <c r="I282" s="46">
        <f>G282*'Eilat Car Data'!F$8</f>
        <v>602.91301055632266</v>
      </c>
      <c r="J282" s="46">
        <f>I282*'Tier 1 Coefficients'!I$10</f>
        <v>144699.12253351742</v>
      </c>
      <c r="K282" s="46">
        <f t="shared" si="16"/>
        <v>144.69912253351742</v>
      </c>
      <c r="L282" s="46">
        <f>K282*'Tier 1 Coefficients'!D$4</f>
        <v>458.55151930871671</v>
      </c>
      <c r="M282" s="46">
        <f>K282*'Tier 1 Coefficients'!C$21</f>
        <v>367.53577123513429</v>
      </c>
      <c r="N282" s="46">
        <f>K282*'Tier 1 Coefficients'!C$45</f>
        <v>7.3796552492093879</v>
      </c>
      <c r="O282" s="46">
        <f>I282*'Tier 2 FC'!D$44</f>
        <v>181476.81617745312</v>
      </c>
      <c r="P282" s="46">
        <f t="shared" si="17"/>
        <v>181.47681617745312</v>
      </c>
      <c r="Q282" s="46">
        <f>P282*'Tier 1 Coefficients'!D$4</f>
        <v>575.10003046634893</v>
      </c>
      <c r="R282" s="46">
        <f>$I282*'T2 Bus'!C9</f>
        <v>0.60291301055632263</v>
      </c>
      <c r="S282" s="46">
        <f>$I282*'T2 Bus'!D9</f>
        <v>519.10810208899386</v>
      </c>
      <c r="T282" s="46">
        <f>44.011*(P282/(12.011+1.008*'Tier 3 CO2 Tables'!B$4+16*'Tier 3 CO2 Tables'!C$4))</f>
        <v>575.18689177681858</v>
      </c>
      <c r="U282" s="46">
        <f>I282*'Tier 3 CO2 Tables'!H$11/10000</f>
        <v>0.51247605897287429</v>
      </c>
      <c r="V282" s="46">
        <f>44.011*(U282/(12.011+1.008*'Tier 3 CO2 Tables'!B$6+16*'Tier 3 CO2 Tables'!C$6))</f>
        <v>1.5987496017374394</v>
      </c>
      <c r="W282" s="46">
        <f>I282*'T3 Methane'!D$29</f>
        <v>51247.605897287423</v>
      </c>
      <c r="X282" s="46" cm="1">
        <f t="array" ref="X282">_xlfn.IFS(E282='Euro Age Table'!C$5,'Euro Age Table'!G$5,E282='Euro Age Table'!C$6,'Euro Age Table'!G$6,E282='Euro Age Table'!C$7,'Euro Age Table'!G$7,E282='Euro Age Table'!C$8,'Euro Age Table'!G$8,E282='Euro Age Table'!C$9,'Euro Age Table'!G$9,E282='Euro Age Table'!C$10,'Euro Age Table'!G$10,E282='Euro Age Table'!C$11,'Euro Age Table'!G$11)</f>
        <v>16</v>
      </c>
      <c r="Y282" s="46">
        <f>X282*'Eilat Car Data'!F$8</f>
        <v>902400</v>
      </c>
      <c r="Z282" s="46">
        <f>'T3 N2O HDV'!C34</f>
        <v>6</v>
      </c>
      <c r="AA282" s="124">
        <f t="shared" si="18"/>
        <v>3617.478063337936</v>
      </c>
    </row>
    <row r="283" spans="1:27" ht="12.5">
      <c r="A283" s="49" t="s">
        <v>8</v>
      </c>
      <c r="B283" s="49" t="s">
        <v>22</v>
      </c>
      <c r="C283" s="49" t="s">
        <v>67</v>
      </c>
      <c r="D283" s="49" t="s">
        <v>90</v>
      </c>
      <c r="E283" s="50" t="s">
        <v>58</v>
      </c>
      <c r="F283" s="97">
        <v>1.7816578326132467E-3</v>
      </c>
      <c r="G283" s="99">
        <f t="shared" si="19"/>
        <v>7.1266313304529871E-2</v>
      </c>
      <c r="H283" s="46"/>
      <c r="I283" s="46">
        <f>G283*'Eilat Car Data'!F$8</f>
        <v>4019.4200703754846</v>
      </c>
      <c r="J283" s="46">
        <f>I283*'Tier 1 Coefficients'!I$10</f>
        <v>964660.81689011632</v>
      </c>
      <c r="K283" s="46">
        <f t="shared" si="16"/>
        <v>964.66081689011628</v>
      </c>
      <c r="L283" s="46">
        <f>K283*'Tier 1 Coefficients'!D$4</f>
        <v>3057.0101287247785</v>
      </c>
      <c r="M283" s="46">
        <f>K283*'Tier 1 Coefficients'!C$21</f>
        <v>2450.2384749008952</v>
      </c>
      <c r="N283" s="46">
        <f>K283*'Tier 1 Coefficients'!C$45</f>
        <v>49.197701661395925</v>
      </c>
      <c r="O283" s="46">
        <f>I283*'Tier 2 FC'!D$44</f>
        <v>1209845.4411830208</v>
      </c>
      <c r="P283" s="46">
        <f t="shared" si="17"/>
        <v>1209.8454411830207</v>
      </c>
      <c r="Q283" s="46">
        <f>P283*'Tier 1 Coefficients'!D$4</f>
        <v>3834.000203108993</v>
      </c>
      <c r="R283" s="46">
        <f>$I283*'T2 Bus'!C10</f>
        <v>48.233040844505815</v>
      </c>
      <c r="S283" s="46">
        <f>$I283*'T2 Bus'!D10</f>
        <v>1065.1463186495034</v>
      </c>
      <c r="T283" s="46">
        <f>44.011*(P283/(12.011+1.008*'Tier 3 CO2 Tables'!B$4+16*'Tier 3 CO2 Tables'!C$4))</f>
        <v>3834.5792785121239</v>
      </c>
      <c r="U283" s="46">
        <f>I283*'Tier 3 CO2 Tables'!H$11/10000</f>
        <v>3.4165070598191618</v>
      </c>
      <c r="V283" s="46">
        <f>44.011*(U283/(12.011+1.008*'Tier 3 CO2 Tables'!B$6+16*'Tier 3 CO2 Tables'!C$6))</f>
        <v>10.658330678249596</v>
      </c>
      <c r="W283" s="46">
        <f>I283*'T3 Methane'!D$29</f>
        <v>341650.70598191617</v>
      </c>
      <c r="X283" s="46" cm="1">
        <f t="array" ref="X283">_xlfn.IFS(E283='Euro Age Table'!C$5,'Euro Age Table'!G$5,E283='Euro Age Table'!C$6,'Euro Age Table'!G$6,E283='Euro Age Table'!C$7,'Euro Age Table'!G$7,E283='Euro Age Table'!C$8,'Euro Age Table'!G$8,E283='Euro Age Table'!C$9,'Euro Age Table'!G$9,E283='Euro Age Table'!C$10,'Euro Age Table'!G$10,E283='Euro Age Table'!C$11,'Euro Age Table'!G$11)</f>
        <v>13</v>
      </c>
      <c r="Y283" s="46">
        <f>X283*'Eilat Car Data'!F$8</f>
        <v>733200</v>
      </c>
      <c r="Z283" s="46">
        <f>'T3 N2O HDV'!C35</f>
        <v>12.8</v>
      </c>
      <c r="AA283" s="124">
        <f t="shared" si="18"/>
        <v>51448.576900806205</v>
      </c>
    </row>
    <row r="284" spans="1:27" ht="12.5">
      <c r="A284" s="49" t="s">
        <v>8</v>
      </c>
      <c r="B284" s="49" t="s">
        <v>22</v>
      </c>
      <c r="C284" s="49" t="s">
        <v>67</v>
      </c>
      <c r="D284" s="49" t="s">
        <v>90</v>
      </c>
      <c r="E284" s="50" t="s">
        <v>59</v>
      </c>
      <c r="F284" s="97">
        <v>1.1580775911986103E-2</v>
      </c>
      <c r="G284" s="99">
        <f t="shared" si="19"/>
        <v>0.46323103647944408</v>
      </c>
      <c r="H284" s="46"/>
      <c r="I284" s="46">
        <f>G284*'Eilat Car Data'!F$8</f>
        <v>26126.230457440644</v>
      </c>
      <c r="J284" s="46">
        <f>I284*'Tier 1 Coefficients'!I$10</f>
        <v>6270295.3097857544</v>
      </c>
      <c r="K284" s="46">
        <f t="shared" si="16"/>
        <v>6270.2953097857544</v>
      </c>
      <c r="L284" s="46">
        <f>K284*'Tier 1 Coefficients'!D$4</f>
        <v>19870.565836711055</v>
      </c>
      <c r="M284" s="46">
        <f>K284*'Tier 1 Coefficients'!C$21</f>
        <v>15926.550086855816</v>
      </c>
      <c r="N284" s="46">
        <f>K284*'Tier 1 Coefficients'!C$45</f>
        <v>319.78506079907345</v>
      </c>
      <c r="O284" s="46">
        <f>I284*'Tier 2 FC'!D$44</f>
        <v>7863995.3676896337</v>
      </c>
      <c r="P284" s="46">
        <f t="shared" si="17"/>
        <v>7863.9953676896339</v>
      </c>
      <c r="Q284" s="46">
        <f>P284*'Tier 1 Coefficients'!D$4</f>
        <v>24921.001320208448</v>
      </c>
      <c r="R284" s="46">
        <f>$I284*'T2 Bus'!C11</f>
        <v>836.03937463810064</v>
      </c>
      <c r="S284" s="46">
        <f>$I284*'T2 Bus'!D11</f>
        <v>6923.4510712217707</v>
      </c>
      <c r="T284" s="46">
        <f>44.011*(P284/(12.011+1.008*'Tier 3 CO2 Tables'!B$4+16*'Tier 3 CO2 Tables'!C$4))</f>
        <v>24924.765310328799</v>
      </c>
      <c r="U284" s="46">
        <f>I284*'Tier 3 CO2 Tables'!H$11/10000</f>
        <v>22.20729588882455</v>
      </c>
      <c r="V284" s="46">
        <f>44.011*(U284/(12.011+1.008*'Tier 3 CO2 Tables'!B$6+16*'Tier 3 CO2 Tables'!C$6))</f>
        <v>69.279149408622374</v>
      </c>
      <c r="W284" s="46">
        <f>I284*'T3 Methane'!D$29</f>
        <v>2220729.5888824547</v>
      </c>
      <c r="X284" s="46" cm="1">
        <f t="array" ref="X284">_xlfn.IFS(E284='Euro Age Table'!C$5,'Euro Age Table'!G$5,E284='Euro Age Table'!C$6,'Euro Age Table'!G$6,E284='Euro Age Table'!C$7,'Euro Age Table'!G$7,E284='Euro Age Table'!C$8,'Euro Age Table'!G$8,E284='Euro Age Table'!C$9,'Euro Age Table'!G$9,E284='Euro Age Table'!C$10,'Euro Age Table'!G$10,E284='Euro Age Table'!C$11,'Euro Age Table'!G$11)</f>
        <v>9</v>
      </c>
      <c r="Y284" s="46">
        <f>X284*'Eilat Car Data'!F$8</f>
        <v>507600</v>
      </c>
      <c r="Z284" s="46">
        <f>'T3 N2O HDV'!C36</f>
        <v>33.200000000000003</v>
      </c>
      <c r="AA284" s="124">
        <f t="shared" si="18"/>
        <v>867390.8511870295</v>
      </c>
    </row>
    <row r="285" spans="1:27" ht="12.5">
      <c r="A285" s="49" t="s">
        <v>8</v>
      </c>
      <c r="B285" s="49" t="s">
        <v>22</v>
      </c>
      <c r="C285" s="49" t="s">
        <v>67</v>
      </c>
      <c r="D285" s="51" t="s">
        <v>90</v>
      </c>
      <c r="E285" s="50" t="s">
        <v>60</v>
      </c>
      <c r="F285" s="97">
        <v>2.9397354238118571E-2</v>
      </c>
      <c r="G285" s="99">
        <f t="shared" si="19"/>
        <v>1.1758941695247429</v>
      </c>
      <c r="H285" s="46"/>
      <c r="I285" s="46">
        <f>G285*'Eilat Car Data'!F$8</f>
        <v>66320.431161195505</v>
      </c>
      <c r="J285" s="46">
        <f>I285*'Tier 1 Coefficients'!I$10</f>
        <v>15916903.478686921</v>
      </c>
      <c r="K285" s="46">
        <f t="shared" si="16"/>
        <v>15916.903478686922</v>
      </c>
      <c r="L285" s="46">
        <f>K285*'Tier 1 Coefficients'!D$4</f>
        <v>50440.667123958854</v>
      </c>
      <c r="M285" s="46">
        <f>K285*'Tier 1 Coefficients'!C$21</f>
        <v>40428.934835864784</v>
      </c>
      <c r="N285" s="46">
        <f>K285*'Tier 1 Coefficients'!C$45</f>
        <v>811.7620774130329</v>
      </c>
      <c r="O285" s="46">
        <f>I285*'Tier 2 FC'!D$44</f>
        <v>19962449.779519849</v>
      </c>
      <c r="P285" s="46">
        <f t="shared" si="17"/>
        <v>19962.449779519848</v>
      </c>
      <c r="Q285" s="46">
        <f>P285*'Tier 1 Coefficients'!D$4</f>
        <v>63261.003351298401</v>
      </c>
      <c r="R285" s="46">
        <f>$I285*'T2 Bus'!C12</f>
        <v>2652.8172464478203</v>
      </c>
      <c r="S285" s="46">
        <f>$I285*'T2 Bus'!D12</f>
        <v>17574.91425771681</v>
      </c>
      <c r="T285" s="46">
        <f>44.011*(P285/(12.011+1.008*'Tier 3 CO2 Tables'!B$4+16*'Tier 3 CO2 Tables'!C$4))</f>
        <v>63270.558095450062</v>
      </c>
      <c r="U285" s="46">
        <f>I285*'Tier 3 CO2 Tables'!H$12/10000</f>
        <v>5.6372366487016183</v>
      </c>
      <c r="V285" s="46">
        <f>44.011*(U285/(12.011+1.008*'Tier 3 CO2 Tables'!B$6+16*'Tier 3 CO2 Tables'!C$6))</f>
        <v>17.586245619111839</v>
      </c>
      <c r="W285" s="46">
        <f>I285*'T3 Methane'!D$29</f>
        <v>5637236.6487016175</v>
      </c>
      <c r="X285" s="46" cm="1">
        <f t="array" ref="X285">_xlfn.IFS(E285='Euro Age Table'!C$5,'Euro Age Table'!G$5,E285='Euro Age Table'!C$6,'Euro Age Table'!G$6,E285='Euro Age Table'!C$7,'Euro Age Table'!G$7,E285='Euro Age Table'!C$8,'Euro Age Table'!G$8,E285='Euro Age Table'!C$9,'Euro Age Table'!G$9,E285='Euro Age Table'!C$10,'Euro Age Table'!G$10,E285='Euro Age Table'!C$11,'Euro Age Table'!G$11)</f>
        <v>3</v>
      </c>
      <c r="Y285" s="46">
        <f>X285*'Eilat Car Data'!F$8</f>
        <v>169200</v>
      </c>
      <c r="Z285" s="46">
        <f>'T3 N2O HDV'!C37</f>
        <v>41.5</v>
      </c>
      <c r="AA285" s="124">
        <f t="shared" si="18"/>
        <v>2752297.8931896137</v>
      </c>
    </row>
    <row r="286" spans="1:27" ht="12.5">
      <c r="A286" s="49" t="s">
        <v>8</v>
      </c>
      <c r="B286" s="49" t="s">
        <v>22</v>
      </c>
      <c r="C286" s="49" t="s">
        <v>67</v>
      </c>
      <c r="D286" s="49" t="s">
        <v>91</v>
      </c>
      <c r="E286" s="50" t="s">
        <v>54</v>
      </c>
      <c r="F286" s="97">
        <v>4.4541445815331164E-5</v>
      </c>
      <c r="G286" s="99">
        <f t="shared" si="19"/>
        <v>1.7816578326132464E-3</v>
      </c>
      <c r="H286" s="46"/>
      <c r="I286" s="46">
        <f>G286*'Eilat Car Data'!F$8</f>
        <v>100.48550175938711</v>
      </c>
      <c r="J286" s="46">
        <f>I286*'Tier 1 Coefficients'!I$10</f>
        <v>24116.520422252906</v>
      </c>
      <c r="K286" s="46">
        <f t="shared" si="16"/>
        <v>24.116520422252908</v>
      </c>
      <c r="L286" s="46">
        <f>K286*'Tier 1 Coefficients'!D$4</f>
        <v>76.425253218119465</v>
      </c>
      <c r="M286" s="46">
        <f>K286*'Tier 1 Coefficients'!C$21</f>
        <v>61.255961872522384</v>
      </c>
      <c r="N286" s="46">
        <f>K286*'Tier 1 Coefficients'!C$45</f>
        <v>1.2299425415348981</v>
      </c>
      <c r="O286" s="46">
        <f>I286*'Tier 2 FC'!D$43</f>
        <v>36777.69364393568</v>
      </c>
      <c r="P286" s="46">
        <f t="shared" si="17"/>
        <v>36.777693643935677</v>
      </c>
      <c r="Q286" s="46">
        <f>P286*'Tier 1 Coefficients'!D$4</f>
        <v>116.54851115763216</v>
      </c>
      <c r="R286" s="46">
        <f>$I286*'T2 Bus'!C6</f>
        <v>2.9140795510222262</v>
      </c>
      <c r="S286" s="46">
        <f>$I286*'T2 Bus'!D6</f>
        <v>266.2865796623758</v>
      </c>
      <c r="T286" s="46">
        <f>44.011*(P286/(12.011+1.008*'Tier 3 CO2 Tables'!B$4+16*'Tier 3 CO2 Tables'!C$4))</f>
        <v>116.56611428035191</v>
      </c>
      <c r="U286" s="46">
        <f>I286*'Tier 3 CO2 Tables'!H$11/10000</f>
        <v>8.541267649547904E-2</v>
      </c>
      <c r="V286" s="46">
        <f>44.011*(U286/(12.011+1.008*'Tier 3 CO2 Tables'!B$6+16*'Tier 3 CO2 Tables'!C$6))</f>
        <v>0.26645826695623986</v>
      </c>
      <c r="W286" s="46">
        <f>I286*'T3 Methane'!D$30</f>
        <v>17584.962807892742</v>
      </c>
      <c r="X286" s="46" cm="1">
        <f t="array" ref="X286">_xlfn.IFS(E286='Euro Age Table'!C$5,'Euro Age Table'!G$5,E286='Euro Age Table'!C$6,'Euro Age Table'!G$6,E286='Euro Age Table'!C$7,'Euro Age Table'!G$7,E286='Euro Age Table'!C$8,'Euro Age Table'!G$8,E286='Euro Age Table'!C$9,'Euro Age Table'!G$9,E286='Euro Age Table'!C$10,'Euro Age Table'!G$10,E286='Euro Age Table'!C$11,'Euro Age Table'!G$11)</f>
        <v>27</v>
      </c>
      <c r="Y286" s="46">
        <f>X286*'Eilat Car Data'!F$8</f>
        <v>1522800</v>
      </c>
      <c r="Z286" s="46">
        <f>'T3 N2O HDV'!C31</f>
        <v>30</v>
      </c>
      <c r="AA286" s="124">
        <f t="shared" si="18"/>
        <v>3014.5650527816133</v>
      </c>
    </row>
    <row r="287" spans="1:27" ht="12.5">
      <c r="A287" s="49" t="s">
        <v>8</v>
      </c>
      <c r="B287" s="49" t="s">
        <v>22</v>
      </c>
      <c r="C287" s="49" t="s">
        <v>67</v>
      </c>
      <c r="D287" s="49" t="s">
        <v>91</v>
      </c>
      <c r="E287" s="50" t="s">
        <v>55</v>
      </c>
      <c r="F287" s="97">
        <v>0</v>
      </c>
      <c r="G287" s="99">
        <f t="shared" si="19"/>
        <v>0</v>
      </c>
      <c r="H287" s="46"/>
      <c r="I287" s="46">
        <f>G287*'Eilat Car Data'!F$8</f>
        <v>0</v>
      </c>
      <c r="J287" s="46">
        <f>I287*'Tier 1 Coefficients'!I$10</f>
        <v>0</v>
      </c>
      <c r="K287" s="46">
        <f t="shared" si="16"/>
        <v>0</v>
      </c>
      <c r="L287" s="46">
        <f>K287*'Tier 1 Coefficients'!D$4</f>
        <v>0</v>
      </c>
      <c r="M287" s="46">
        <f>K287*'Tier 1 Coefficients'!C$21</f>
        <v>0</v>
      </c>
      <c r="N287" s="46">
        <f>K287*'Tier 1 Coefficients'!C$45</f>
        <v>0</v>
      </c>
      <c r="O287" s="46">
        <f>I287*'Tier 2 FC'!D$44</f>
        <v>0</v>
      </c>
      <c r="P287" s="46">
        <f t="shared" si="17"/>
        <v>0</v>
      </c>
      <c r="Q287" s="46">
        <f>P287*'Tier 1 Coefficients'!D$4</f>
        <v>0</v>
      </c>
      <c r="R287" s="46">
        <f>$I287*'T2 Bus'!C7</f>
        <v>0</v>
      </c>
      <c r="S287" s="46">
        <f>$I287*'T2 Bus'!D7</f>
        <v>0</v>
      </c>
      <c r="T287" s="46">
        <f>44.011*(P287/(12.011+1.008*'Tier 3 CO2 Tables'!B$4+16*'Tier 3 CO2 Tables'!C$4))</f>
        <v>0</v>
      </c>
      <c r="U287" s="46">
        <f>I287*'Tier 3 CO2 Tables'!H$11/10000</f>
        <v>0</v>
      </c>
      <c r="V287" s="46">
        <f>44.011*(U287/(12.011+1.008*'Tier 3 CO2 Tables'!B$6+16*'Tier 3 CO2 Tables'!C$6))</f>
        <v>0</v>
      </c>
      <c r="W287" s="46">
        <f>I287*'T3 Methane'!D$30</f>
        <v>0</v>
      </c>
      <c r="X287" s="46" cm="1">
        <f t="array" ref="X287">_xlfn.IFS(E287='Euro Age Table'!C$5,'Euro Age Table'!G$5,E287='Euro Age Table'!C$6,'Euro Age Table'!G$6,E287='Euro Age Table'!C$7,'Euro Age Table'!G$7,E287='Euro Age Table'!C$8,'Euro Age Table'!G$8,E287='Euro Age Table'!C$9,'Euro Age Table'!G$9,E287='Euro Age Table'!C$10,'Euro Age Table'!G$10,E287='Euro Age Table'!C$11,'Euro Age Table'!G$11)</f>
        <v>23</v>
      </c>
      <c r="Y287" s="46">
        <f>X287*'Eilat Car Data'!F$8</f>
        <v>1297200</v>
      </c>
      <c r="Z287" s="46">
        <f>'T3 N2O HDV'!C32</f>
        <v>12</v>
      </c>
      <c r="AA287" s="124">
        <f t="shared" si="18"/>
        <v>0</v>
      </c>
    </row>
    <row r="288" spans="1:27" ht="12.5">
      <c r="A288" s="49" t="s">
        <v>8</v>
      </c>
      <c r="B288" s="49" t="s">
        <v>22</v>
      </c>
      <c r="C288" s="49" t="s">
        <v>67</v>
      </c>
      <c r="D288" s="49" t="s">
        <v>91</v>
      </c>
      <c r="E288" s="50" t="s">
        <v>56</v>
      </c>
      <c r="F288" s="97">
        <v>4.4541445815331164E-5</v>
      </c>
      <c r="G288" s="99">
        <f t="shared" si="19"/>
        <v>1.7816578326132464E-3</v>
      </c>
      <c r="H288" s="46"/>
      <c r="I288" s="46">
        <f>G288*'Eilat Car Data'!F$8</f>
        <v>100.48550175938711</v>
      </c>
      <c r="J288" s="46">
        <f>I288*'Tier 1 Coefficients'!I$10</f>
        <v>24116.520422252906</v>
      </c>
      <c r="K288" s="46">
        <f t="shared" si="16"/>
        <v>24.116520422252908</v>
      </c>
      <c r="L288" s="46">
        <f>K288*'Tier 1 Coefficients'!D$4</f>
        <v>76.425253218119465</v>
      </c>
      <c r="M288" s="46">
        <f>K288*'Tier 1 Coefficients'!C$21</f>
        <v>61.255961872522384</v>
      </c>
      <c r="N288" s="46">
        <f>K288*'Tier 1 Coefficients'!C$45</f>
        <v>1.2299425415348981</v>
      </c>
      <c r="O288" s="46">
        <f>I288*'Tier 2 FC'!D$44</f>
        <v>30246.136029575518</v>
      </c>
      <c r="P288" s="46">
        <f t="shared" si="17"/>
        <v>30.246136029575517</v>
      </c>
      <c r="Q288" s="46">
        <f>P288*'Tier 1 Coefficients'!D$4</f>
        <v>95.850005077724816</v>
      </c>
      <c r="R288" s="46">
        <f>$I288*'T2 Bus'!C8</f>
        <v>12.058260211126452</v>
      </c>
      <c r="S288" s="46">
        <f>$I288*'T2 Bus'!D8</f>
        <v>148.71854260389293</v>
      </c>
      <c r="T288" s="46">
        <f>44.011*(P288/(12.011+1.008*'Tier 3 CO2 Tables'!B$4+16*'Tier 3 CO2 Tables'!C$4))</f>
        <v>95.864481962803083</v>
      </c>
      <c r="U288" s="46">
        <f>I288*'Tier 3 CO2 Tables'!H$11/10000</f>
        <v>8.541267649547904E-2</v>
      </c>
      <c r="V288" s="46">
        <f>44.011*(U288/(12.011+1.008*'Tier 3 CO2 Tables'!B$6+16*'Tier 3 CO2 Tables'!C$6))</f>
        <v>0.26645826695623986</v>
      </c>
      <c r="W288" s="46">
        <f>I288*'T3 Methane'!D$30</f>
        <v>17584.962807892742</v>
      </c>
      <c r="X288" s="46" cm="1">
        <f t="array" ref="X288">_xlfn.IFS(E288='Euro Age Table'!C$5,'Euro Age Table'!G$5,E288='Euro Age Table'!C$6,'Euro Age Table'!G$6,E288='Euro Age Table'!C$7,'Euro Age Table'!G$7,E288='Euro Age Table'!C$8,'Euro Age Table'!G$8,E288='Euro Age Table'!C$9,'Euro Age Table'!G$9,E288='Euro Age Table'!C$10,'Euro Age Table'!G$10,E288='Euro Age Table'!C$11,'Euro Age Table'!G$11)</f>
        <v>18</v>
      </c>
      <c r="Y288" s="46">
        <f>X288*'Eilat Car Data'!F$8</f>
        <v>1015200</v>
      </c>
      <c r="Z288" s="46">
        <f>'T3 N2O HDV'!C33</f>
        <v>12</v>
      </c>
      <c r="AA288" s="124">
        <f t="shared" si="18"/>
        <v>1205.8260211126453</v>
      </c>
    </row>
    <row r="289" spans="1:27" ht="12.5">
      <c r="A289" s="49" t="s">
        <v>8</v>
      </c>
      <c r="B289" s="49" t="s">
        <v>22</v>
      </c>
      <c r="C289" s="49" t="s">
        <v>67</v>
      </c>
      <c r="D289" s="49" t="s">
        <v>91</v>
      </c>
      <c r="E289" s="50" t="s">
        <v>57</v>
      </c>
      <c r="F289" s="97">
        <v>8.9082891630662327E-5</v>
      </c>
      <c r="G289" s="99">
        <f t="shared" si="19"/>
        <v>3.5633156652264929E-3</v>
      </c>
      <c r="H289" s="46"/>
      <c r="I289" s="46">
        <f>G289*'Eilat Car Data'!F$8</f>
        <v>200.97100351877421</v>
      </c>
      <c r="J289" s="46">
        <f>I289*'Tier 1 Coefficients'!I$10</f>
        <v>48233.040844505813</v>
      </c>
      <c r="K289" s="46">
        <f t="shared" si="16"/>
        <v>48.233040844505815</v>
      </c>
      <c r="L289" s="46">
        <f>K289*'Tier 1 Coefficients'!D$4</f>
        <v>152.85050643623893</v>
      </c>
      <c r="M289" s="46">
        <f>K289*'Tier 1 Coefficients'!C$21</f>
        <v>122.51192374504477</v>
      </c>
      <c r="N289" s="46">
        <f>K289*'Tier 1 Coefficients'!C$45</f>
        <v>2.4598850830697963</v>
      </c>
      <c r="O289" s="46">
        <f>I289*'Tier 2 FC'!D$44</f>
        <v>60492.272059151037</v>
      </c>
      <c r="P289" s="46">
        <f t="shared" si="17"/>
        <v>60.492272059151034</v>
      </c>
      <c r="Q289" s="46">
        <f>P289*'Tier 1 Coefficients'!D$4</f>
        <v>191.70001015544963</v>
      </c>
      <c r="R289" s="46">
        <f>$I289*'T2 Bus'!C9</f>
        <v>0.20097100351877423</v>
      </c>
      <c r="S289" s="46">
        <f>$I289*'T2 Bus'!D9</f>
        <v>173.03603402966459</v>
      </c>
      <c r="T289" s="46">
        <f>44.011*(P289/(12.011+1.008*'Tier 3 CO2 Tables'!B$4+16*'Tier 3 CO2 Tables'!C$4))</f>
        <v>191.72896392560617</v>
      </c>
      <c r="U289" s="46">
        <f>I289*'Tier 3 CO2 Tables'!H$11/10000</f>
        <v>0.17082535299095808</v>
      </c>
      <c r="V289" s="46">
        <f>44.011*(U289/(12.011+1.008*'Tier 3 CO2 Tables'!B$6+16*'Tier 3 CO2 Tables'!C$6))</f>
        <v>0.53291653391247973</v>
      </c>
      <c r="W289" s="46">
        <f>I289*'T3 Methane'!D$30</f>
        <v>35169.925615785483</v>
      </c>
      <c r="X289" s="46" cm="1">
        <f t="array" ref="X289">_xlfn.IFS(E289='Euro Age Table'!C$5,'Euro Age Table'!G$5,E289='Euro Age Table'!C$6,'Euro Age Table'!G$6,E289='Euro Age Table'!C$7,'Euro Age Table'!G$7,E289='Euro Age Table'!C$8,'Euro Age Table'!G$8,E289='Euro Age Table'!C$9,'Euro Age Table'!G$9,E289='Euro Age Table'!C$10,'Euro Age Table'!G$10,E289='Euro Age Table'!C$11,'Euro Age Table'!G$11)</f>
        <v>16</v>
      </c>
      <c r="Y289" s="46">
        <f>X289*'Eilat Car Data'!F$8</f>
        <v>902400</v>
      </c>
      <c r="Z289" s="46">
        <f>'T3 N2O HDV'!C34</f>
        <v>6</v>
      </c>
      <c r="AA289" s="124">
        <f t="shared" si="18"/>
        <v>1205.8260211126453</v>
      </c>
    </row>
    <row r="290" spans="1:27" ht="12.5">
      <c r="A290" s="49" t="s">
        <v>8</v>
      </c>
      <c r="B290" s="49" t="s">
        <v>22</v>
      </c>
      <c r="C290" s="49" t="s">
        <v>67</v>
      </c>
      <c r="D290" s="49" t="s">
        <v>91</v>
      </c>
      <c r="E290" s="50" t="s">
        <v>58</v>
      </c>
      <c r="F290" s="97">
        <v>1.2917019286446038E-3</v>
      </c>
      <c r="G290" s="99">
        <f t="shared" si="19"/>
        <v>5.1668077145784155E-2</v>
      </c>
      <c r="H290" s="46"/>
      <c r="I290" s="46">
        <f>G290*'Eilat Car Data'!F$8</f>
        <v>2914.0795510222265</v>
      </c>
      <c r="J290" s="46">
        <f>I290*'Tier 1 Coefficients'!I$10</f>
        <v>699379.09224533441</v>
      </c>
      <c r="K290" s="46">
        <f t="shared" si="16"/>
        <v>699.37909224533439</v>
      </c>
      <c r="L290" s="46">
        <f>K290*'Tier 1 Coefficients'!D$4</f>
        <v>2216.3323433254645</v>
      </c>
      <c r="M290" s="46">
        <f>K290*'Tier 1 Coefficients'!C$21</f>
        <v>1776.4228943031494</v>
      </c>
      <c r="N290" s="46">
        <f>K290*'Tier 1 Coefficients'!C$45</f>
        <v>35.668333704512051</v>
      </c>
      <c r="O290" s="46">
        <f>I290*'Tier 2 FC'!D$44</f>
        <v>877137.94485769013</v>
      </c>
      <c r="P290" s="46">
        <f t="shared" si="17"/>
        <v>877.13794485769017</v>
      </c>
      <c r="Q290" s="46">
        <f>P290*'Tier 1 Coefficients'!D$4</f>
        <v>2779.6501472540203</v>
      </c>
      <c r="R290" s="46">
        <f>$I290*'T2 Bus'!C10</f>
        <v>34.968954612266721</v>
      </c>
      <c r="S290" s="46">
        <f>$I290*'T2 Bus'!D10</f>
        <v>772.23108102089009</v>
      </c>
      <c r="T290" s="46">
        <f>44.011*(P290/(12.011+1.008*'Tier 3 CO2 Tables'!B$4+16*'Tier 3 CO2 Tables'!C$4))</f>
        <v>2780.0699769212902</v>
      </c>
      <c r="U290" s="46">
        <f>I290*'Tier 3 CO2 Tables'!H$11/10000</f>
        <v>2.4769676183688922</v>
      </c>
      <c r="V290" s="46">
        <f>44.011*(U290/(12.011+1.008*'Tier 3 CO2 Tables'!B$6+16*'Tier 3 CO2 Tables'!C$6))</f>
        <v>7.7272897417309574</v>
      </c>
      <c r="W290" s="46">
        <f>I290*'T3 Methane'!D$30</f>
        <v>509963.92142888962</v>
      </c>
      <c r="X290" s="46" cm="1">
        <f t="array" ref="X290">_xlfn.IFS(E290='Euro Age Table'!C$5,'Euro Age Table'!G$5,E290='Euro Age Table'!C$6,'Euro Age Table'!G$6,E290='Euro Age Table'!C$7,'Euro Age Table'!G$7,E290='Euro Age Table'!C$8,'Euro Age Table'!G$8,E290='Euro Age Table'!C$9,'Euro Age Table'!G$9,E290='Euro Age Table'!C$10,'Euro Age Table'!G$10,E290='Euro Age Table'!C$11,'Euro Age Table'!G$11)</f>
        <v>13</v>
      </c>
      <c r="Y290" s="46">
        <f>X290*'Eilat Car Data'!F$8</f>
        <v>733200</v>
      </c>
      <c r="Z290" s="46">
        <f>'T3 N2O HDV'!C35</f>
        <v>12.8</v>
      </c>
      <c r="AA290" s="124">
        <f t="shared" si="18"/>
        <v>37300.218253084502</v>
      </c>
    </row>
    <row r="291" spans="1:27" ht="12.5">
      <c r="A291" s="49" t="s">
        <v>8</v>
      </c>
      <c r="B291" s="49" t="s">
        <v>22</v>
      </c>
      <c r="C291" s="49" t="s">
        <v>67</v>
      </c>
      <c r="D291" s="49" t="s">
        <v>91</v>
      </c>
      <c r="E291" s="50" t="s">
        <v>59</v>
      </c>
      <c r="F291" s="97">
        <v>3.1624426528885129E-3</v>
      </c>
      <c r="G291" s="99">
        <f t="shared" si="19"/>
        <v>0.12649770611554051</v>
      </c>
      <c r="H291" s="46"/>
      <c r="I291" s="46">
        <f>G291*'Eilat Car Data'!F$8</f>
        <v>7134.4706249164847</v>
      </c>
      <c r="J291" s="46">
        <f>I291*'Tier 1 Coefficients'!I$10</f>
        <v>1712272.9499799563</v>
      </c>
      <c r="K291" s="46">
        <f t="shared" si="16"/>
        <v>1712.2729499799564</v>
      </c>
      <c r="L291" s="46">
        <f>K291*'Tier 1 Coefficients'!D$4</f>
        <v>5426.1929784864815</v>
      </c>
      <c r="M291" s="46">
        <f>K291*'Tier 1 Coefficients'!C$21</f>
        <v>4349.173292949089</v>
      </c>
      <c r="N291" s="46">
        <f>K291*'Tier 1 Coefficients'!C$45</f>
        <v>87.325920448977769</v>
      </c>
      <c r="O291" s="46">
        <f>I291*'Tier 2 FC'!D$44</f>
        <v>2147475.6580998618</v>
      </c>
      <c r="P291" s="46">
        <f t="shared" si="17"/>
        <v>2147.4756580998619</v>
      </c>
      <c r="Q291" s="46">
        <f>P291*'Tier 1 Coefficients'!D$4</f>
        <v>6805.3503605184624</v>
      </c>
      <c r="R291" s="46">
        <f>$I291*'T2 Bus'!C11</f>
        <v>228.30305999732752</v>
      </c>
      <c r="S291" s="46">
        <f>$I291*'T2 Bus'!D11</f>
        <v>1890.6347156028685</v>
      </c>
      <c r="T291" s="46">
        <f>44.011*(P291/(12.011+1.008*'Tier 3 CO2 Tables'!B$4+16*'Tier 3 CO2 Tables'!C$4))</f>
        <v>6806.3782193590196</v>
      </c>
      <c r="U291" s="46">
        <f>I291*'Tier 3 CO2 Tables'!H$11/10000</f>
        <v>6.0643000311790125</v>
      </c>
      <c r="V291" s="46">
        <f>44.011*(U291/(12.011+1.008*'Tier 3 CO2 Tables'!B$6+16*'Tier 3 CO2 Tables'!C$6))</f>
        <v>18.918536953893035</v>
      </c>
      <c r="W291" s="46">
        <f>I291*'T3 Methane'!D$30</f>
        <v>1248532.3593603848</v>
      </c>
      <c r="X291" s="46" cm="1">
        <f t="array" ref="X291">_xlfn.IFS(E291='Euro Age Table'!C$5,'Euro Age Table'!G$5,E291='Euro Age Table'!C$6,'Euro Age Table'!G$6,E291='Euro Age Table'!C$7,'Euro Age Table'!G$7,E291='Euro Age Table'!C$8,'Euro Age Table'!G$8,E291='Euro Age Table'!C$9,'Euro Age Table'!G$9,E291='Euro Age Table'!C$10,'Euro Age Table'!G$10,E291='Euro Age Table'!C$11,'Euro Age Table'!G$11)</f>
        <v>9</v>
      </c>
      <c r="Y291" s="46">
        <f>X291*'Eilat Car Data'!F$8</f>
        <v>507600</v>
      </c>
      <c r="Z291" s="46">
        <f>'T3 N2O HDV'!C36</f>
        <v>33.200000000000003</v>
      </c>
      <c r="AA291" s="124">
        <f t="shared" si="18"/>
        <v>236864.42474722731</v>
      </c>
    </row>
    <row r="292" spans="1:27" ht="12.5">
      <c r="A292" s="49" t="s">
        <v>8</v>
      </c>
      <c r="B292" s="49" t="s">
        <v>22</v>
      </c>
      <c r="C292" s="49" t="s">
        <v>67</v>
      </c>
      <c r="D292" s="49" t="s">
        <v>91</v>
      </c>
      <c r="E292" s="50" t="s">
        <v>60</v>
      </c>
      <c r="F292" s="97">
        <v>3.6523985568571557E-3</v>
      </c>
      <c r="G292" s="99">
        <f t="shared" si="19"/>
        <v>0.14609594227428624</v>
      </c>
      <c r="H292" s="46"/>
      <c r="I292" s="46">
        <f>G292*'Eilat Car Data'!F$8</f>
        <v>8239.8111442697445</v>
      </c>
      <c r="J292" s="46">
        <f>I292*'Tier 1 Coefficients'!I$10</f>
        <v>1977554.6746247387</v>
      </c>
      <c r="K292" s="46">
        <f t="shared" si="16"/>
        <v>1977.5546746247387</v>
      </c>
      <c r="L292" s="46">
        <f>K292*'Tier 1 Coefficients'!D$4</f>
        <v>6266.8707638857968</v>
      </c>
      <c r="M292" s="46">
        <f>K292*'Tier 1 Coefficients'!C$21</f>
        <v>5022.9888735468367</v>
      </c>
      <c r="N292" s="46">
        <f>K292*'Tier 1 Coefficients'!C$45</f>
        <v>100.85528840586167</v>
      </c>
      <c r="O292" s="46">
        <f>I292*'Tier 2 FC'!D$44</f>
        <v>2480183.1544251931</v>
      </c>
      <c r="P292" s="46">
        <f t="shared" si="17"/>
        <v>2480.1831544251932</v>
      </c>
      <c r="Q292" s="46">
        <f>P292*'Tier 1 Coefficients'!D$4</f>
        <v>7859.7004163734373</v>
      </c>
      <c r="R292" s="46">
        <f>$I292*'T2 Bus'!C12</f>
        <v>329.59244577078977</v>
      </c>
      <c r="S292" s="46">
        <f>$I292*'T2 Bus'!D12</f>
        <v>2183.5499532314825</v>
      </c>
      <c r="T292" s="46">
        <f>44.011*(P292/(12.011+1.008*'Tier 3 CO2 Tables'!B$4+16*'Tier 3 CO2 Tables'!C$4))</f>
        <v>7860.8875209498556</v>
      </c>
      <c r="U292" s="46">
        <f>I292*'Tier 3 CO2 Tables'!H$12/10000</f>
        <v>0.7003839472629283</v>
      </c>
      <c r="V292" s="46">
        <f>44.011*(U292/(12.011+1.008*'Tier 3 CO2 Tables'!B$6+16*'Tier 3 CO2 Tables'!C$6))</f>
        <v>2.1849577890411678</v>
      </c>
      <c r="W292" s="46">
        <f>I292*'T3 Methane'!D$30</f>
        <v>1441966.9502472053</v>
      </c>
      <c r="X292" s="46" cm="1">
        <f t="array" ref="X292">_xlfn.IFS(E292='Euro Age Table'!C$5,'Euro Age Table'!G$5,E292='Euro Age Table'!C$6,'Euro Age Table'!G$6,E292='Euro Age Table'!C$7,'Euro Age Table'!G$7,E292='Euro Age Table'!C$8,'Euro Age Table'!G$8,E292='Euro Age Table'!C$9,'Euro Age Table'!G$9,E292='Euro Age Table'!C$10,'Euro Age Table'!G$10,E292='Euro Age Table'!C$11,'Euro Age Table'!G$11)</f>
        <v>3</v>
      </c>
      <c r="Y292" s="46">
        <f>X292*'Eilat Car Data'!F$8</f>
        <v>169200</v>
      </c>
      <c r="Z292" s="46">
        <f>'T3 N2O HDV'!C37</f>
        <v>41.5</v>
      </c>
      <c r="AA292" s="124">
        <f t="shared" si="18"/>
        <v>341952.16248719441</v>
      </c>
    </row>
    <row r="293" spans="1:27" ht="12.5">
      <c r="A293" s="49" t="s">
        <v>8</v>
      </c>
      <c r="B293" s="49" t="s">
        <v>22</v>
      </c>
      <c r="C293" s="49" t="s">
        <v>67</v>
      </c>
      <c r="D293" s="52" t="s">
        <v>92</v>
      </c>
      <c r="E293" s="50" t="s">
        <v>55</v>
      </c>
      <c r="F293" s="97">
        <v>0</v>
      </c>
      <c r="G293" s="99">
        <f t="shared" si="19"/>
        <v>0</v>
      </c>
      <c r="H293" s="46"/>
      <c r="I293" s="46">
        <f>G293*'Eilat Car Data'!F$8</f>
        <v>0</v>
      </c>
      <c r="J293" s="46">
        <f>I293*'Tier 1 Coefficients'!I$10</f>
        <v>0</v>
      </c>
      <c r="K293" s="46">
        <f t="shared" si="16"/>
        <v>0</v>
      </c>
      <c r="L293" s="46">
        <f>K293*'Tier 1 Coefficients'!D$4</f>
        <v>0</v>
      </c>
      <c r="M293" s="46">
        <f>K293*'Tier 1 Coefficients'!C$21</f>
        <v>0</v>
      </c>
      <c r="N293" s="46">
        <f>K293*'Tier 1 Coefficients'!C$45</f>
        <v>0</v>
      </c>
      <c r="O293" s="46">
        <f>I293*'Tier 2 FC'!D$44</f>
        <v>0</v>
      </c>
      <c r="P293" s="46">
        <f t="shared" si="17"/>
        <v>0</v>
      </c>
      <c r="Q293" s="46">
        <f>P293*'Tier 1 Coefficients'!D$4</f>
        <v>0</v>
      </c>
      <c r="R293" s="46">
        <f>$I293*'T2 Bus'!C7</f>
        <v>0</v>
      </c>
      <c r="S293" s="46">
        <f>$I293*'T2 Bus'!D7</f>
        <v>0</v>
      </c>
      <c r="T293" s="46">
        <f>44.011*(P293/(12.011+1.008*'Tier 3 CO2 Tables'!B$4+16*'Tier 3 CO2 Tables'!C$4))</f>
        <v>0</v>
      </c>
      <c r="U293" s="46">
        <f>I293*'Tier 3 CO2 Tables'!H$11/10000</f>
        <v>0</v>
      </c>
      <c r="V293" s="46">
        <f>44.011*(U293/(12.011+1.008*'Tier 3 CO2 Tables'!B$6+16*'Tier 3 CO2 Tables'!C$6))</f>
        <v>0</v>
      </c>
      <c r="W293" s="46">
        <f>I293*'T3 Methane'!D$30</f>
        <v>0</v>
      </c>
      <c r="X293" s="46" cm="1">
        <f t="array" ref="X293">_xlfn.IFS(E293='Euro Age Table'!C$5,'Euro Age Table'!G$5,E293='Euro Age Table'!C$6,'Euro Age Table'!G$6,E293='Euro Age Table'!C$7,'Euro Age Table'!G$7,E293='Euro Age Table'!C$8,'Euro Age Table'!G$8,E293='Euro Age Table'!C$9,'Euro Age Table'!G$9,E293='Euro Age Table'!C$10,'Euro Age Table'!G$10,E293='Euro Age Table'!C$11,'Euro Age Table'!G$11)</f>
        <v>23</v>
      </c>
      <c r="Y293" s="46">
        <f>X293*'Eilat Car Data'!F$8</f>
        <v>1297200</v>
      </c>
      <c r="Z293" s="46">
        <f>'T3 N2O HDV'!C32</f>
        <v>12</v>
      </c>
      <c r="AA293" s="124">
        <f t="shared" si="18"/>
        <v>0</v>
      </c>
    </row>
    <row r="294" spans="1:27" ht="12.5">
      <c r="A294" s="49" t="s">
        <v>8</v>
      </c>
      <c r="B294" s="49" t="s">
        <v>22</v>
      </c>
      <c r="C294" s="49" t="s">
        <v>67</v>
      </c>
      <c r="D294" s="49" t="s">
        <v>92</v>
      </c>
      <c r="E294" s="50" t="s">
        <v>56</v>
      </c>
      <c r="F294" s="97">
        <v>9.7991180793728563E-4</v>
      </c>
      <c r="G294" s="99">
        <f t="shared" si="19"/>
        <v>3.9196472317491425E-2</v>
      </c>
      <c r="H294" s="46"/>
      <c r="I294" s="46">
        <f>G294*'Eilat Car Data'!F$8</f>
        <v>2210.6810387065166</v>
      </c>
      <c r="J294" s="46">
        <f>I294*'Tier 1 Coefficients'!I$10</f>
        <v>530563.44928956393</v>
      </c>
      <c r="K294" s="46">
        <f t="shared" si="16"/>
        <v>530.56344928956389</v>
      </c>
      <c r="L294" s="46">
        <f>K294*'Tier 1 Coefficients'!D$4</f>
        <v>1681.3555707986279</v>
      </c>
      <c r="M294" s="46">
        <f>K294*'Tier 1 Coefficients'!C$21</f>
        <v>1347.6311611954923</v>
      </c>
      <c r="N294" s="46">
        <f>K294*'Tier 1 Coefficients'!C$45</f>
        <v>27.058735913767755</v>
      </c>
      <c r="O294" s="46">
        <f>I294*'Tier 2 FC'!D$44</f>
        <v>665414.9926506615</v>
      </c>
      <c r="P294" s="46">
        <f t="shared" si="17"/>
        <v>665.41499265066147</v>
      </c>
      <c r="Q294" s="46">
        <f>P294*'Tier 1 Coefficients'!D$4</f>
        <v>2108.7001117099462</v>
      </c>
      <c r="R294" s="46">
        <f>$I294*'T2 Bus'!C8</f>
        <v>265.281724644782</v>
      </c>
      <c r="S294" s="46">
        <f>$I294*'T2 Bus'!D8</f>
        <v>3271.8079372856446</v>
      </c>
      <c r="T294" s="46">
        <f>44.011*(P294/(12.011+1.008*'Tier 3 CO2 Tables'!B$4+16*'Tier 3 CO2 Tables'!C$4))</f>
        <v>2109.0186031816679</v>
      </c>
      <c r="U294" s="46">
        <f>I294*'Tier 3 CO2 Tables'!H$11/10000</f>
        <v>1.8790788829005391</v>
      </c>
      <c r="V294" s="46">
        <f>44.011*(U294/(12.011+1.008*'Tier 3 CO2 Tables'!B$6+16*'Tier 3 CO2 Tables'!C$6))</f>
        <v>5.8620818730372779</v>
      </c>
      <c r="W294" s="46">
        <f>I294*'T3 Methane'!D$30</f>
        <v>386869.18177364039</v>
      </c>
      <c r="X294" s="46" cm="1">
        <f t="array" ref="X294">_xlfn.IFS(E294='Euro Age Table'!C$5,'Euro Age Table'!G$5,E294='Euro Age Table'!C$6,'Euro Age Table'!G$6,E294='Euro Age Table'!C$7,'Euro Age Table'!G$7,E294='Euro Age Table'!C$8,'Euro Age Table'!G$8,E294='Euro Age Table'!C$9,'Euro Age Table'!G$9,E294='Euro Age Table'!C$10,'Euro Age Table'!G$10,E294='Euro Age Table'!C$11,'Euro Age Table'!G$11)</f>
        <v>18</v>
      </c>
      <c r="Y294" s="46">
        <f>X294*'Eilat Car Data'!F$8</f>
        <v>1015200</v>
      </c>
      <c r="Z294" s="46">
        <f>'T3 N2O HDV'!C33</f>
        <v>12</v>
      </c>
      <c r="AA294" s="124">
        <f t="shared" si="18"/>
        <v>26528.172464478201</v>
      </c>
    </row>
    <row r="295" spans="1:27" ht="12.5">
      <c r="A295" s="49" t="s">
        <v>8</v>
      </c>
      <c r="B295" s="49" t="s">
        <v>22</v>
      </c>
      <c r="C295" s="49" t="s">
        <v>67</v>
      </c>
      <c r="D295" s="49" t="s">
        <v>92</v>
      </c>
      <c r="E295" s="50" t="s">
        <v>57</v>
      </c>
      <c r="F295" s="97">
        <v>1.1224444345463453E-2</v>
      </c>
      <c r="G295" s="99">
        <f t="shared" si="19"/>
        <v>0.4489777738185381</v>
      </c>
      <c r="H295" s="46"/>
      <c r="I295" s="46">
        <f>G295*'Eilat Car Data'!F$8</f>
        <v>25322.34644336555</v>
      </c>
      <c r="J295" s="46">
        <f>I295*'Tier 1 Coefficients'!I$10</f>
        <v>6077363.1464077318</v>
      </c>
      <c r="K295" s="46">
        <f t="shared" si="16"/>
        <v>6077.3631464077316</v>
      </c>
      <c r="L295" s="46">
        <f>K295*'Tier 1 Coefficients'!D$4</f>
        <v>19259.163810966103</v>
      </c>
      <c r="M295" s="46">
        <f>K295*'Tier 1 Coefficients'!C$21</f>
        <v>15436.502391875638</v>
      </c>
      <c r="N295" s="46">
        <f>K295*'Tier 1 Coefficients'!C$45</f>
        <v>309.94552046679428</v>
      </c>
      <c r="O295" s="46">
        <f>I295*'Tier 2 FC'!D$44</f>
        <v>7622026.2794530308</v>
      </c>
      <c r="P295" s="46">
        <f t="shared" si="17"/>
        <v>7622.0262794530308</v>
      </c>
      <c r="Q295" s="46">
        <f>P295*'Tier 1 Coefficients'!D$4</f>
        <v>24154.201279586654</v>
      </c>
      <c r="R295" s="46">
        <f>$I295*'T2 Bus'!C9</f>
        <v>25.32234644336555</v>
      </c>
      <c r="S295" s="46">
        <f>$I295*'T2 Bus'!D9</f>
        <v>21802.540287737738</v>
      </c>
      <c r="T295" s="46">
        <f>44.011*(P295/(12.011+1.008*'Tier 3 CO2 Tables'!B$4+16*'Tier 3 CO2 Tables'!C$4))</f>
        <v>24157.849454626379</v>
      </c>
      <c r="U295" s="46">
        <f>I295*'Tier 3 CO2 Tables'!H$11/10000</f>
        <v>21.523994476860718</v>
      </c>
      <c r="V295" s="46">
        <f>44.011*(U295/(12.011+1.008*'Tier 3 CO2 Tables'!B$6+16*'Tier 3 CO2 Tables'!C$6))</f>
        <v>67.147483272972451</v>
      </c>
      <c r="W295" s="46">
        <f>I295*'T3 Methane'!D$30</f>
        <v>4431410.6275889715</v>
      </c>
      <c r="X295" s="46" cm="1">
        <f t="array" ref="X295">_xlfn.IFS(E295='Euro Age Table'!C$5,'Euro Age Table'!G$5,E295='Euro Age Table'!C$6,'Euro Age Table'!G$6,E295='Euro Age Table'!C$7,'Euro Age Table'!G$7,E295='Euro Age Table'!C$8,'Euro Age Table'!G$8,E295='Euro Age Table'!C$9,'Euro Age Table'!G$9,E295='Euro Age Table'!C$10,'Euro Age Table'!G$10,E295='Euro Age Table'!C$11,'Euro Age Table'!G$11)</f>
        <v>16</v>
      </c>
      <c r="Y295" s="46">
        <f>X295*'Eilat Car Data'!F$8</f>
        <v>902400</v>
      </c>
      <c r="Z295" s="46">
        <f>'T3 N2O HDV'!C34</f>
        <v>6</v>
      </c>
      <c r="AA295" s="124">
        <f t="shared" si="18"/>
        <v>151934.07866019331</v>
      </c>
    </row>
    <row r="296" spans="1:27" ht="12.5">
      <c r="A296" s="49" t="s">
        <v>8</v>
      </c>
      <c r="B296" s="49" t="s">
        <v>22</v>
      </c>
      <c r="C296" s="49" t="s">
        <v>67</v>
      </c>
      <c r="D296" s="49" t="s">
        <v>92</v>
      </c>
      <c r="E296" s="50" t="s">
        <v>58</v>
      </c>
      <c r="F296" s="97">
        <v>6.4273306311522865E-2</v>
      </c>
      <c r="G296" s="99">
        <f t="shared" si="19"/>
        <v>2.5709322524609144</v>
      </c>
      <c r="H296" s="46"/>
      <c r="I296" s="46">
        <f>G296*'Eilat Car Data'!F$8</f>
        <v>145000.57903879558</v>
      </c>
      <c r="J296" s="46">
        <f>I296*'Tier 1 Coefficients'!I$10</f>
        <v>34800138.969310939</v>
      </c>
      <c r="K296" s="46">
        <f t="shared" si="16"/>
        <v>34800.138969310938</v>
      </c>
      <c r="L296" s="46">
        <f>K296*'Tier 1 Coefficients'!D$4</f>
        <v>110281.64039374636</v>
      </c>
      <c r="M296" s="46">
        <f>K296*'Tier 1 Coefficients'!C$21</f>
        <v>88392.352982049779</v>
      </c>
      <c r="N296" s="46">
        <f>K296*'Tier 1 Coefficients'!C$45</f>
        <v>1774.8070874348577</v>
      </c>
      <c r="O296" s="46">
        <f>I296*'Tier 2 FC'!D$44</f>
        <v>43645174.290677465</v>
      </c>
      <c r="P296" s="46">
        <f t="shared" si="17"/>
        <v>43645.174290677467</v>
      </c>
      <c r="Q296" s="46">
        <f>P296*'Tier 1 Coefficients'!D$4</f>
        <v>138311.55732715689</v>
      </c>
      <c r="R296" s="46">
        <f>$I296*'T2 Bus'!C10</f>
        <v>1740.0069484655469</v>
      </c>
      <c r="S296" s="46">
        <f>$I296*'T2 Bus'!D10</f>
        <v>38425.153445280834</v>
      </c>
      <c r="T296" s="46">
        <f>44.011*(P296/(12.011+1.008*'Tier 3 CO2 Tables'!B$4+16*'Tier 3 CO2 Tables'!C$4))</f>
        <v>138332.44747232483</v>
      </c>
      <c r="U296" s="46">
        <f>I296*'Tier 3 CO2 Tables'!H$11/10000</f>
        <v>123.25049218297625</v>
      </c>
      <c r="V296" s="46">
        <f>44.011*(U296/(12.011+1.008*'Tier 3 CO2 Tables'!B$6+16*'Tier 3 CO2 Tables'!C$6))</f>
        <v>384.49927921785417</v>
      </c>
      <c r="W296" s="46">
        <f>I296*'T3 Methane'!D$30</f>
        <v>25375101.331789225</v>
      </c>
      <c r="X296" s="46" cm="1">
        <f t="array" ref="X296">_xlfn.IFS(E296='Euro Age Table'!C$5,'Euro Age Table'!G$5,E296='Euro Age Table'!C$6,'Euro Age Table'!G$6,E296='Euro Age Table'!C$7,'Euro Age Table'!G$7,E296='Euro Age Table'!C$8,'Euro Age Table'!G$8,E296='Euro Age Table'!C$9,'Euro Age Table'!G$9,E296='Euro Age Table'!C$10,'Euro Age Table'!G$10,E296='Euro Age Table'!C$11,'Euro Age Table'!G$11)</f>
        <v>13</v>
      </c>
      <c r="Y296" s="46">
        <f>X296*'Eilat Car Data'!F$8</f>
        <v>733200</v>
      </c>
      <c r="Z296" s="46">
        <f>'T3 N2O HDV'!C35</f>
        <v>12.8</v>
      </c>
      <c r="AA296" s="124">
        <f t="shared" si="18"/>
        <v>1856007.4116965835</v>
      </c>
    </row>
    <row r="297" spans="1:27" ht="12.5">
      <c r="A297" s="49" t="s">
        <v>8</v>
      </c>
      <c r="B297" s="49" t="s">
        <v>22</v>
      </c>
      <c r="C297" s="49" t="s">
        <v>67</v>
      </c>
      <c r="D297" s="49" t="s">
        <v>92</v>
      </c>
      <c r="E297" s="50" t="s">
        <v>59</v>
      </c>
      <c r="F297" s="97">
        <v>0.18800944278651285</v>
      </c>
      <c r="G297" s="99">
        <f t="shared" si="19"/>
        <v>7.5203777114605144</v>
      </c>
      <c r="H297" s="46"/>
      <c r="I297" s="46">
        <f>G297*'Eilat Car Data'!F$8</f>
        <v>424149.30292637303</v>
      </c>
      <c r="J297" s="46">
        <f>I297*'Tier 1 Coefficients'!I$10</f>
        <v>101795832.70232953</v>
      </c>
      <c r="K297" s="46">
        <f t="shared" si="16"/>
        <v>101795.83270232953</v>
      </c>
      <c r="L297" s="46">
        <f>K297*'Tier 1 Coefficients'!D$4</f>
        <v>322590.99383368227</v>
      </c>
      <c r="M297" s="46">
        <f>K297*'Tier 1 Coefficients'!C$21</f>
        <v>258561.415063917</v>
      </c>
      <c r="N297" s="46">
        <f>K297*'Tier 1 Coefficients'!C$45</f>
        <v>5191.5874678188056</v>
      </c>
      <c r="O297" s="46">
        <f>I297*'Tier 2 FC'!D$44</f>
        <v>127668940.18083829</v>
      </c>
      <c r="P297" s="46">
        <f t="shared" si="17"/>
        <v>127668.94018083828</v>
      </c>
      <c r="Q297" s="46">
        <f>P297*'Tier 1 Coefficients'!D$4</f>
        <v>404582.87143307651</v>
      </c>
      <c r="R297" s="46">
        <f>$I297*'T2 Bus'!C11</f>
        <v>13572.777693643937</v>
      </c>
      <c r="S297" s="46">
        <f>$I297*'T2 Bus'!D11</f>
        <v>112399.56527548886</v>
      </c>
      <c r="T297" s="46">
        <f>44.011*(P297/(12.011+1.008*'Tier 3 CO2 Tables'!B$4+16*'Tier 3 CO2 Tables'!C$4))</f>
        <v>404643.9783649919</v>
      </c>
      <c r="U297" s="46">
        <f>I297*'Tier 3 CO2 Tables'!H$11/10000</f>
        <v>360.52690748741708</v>
      </c>
      <c r="V297" s="46">
        <f>44.011*(U297/(12.011+1.008*'Tier 3 CO2 Tables'!B$6+16*'Tier 3 CO2 Tables'!C$6))</f>
        <v>1124.7203448222888</v>
      </c>
      <c r="W297" s="46">
        <f>I297*'T3 Methane'!D$30</f>
        <v>74226128.012115285</v>
      </c>
      <c r="X297" s="46" cm="1">
        <f t="array" ref="X297">_xlfn.IFS(E297='Euro Age Table'!C$5,'Euro Age Table'!G$5,E297='Euro Age Table'!C$6,'Euro Age Table'!G$6,E297='Euro Age Table'!C$7,'Euro Age Table'!G$7,E297='Euro Age Table'!C$8,'Euro Age Table'!G$8,E297='Euro Age Table'!C$9,'Euro Age Table'!G$9,E297='Euro Age Table'!C$10,'Euro Age Table'!G$10,E297='Euro Age Table'!C$11,'Euro Age Table'!G$11)</f>
        <v>9</v>
      </c>
      <c r="Y297" s="46">
        <f>X297*'Eilat Car Data'!F$8</f>
        <v>507600</v>
      </c>
      <c r="Z297" s="46">
        <f>'T3 N2O HDV'!C36</f>
        <v>33.200000000000003</v>
      </c>
      <c r="AA297" s="124">
        <f t="shared" si="18"/>
        <v>14081756.857155586</v>
      </c>
    </row>
    <row r="298" spans="1:27" ht="12.5">
      <c r="A298" s="49" t="s">
        <v>8</v>
      </c>
      <c r="B298" s="49" t="s">
        <v>22</v>
      </c>
      <c r="C298" s="49" t="s">
        <v>67</v>
      </c>
      <c r="D298" s="51" t="s">
        <v>92</v>
      </c>
      <c r="E298" s="50" t="s">
        <v>60</v>
      </c>
      <c r="F298" s="97">
        <v>0.24965480379493118</v>
      </c>
      <c r="G298" s="99">
        <f t="shared" si="19"/>
        <v>9.9861921517972476</v>
      </c>
      <c r="H298" s="46"/>
      <c r="I298" s="46">
        <f>G298*'Eilat Car Data'!F$8</f>
        <v>563221.23736136477</v>
      </c>
      <c r="J298" s="46">
        <f>I298*'Tier 1 Coefficients'!I$10</f>
        <v>135173096.96672755</v>
      </c>
      <c r="K298" s="46">
        <f t="shared" si="16"/>
        <v>135173.09696672755</v>
      </c>
      <c r="L298" s="46">
        <f>K298*'Tier 1 Coefficients'!D$4</f>
        <v>428363.54428755963</v>
      </c>
      <c r="M298" s="46">
        <f>K298*'Tier 1 Coefficients'!C$21</f>
        <v>343339.66629548796</v>
      </c>
      <c r="N298" s="46">
        <f>K298*'Tier 1 Coefficients'!C$45</f>
        <v>6893.8279453031046</v>
      </c>
      <c r="O298" s="46">
        <f>I298*'Tier 2 FC'!D$44</f>
        <v>169529592.4457708</v>
      </c>
      <c r="P298" s="46">
        <f t="shared" si="17"/>
        <v>169529.5924457708</v>
      </c>
      <c r="Q298" s="46">
        <f>P298*'Tier 1 Coefficients'!D$4</f>
        <v>537239.27846064768</v>
      </c>
      <c r="R298" s="46">
        <f>$I298*'T2 Bus'!C12</f>
        <v>22528.849494454593</v>
      </c>
      <c r="S298" s="46">
        <f>$I298*'T2 Bus'!D12</f>
        <v>149253.62790076167</v>
      </c>
      <c r="T298" s="46">
        <f>44.011*(P298/(12.011+1.008*'Tier 3 CO2 Tables'!B$4+16*'Tier 3 CO2 Tables'!C$4))</f>
        <v>537320.42140151141</v>
      </c>
      <c r="U298" s="46">
        <f>I298*'Tier 3 CO2 Tables'!H$12/10000</f>
        <v>47.873805175716008</v>
      </c>
      <c r="V298" s="46">
        <f>44.011*(U298/(12.011+1.008*'Tier 3 CO2 Tables'!B$6+16*'Tier 3 CO2 Tables'!C$6))</f>
        <v>149.34985862897247</v>
      </c>
      <c r="W298" s="46">
        <f>I298*'T3 Methane'!D$30</f>
        <v>98563716.538238838</v>
      </c>
      <c r="X298" s="46" cm="1">
        <f t="array" ref="X298">_xlfn.IFS(E298='Euro Age Table'!C$5,'Euro Age Table'!G$5,E298='Euro Age Table'!C$6,'Euro Age Table'!G$6,E298='Euro Age Table'!C$7,'Euro Age Table'!G$7,E298='Euro Age Table'!C$8,'Euro Age Table'!G$8,E298='Euro Age Table'!C$9,'Euro Age Table'!G$9,E298='Euro Age Table'!C$10,'Euro Age Table'!G$10,E298='Euro Age Table'!C$11,'Euro Age Table'!G$11)</f>
        <v>3</v>
      </c>
      <c r="Y298" s="46">
        <f>X298*'Eilat Car Data'!F$8</f>
        <v>169200</v>
      </c>
      <c r="Z298" s="46">
        <f>'T3 N2O HDV'!C37</f>
        <v>41.5</v>
      </c>
      <c r="AA298" s="124">
        <f t="shared" si="18"/>
        <v>23373681.350496639</v>
      </c>
    </row>
    <row r="299" spans="1:27" ht="12.5">
      <c r="A299" s="52" t="s">
        <v>93</v>
      </c>
      <c r="B299" s="49" t="s">
        <v>22</v>
      </c>
      <c r="C299" s="49" t="s">
        <v>67</v>
      </c>
      <c r="D299" s="49" t="s">
        <v>90</v>
      </c>
      <c r="E299" s="50" t="s">
        <v>56</v>
      </c>
      <c r="F299" s="97">
        <v>0</v>
      </c>
      <c r="G299" s="99">
        <f t="shared" si="19"/>
        <v>0</v>
      </c>
      <c r="H299" s="46"/>
      <c r="I299" s="46">
        <f>G299*'Eilat Car Data'!F$8</f>
        <v>0</v>
      </c>
      <c r="J299" s="46">
        <f>I299*'Tier 1 Coefficients'!I$10</f>
        <v>0</v>
      </c>
      <c r="K299" s="46">
        <f t="shared" si="16"/>
        <v>0</v>
      </c>
      <c r="L299" s="46">
        <f>K299*'Tier 1 Coefficients'!D$4</f>
        <v>0</v>
      </c>
      <c r="M299" s="46">
        <f>K299*'Tier 1 Coefficients'!C$21</f>
        <v>0</v>
      </c>
      <c r="N299" s="46">
        <f>K299*'Tier 1 Coefficients'!C$45</f>
        <v>0</v>
      </c>
      <c r="O299" s="46">
        <f>I299*'Tier 2 FC'!D$44</f>
        <v>0</v>
      </c>
      <c r="P299" s="46">
        <f t="shared" si="17"/>
        <v>0</v>
      </c>
      <c r="Q299" s="46">
        <f>P299*'Tier 1 Coefficients'!D$4</f>
        <v>0</v>
      </c>
      <c r="R299" s="46">
        <f>$I299*'T2 Bus'!C8</f>
        <v>0</v>
      </c>
      <c r="S299" s="46">
        <f>$I299*'T2 Bus'!D8</f>
        <v>0</v>
      </c>
      <c r="T299" s="46">
        <f>44.011*(P299/(12.011+1.008*'Tier 3 CO2 Tables'!B$4+16*'Tier 3 CO2 Tables'!C$4))</f>
        <v>0</v>
      </c>
      <c r="U299" s="46">
        <f>I299*'Tier 3 CO2 Tables'!H$11/10000</f>
        <v>0</v>
      </c>
      <c r="V299" s="46">
        <f>44.011*(U299/(12.011+1.008*'Tier 3 CO2 Tables'!B$6+16*'Tier 3 CO2 Tables'!C$6))</f>
        <v>0</v>
      </c>
      <c r="W299" s="46">
        <f>I299*'T3 Methane'!D$29</f>
        <v>0</v>
      </c>
      <c r="X299" s="46" cm="1">
        <f t="array" ref="X299">_xlfn.IFS(E299='Euro Age Table'!C$5,'Euro Age Table'!G$5,E299='Euro Age Table'!C$6,'Euro Age Table'!G$6,E299='Euro Age Table'!C$7,'Euro Age Table'!G$7,E299='Euro Age Table'!C$8,'Euro Age Table'!G$8,E299='Euro Age Table'!C$9,'Euro Age Table'!G$9,E299='Euro Age Table'!C$10,'Euro Age Table'!G$10,E299='Euro Age Table'!C$11,'Euro Age Table'!G$11)</f>
        <v>18</v>
      </c>
      <c r="Y299" s="46">
        <f>X299*'Eilat Car Data'!F$8</f>
        <v>1015200</v>
      </c>
      <c r="Z299" s="46">
        <f>'T3 N2O HDV'!C26</f>
        <v>18</v>
      </c>
      <c r="AA299" s="124">
        <f t="shared" si="18"/>
        <v>0</v>
      </c>
    </row>
    <row r="300" spans="1:27" ht="12.5">
      <c r="A300" s="49" t="s">
        <v>93</v>
      </c>
      <c r="B300" s="49" t="s">
        <v>22</v>
      </c>
      <c r="C300" s="49" t="s">
        <v>67</v>
      </c>
      <c r="D300" s="49" t="s">
        <v>90</v>
      </c>
      <c r="E300" s="50" t="s">
        <v>57</v>
      </c>
      <c r="F300" s="97">
        <v>4.4541445815331164E-5</v>
      </c>
      <c r="G300" s="99">
        <f t="shared" si="19"/>
        <v>1.7816578326132464E-3</v>
      </c>
      <c r="H300" s="46"/>
      <c r="I300" s="46">
        <f>G300*'Eilat Car Data'!F$8</f>
        <v>100.48550175938711</v>
      </c>
      <c r="J300" s="46">
        <f>I300*'Tier 1 Coefficients'!I$10</f>
        <v>24116.520422252906</v>
      </c>
      <c r="K300" s="46">
        <f t="shared" si="16"/>
        <v>24.116520422252908</v>
      </c>
      <c r="L300" s="46">
        <f>K300*'Tier 1 Coefficients'!D$4</f>
        <v>76.425253218119465</v>
      </c>
      <c r="M300" s="46">
        <f>K300*'Tier 1 Coefficients'!C$21</f>
        <v>61.255961872522384</v>
      </c>
      <c r="N300" s="46">
        <f>K300*'Tier 1 Coefficients'!C$45</f>
        <v>1.2299425415348981</v>
      </c>
      <c r="O300" s="46">
        <f>I300*'Tier 2 FC'!D$44</f>
        <v>30246.136029575518</v>
      </c>
      <c r="P300" s="46">
        <f t="shared" si="17"/>
        <v>30.246136029575517</v>
      </c>
      <c r="Q300" s="46">
        <f>P300*'Tier 1 Coefficients'!D$4</f>
        <v>95.850005077724816</v>
      </c>
      <c r="R300" s="46">
        <f>$I300*'T2 Bus'!C9</f>
        <v>0.10048550175938711</v>
      </c>
      <c r="S300" s="46">
        <f>$I300*'T2 Bus'!D9</f>
        <v>86.518017014832296</v>
      </c>
      <c r="T300" s="46">
        <f>44.011*(P300/(12.011+1.008*'Tier 3 CO2 Tables'!B$4+16*'Tier 3 CO2 Tables'!C$4))</f>
        <v>95.864481962803083</v>
      </c>
      <c r="U300" s="46">
        <f>I300*'Tier 3 CO2 Tables'!H$11/10000</f>
        <v>8.541267649547904E-2</v>
      </c>
      <c r="V300" s="46">
        <f>44.011*(U300/(12.011+1.008*'Tier 3 CO2 Tables'!B$6+16*'Tier 3 CO2 Tables'!C$6))</f>
        <v>0.26645826695623986</v>
      </c>
      <c r="W300" s="46">
        <f>I300*'T3 Methane'!D$29</f>
        <v>8541.2676495479045</v>
      </c>
      <c r="X300" s="46" cm="1">
        <f t="array" ref="X300">_xlfn.IFS(E300='Euro Age Table'!C$5,'Euro Age Table'!G$5,E300='Euro Age Table'!C$6,'Euro Age Table'!G$6,E300='Euro Age Table'!C$7,'Euro Age Table'!G$7,E300='Euro Age Table'!C$8,'Euro Age Table'!G$8,E300='Euro Age Table'!C$9,'Euro Age Table'!G$9,E300='Euro Age Table'!C$10,'Euro Age Table'!G$10,E300='Euro Age Table'!C$11,'Euro Age Table'!G$11)</f>
        <v>16</v>
      </c>
      <c r="Y300" s="46">
        <f>X300*'Eilat Car Data'!F$8</f>
        <v>902400</v>
      </c>
      <c r="Z300" s="46">
        <f>'T3 N2O HDV'!C27</f>
        <v>9</v>
      </c>
      <c r="AA300" s="124">
        <f t="shared" si="18"/>
        <v>904.36951583448399</v>
      </c>
    </row>
    <row r="301" spans="1:27" ht="12.5">
      <c r="A301" s="49" t="s">
        <v>93</v>
      </c>
      <c r="B301" s="49" t="s">
        <v>22</v>
      </c>
      <c r="C301" s="49" t="s">
        <v>67</v>
      </c>
      <c r="D301" s="49" t="s">
        <v>90</v>
      </c>
      <c r="E301" s="50" t="s">
        <v>58</v>
      </c>
      <c r="F301" s="97">
        <v>2.7170281947352013E-3</v>
      </c>
      <c r="G301" s="99">
        <f t="shared" si="19"/>
        <v>0.10868112778940806</v>
      </c>
      <c r="H301" s="46"/>
      <c r="I301" s="46">
        <f>G301*'Eilat Car Data'!F$8</f>
        <v>6129.6156073226139</v>
      </c>
      <c r="J301" s="46">
        <f>I301*'Tier 1 Coefficients'!I$10</f>
        <v>1471107.7457574273</v>
      </c>
      <c r="K301" s="46">
        <f t="shared" si="16"/>
        <v>1471.1077457574272</v>
      </c>
      <c r="L301" s="46">
        <f>K301*'Tier 1 Coefficients'!D$4</f>
        <v>4661.940446305287</v>
      </c>
      <c r="M301" s="46">
        <f>K301*'Tier 1 Coefficients'!C$21</f>
        <v>3736.613674223865</v>
      </c>
      <c r="N301" s="46">
        <f>K301*'Tier 1 Coefficients'!C$45</f>
        <v>75.026495033628777</v>
      </c>
      <c r="O301" s="46">
        <f>I301*'Tier 2 FC'!D$44</f>
        <v>1845014.2978041067</v>
      </c>
      <c r="P301" s="46">
        <f t="shared" si="17"/>
        <v>1845.0142978041067</v>
      </c>
      <c r="Q301" s="46">
        <f>P301*'Tier 1 Coefficients'!D$4</f>
        <v>5846.850309741214</v>
      </c>
      <c r="R301" s="46">
        <f>$I301*'T2 Bus'!C10</f>
        <v>73.555387287871369</v>
      </c>
      <c r="S301" s="46">
        <f>$I301*'T2 Bus'!D10</f>
        <v>1624.3481359404927</v>
      </c>
      <c r="T301" s="46">
        <f>44.011*(P301/(12.011+1.008*'Tier 3 CO2 Tables'!B$4+16*'Tier 3 CO2 Tables'!C$4))</f>
        <v>5847.7333997309888</v>
      </c>
      <c r="U301" s="46">
        <f>I301*'Tier 3 CO2 Tables'!H$11/10000</f>
        <v>5.2101732662242215</v>
      </c>
      <c r="V301" s="46">
        <f>44.011*(U301/(12.011+1.008*'Tier 3 CO2 Tables'!B$6+16*'Tier 3 CO2 Tables'!C$6))</f>
        <v>16.253954284330636</v>
      </c>
      <c r="W301" s="46">
        <f>I301*'T3 Methane'!D$29</f>
        <v>521017.3266224222</v>
      </c>
      <c r="X301" s="46" cm="1">
        <f t="array" ref="X301">_xlfn.IFS(E301='Euro Age Table'!C$5,'Euro Age Table'!G$5,E301='Euro Age Table'!C$6,'Euro Age Table'!G$6,E301='Euro Age Table'!C$7,'Euro Age Table'!G$7,E301='Euro Age Table'!C$8,'Euro Age Table'!G$8,E301='Euro Age Table'!C$9,'Euro Age Table'!G$9,E301='Euro Age Table'!C$10,'Euro Age Table'!G$10,E301='Euro Age Table'!C$11,'Euro Age Table'!G$11)</f>
        <v>13</v>
      </c>
      <c r="Y301" s="46">
        <f>X301*'Eilat Car Data'!F$8</f>
        <v>733200</v>
      </c>
      <c r="Z301" s="46">
        <f>'T3 N2O HDV'!C28</f>
        <v>19</v>
      </c>
      <c r="AA301" s="124">
        <f t="shared" si="18"/>
        <v>116462.69653912967</v>
      </c>
    </row>
    <row r="302" spans="1:27" ht="12.5">
      <c r="A302" s="49" t="s">
        <v>93</v>
      </c>
      <c r="B302" s="49" t="s">
        <v>22</v>
      </c>
      <c r="C302" s="49" t="s">
        <v>67</v>
      </c>
      <c r="D302" s="49" t="s">
        <v>90</v>
      </c>
      <c r="E302" s="50" t="s">
        <v>59</v>
      </c>
      <c r="F302" s="97">
        <v>1.8261992784285779E-3</v>
      </c>
      <c r="G302" s="99">
        <f t="shared" si="19"/>
        <v>7.304797113714312E-2</v>
      </c>
      <c r="H302" s="46"/>
      <c r="I302" s="46">
        <f>G302*'Eilat Car Data'!F$8</f>
        <v>4119.9055721348723</v>
      </c>
      <c r="J302" s="46">
        <f>I302*'Tier 1 Coefficients'!I$10</f>
        <v>988777.33731236937</v>
      </c>
      <c r="K302" s="46">
        <f t="shared" si="16"/>
        <v>988.77733731236935</v>
      </c>
      <c r="L302" s="46">
        <f>K302*'Tier 1 Coefficients'!D$4</f>
        <v>3133.4353819428984</v>
      </c>
      <c r="M302" s="46">
        <f>K302*'Tier 1 Coefficients'!C$21</f>
        <v>2511.4944367734183</v>
      </c>
      <c r="N302" s="46">
        <f>K302*'Tier 1 Coefficients'!C$45</f>
        <v>50.427644202930836</v>
      </c>
      <c r="O302" s="46">
        <f>I302*'Tier 2 FC'!D$44</f>
        <v>1240091.5772125965</v>
      </c>
      <c r="P302" s="46">
        <f t="shared" si="17"/>
        <v>1240.0915772125966</v>
      </c>
      <c r="Q302" s="46">
        <f>P302*'Tier 1 Coefficients'!D$4</f>
        <v>3929.8502081867186</v>
      </c>
      <c r="R302" s="46">
        <f>$I302*'T2 Bus'!C11</f>
        <v>131.83697830831591</v>
      </c>
      <c r="S302" s="46">
        <f>$I302*'T2 Bus'!D11</f>
        <v>1091.7749766157413</v>
      </c>
      <c r="T302" s="46">
        <f>44.011*(P302/(12.011+1.008*'Tier 3 CO2 Tables'!B$4+16*'Tier 3 CO2 Tables'!C$4))</f>
        <v>3930.4437604749278</v>
      </c>
      <c r="U302" s="46">
        <f>I302*'Tier 3 CO2 Tables'!H$11/10000</f>
        <v>3.5019197363146413</v>
      </c>
      <c r="V302" s="46">
        <f>44.011*(U302/(12.011+1.008*'Tier 3 CO2 Tables'!B$6+16*'Tier 3 CO2 Tables'!C$6))</f>
        <v>10.924788945205838</v>
      </c>
      <c r="W302" s="46">
        <f>I302*'T3 Methane'!D$29</f>
        <v>350191.97363146412</v>
      </c>
      <c r="X302" s="46" cm="1">
        <f t="array" ref="X302">_xlfn.IFS(E302='Euro Age Table'!C$5,'Euro Age Table'!G$5,E302='Euro Age Table'!C$6,'Euro Age Table'!G$6,E302='Euro Age Table'!C$7,'Euro Age Table'!G$7,E302='Euro Age Table'!C$8,'Euro Age Table'!G$8,E302='Euro Age Table'!C$9,'Euro Age Table'!G$9,E302='Euro Age Table'!C$10,'Euro Age Table'!G$10,E302='Euro Age Table'!C$11,'Euro Age Table'!G$11)</f>
        <v>9</v>
      </c>
      <c r="Y302" s="46">
        <f>X302*'Eilat Car Data'!F$8</f>
        <v>507600</v>
      </c>
      <c r="Z302" s="46">
        <f>'T3 N2O HDV'!C29</f>
        <v>49</v>
      </c>
      <c r="AA302" s="124">
        <f t="shared" si="18"/>
        <v>201875.37303460875</v>
      </c>
    </row>
    <row r="303" spans="1:27" ht="12.5">
      <c r="A303" s="49" t="s">
        <v>93</v>
      </c>
      <c r="B303" s="49" t="s">
        <v>22</v>
      </c>
      <c r="C303" s="49" t="s">
        <v>67</v>
      </c>
      <c r="D303" s="51" t="s">
        <v>90</v>
      </c>
      <c r="E303" s="51" t="s">
        <v>60</v>
      </c>
      <c r="F303" s="97">
        <v>9.9327424168188499E-3</v>
      </c>
      <c r="G303" s="99">
        <f t="shared" si="19"/>
        <v>0.39730969667275401</v>
      </c>
      <c r="H303" s="46"/>
      <c r="I303" s="46">
        <f>G303*'Eilat Car Data'!F$8</f>
        <v>22408.266892343327</v>
      </c>
      <c r="J303" s="46">
        <f>I303*'Tier 1 Coefficients'!I$10</f>
        <v>5377984.054162398</v>
      </c>
      <c r="K303" s="46">
        <f t="shared" si="16"/>
        <v>5377.984054162398</v>
      </c>
      <c r="L303" s="46">
        <f>K303*'Tier 1 Coefficients'!D$4</f>
        <v>17042.831467640641</v>
      </c>
      <c r="M303" s="46">
        <f>K303*'Tier 1 Coefficients'!C$21</f>
        <v>13660.079497572491</v>
      </c>
      <c r="N303" s="46">
        <f>K303*'Tier 1 Coefficients'!C$45</f>
        <v>274.27718676228227</v>
      </c>
      <c r="O303" s="46">
        <f>I303*'Tier 2 FC'!D$44</f>
        <v>6744888.3345953412</v>
      </c>
      <c r="P303" s="46">
        <f t="shared" si="17"/>
        <v>6744.8883345953409</v>
      </c>
      <c r="Q303" s="46">
        <f>P303*'Tier 1 Coefficients'!D$4</f>
        <v>21374.551132332635</v>
      </c>
      <c r="R303" s="46">
        <f>$I303*'T2 Bus'!C12</f>
        <v>896.33067569373304</v>
      </c>
      <c r="S303" s="46">
        <f>$I303*'T2 Bus'!D12</f>
        <v>5938.1907264709816</v>
      </c>
      <c r="T303" s="46">
        <f>44.011*(P303/(12.011+1.008*'Tier 3 CO2 Tables'!B$4+16*'Tier 3 CO2 Tables'!C$4))</f>
        <v>21377.779477705091</v>
      </c>
      <c r="U303" s="46">
        <f>I303*'Tier 3 CO2 Tables'!H$12/10000</f>
        <v>1.9047026858491827</v>
      </c>
      <c r="V303" s="46">
        <f>44.011*(U303/(12.011+1.008*'Tier 3 CO2 Tables'!B$6+16*'Tier 3 CO2 Tables'!C$6))</f>
        <v>5.9420193531241505</v>
      </c>
      <c r="W303" s="46">
        <f>I303*'T3 Methane'!D$29</f>
        <v>1904702.6858491828</v>
      </c>
      <c r="X303" s="46" cm="1">
        <f t="array" ref="X303">_xlfn.IFS(E303='Euro Age Table'!C$5,'Euro Age Table'!G$5,E303='Euro Age Table'!C$6,'Euro Age Table'!G$6,E303='Euro Age Table'!C$7,'Euro Age Table'!G$7,E303='Euro Age Table'!C$8,'Euro Age Table'!G$8,E303='Euro Age Table'!C$9,'Euro Age Table'!G$9,E303='Euro Age Table'!C$10,'Euro Age Table'!G$10,E303='Euro Age Table'!C$11,'Euro Age Table'!G$11)</f>
        <v>3</v>
      </c>
      <c r="Y303" s="46">
        <f>X303*'Eilat Car Data'!F$8</f>
        <v>169200</v>
      </c>
      <c r="Z303" s="46">
        <f>'T3 N2O HDV'!C30</f>
        <v>61</v>
      </c>
      <c r="AA303" s="124">
        <f t="shared" si="18"/>
        <v>1366904.280432943</v>
      </c>
    </row>
    <row r="304" spans="1:27" ht="12.5">
      <c r="A304" s="49" t="s">
        <v>93</v>
      </c>
      <c r="B304" s="49" t="s">
        <v>22</v>
      </c>
      <c r="C304" s="49" t="s">
        <v>67</v>
      </c>
      <c r="D304" s="49" t="s">
        <v>91</v>
      </c>
      <c r="E304" s="50" t="s">
        <v>55</v>
      </c>
      <c r="F304" s="97">
        <v>0</v>
      </c>
      <c r="G304" s="99">
        <f t="shared" si="19"/>
        <v>0</v>
      </c>
      <c r="H304" s="46"/>
      <c r="I304" s="46">
        <f>G304*'Eilat Car Data'!F$8</f>
        <v>0</v>
      </c>
      <c r="J304" s="46">
        <f>I304*'Tier 1 Coefficients'!I$10</f>
        <v>0</v>
      </c>
      <c r="K304" s="46">
        <f t="shared" si="16"/>
        <v>0</v>
      </c>
      <c r="L304" s="46">
        <f>K304*'Tier 1 Coefficients'!D$4</f>
        <v>0</v>
      </c>
      <c r="M304" s="46">
        <f>K304*'Tier 1 Coefficients'!C$21</f>
        <v>0</v>
      </c>
      <c r="N304" s="46">
        <f>K304*'Tier 1 Coefficients'!C$45</f>
        <v>0</v>
      </c>
      <c r="O304" s="46">
        <f>I304*'Tier 2 FC'!D$44</f>
        <v>0</v>
      </c>
      <c r="P304" s="46">
        <f t="shared" si="17"/>
        <v>0</v>
      </c>
      <c r="Q304" s="46">
        <f>P304*'Tier 1 Coefficients'!D$4</f>
        <v>0</v>
      </c>
      <c r="R304" s="46">
        <f>$I304*'T2 Bus'!C7</f>
        <v>0</v>
      </c>
      <c r="S304" s="46">
        <f>$I304*'T2 Bus'!D7</f>
        <v>0</v>
      </c>
      <c r="T304" s="46">
        <f>44.011*(P304/(12.011+1.008*'Tier 3 CO2 Tables'!B$4+16*'Tier 3 CO2 Tables'!C$4))</f>
        <v>0</v>
      </c>
      <c r="U304" s="46">
        <f>I304*'Tier 3 CO2 Tables'!H$11/10000</f>
        <v>0</v>
      </c>
      <c r="V304" s="46">
        <f>44.011*(U304/(12.011+1.008*'Tier 3 CO2 Tables'!B$6+16*'Tier 3 CO2 Tables'!C$6))</f>
        <v>0</v>
      </c>
      <c r="W304" s="46">
        <f>I304*'T3 Methane'!D$30</f>
        <v>0</v>
      </c>
      <c r="X304" s="46" cm="1">
        <f t="array" ref="X304">_xlfn.IFS(E304='Euro Age Table'!C$5,'Euro Age Table'!G$5,E304='Euro Age Table'!C$6,'Euro Age Table'!G$6,E304='Euro Age Table'!C$7,'Euro Age Table'!G$7,E304='Euro Age Table'!C$8,'Euro Age Table'!G$8,E304='Euro Age Table'!C$9,'Euro Age Table'!G$9,E304='Euro Age Table'!C$10,'Euro Age Table'!G$10,E304='Euro Age Table'!C$11,'Euro Age Table'!G$11)</f>
        <v>23</v>
      </c>
      <c r="Y304" s="46">
        <f>X304*'Eilat Car Data'!F$8</f>
        <v>1297200</v>
      </c>
      <c r="Z304" s="46">
        <f>'T3 N2O HDV'!C32</f>
        <v>12</v>
      </c>
      <c r="AA304" s="124">
        <f t="shared" si="18"/>
        <v>0</v>
      </c>
    </row>
    <row r="305" spans="1:27" ht="12.5">
      <c r="A305" s="49" t="s">
        <v>93</v>
      </c>
      <c r="B305" s="49" t="s">
        <v>22</v>
      </c>
      <c r="C305" s="49" t="s">
        <v>67</v>
      </c>
      <c r="D305" s="49" t="s">
        <v>91</v>
      </c>
      <c r="E305" s="50" t="s">
        <v>56</v>
      </c>
      <c r="F305" s="97">
        <v>0</v>
      </c>
      <c r="G305" s="99">
        <f t="shared" si="19"/>
        <v>0</v>
      </c>
      <c r="H305" s="46"/>
      <c r="I305" s="46">
        <f>G305*'Eilat Car Data'!F$8</f>
        <v>0</v>
      </c>
      <c r="J305" s="46">
        <f>I305*'Tier 1 Coefficients'!I$10</f>
        <v>0</v>
      </c>
      <c r="K305" s="46">
        <f t="shared" si="16"/>
        <v>0</v>
      </c>
      <c r="L305" s="46">
        <f>K305*'Tier 1 Coefficients'!D$4</f>
        <v>0</v>
      </c>
      <c r="M305" s="46">
        <f>K305*'Tier 1 Coefficients'!C$21</f>
        <v>0</v>
      </c>
      <c r="N305" s="46">
        <f>K305*'Tier 1 Coefficients'!C$45</f>
        <v>0</v>
      </c>
      <c r="O305" s="46">
        <f>I305*'Tier 2 FC'!D$44</f>
        <v>0</v>
      </c>
      <c r="P305" s="46">
        <f t="shared" si="17"/>
        <v>0</v>
      </c>
      <c r="Q305" s="46">
        <f>P305*'Tier 1 Coefficients'!D$4</f>
        <v>0</v>
      </c>
      <c r="R305" s="46">
        <f>$I305*'T2 Bus'!C8</f>
        <v>0</v>
      </c>
      <c r="S305" s="46">
        <f>$I305*'T2 Bus'!D8</f>
        <v>0</v>
      </c>
      <c r="T305" s="46">
        <f>44.011*(P305/(12.011+1.008*'Tier 3 CO2 Tables'!B$4+16*'Tier 3 CO2 Tables'!C$4))</f>
        <v>0</v>
      </c>
      <c r="U305" s="46">
        <f>I305*'Tier 3 CO2 Tables'!H$11/10000</f>
        <v>0</v>
      </c>
      <c r="V305" s="46">
        <f>44.011*(U305/(12.011+1.008*'Tier 3 CO2 Tables'!B$6+16*'Tier 3 CO2 Tables'!C$6))</f>
        <v>0</v>
      </c>
      <c r="W305" s="46">
        <f>I305*'T3 Methane'!D$30</f>
        <v>0</v>
      </c>
      <c r="X305" s="46" cm="1">
        <f t="array" ref="X305">_xlfn.IFS(E305='Euro Age Table'!C$5,'Euro Age Table'!G$5,E305='Euro Age Table'!C$6,'Euro Age Table'!G$6,E305='Euro Age Table'!C$7,'Euro Age Table'!G$7,E305='Euro Age Table'!C$8,'Euro Age Table'!G$8,E305='Euro Age Table'!C$9,'Euro Age Table'!G$9,E305='Euro Age Table'!C$10,'Euro Age Table'!G$10,E305='Euro Age Table'!C$11,'Euro Age Table'!G$11)</f>
        <v>18</v>
      </c>
      <c r="Y305" s="46">
        <f>X305*'Eilat Car Data'!F$8</f>
        <v>1015200</v>
      </c>
      <c r="Z305" s="46">
        <f>'T3 N2O HDV'!C33</f>
        <v>12</v>
      </c>
      <c r="AA305" s="124">
        <f t="shared" si="18"/>
        <v>0</v>
      </c>
    </row>
    <row r="306" spans="1:27" ht="12.5">
      <c r="A306" s="49" t="s">
        <v>93</v>
      </c>
      <c r="B306" s="49" t="s">
        <v>22</v>
      </c>
      <c r="C306" s="49" t="s">
        <v>67</v>
      </c>
      <c r="D306" s="49" t="s">
        <v>91</v>
      </c>
      <c r="E306" s="50" t="s">
        <v>57</v>
      </c>
      <c r="F306" s="97">
        <v>4.2759787982717921E-3</v>
      </c>
      <c r="G306" s="99">
        <f t="shared" si="19"/>
        <v>0.17103915193087169</v>
      </c>
      <c r="H306" s="46"/>
      <c r="I306" s="46">
        <f>G306*'Eilat Car Data'!F$8</f>
        <v>9646.6081689011626</v>
      </c>
      <c r="J306" s="46">
        <f>I306*'Tier 1 Coefficients'!I$10</f>
        <v>2315185.9605362788</v>
      </c>
      <c r="K306" s="46">
        <f t="shared" si="16"/>
        <v>2315.1859605362788</v>
      </c>
      <c r="L306" s="46">
        <f>K306*'Tier 1 Coefficients'!D$4</f>
        <v>7336.8243089394673</v>
      </c>
      <c r="M306" s="46">
        <f>K306*'Tier 1 Coefficients'!C$21</f>
        <v>5880.5723397621487</v>
      </c>
      <c r="N306" s="46">
        <f>K306*'Tier 1 Coefficients'!C$45</f>
        <v>118.07448398735021</v>
      </c>
      <c r="O306" s="46">
        <f>I306*'Tier 2 FC'!D$44</f>
        <v>2903629.0588392499</v>
      </c>
      <c r="P306" s="46">
        <f t="shared" si="17"/>
        <v>2903.6290588392499</v>
      </c>
      <c r="Q306" s="46">
        <f>P306*'Tier 1 Coefficients'!D$4</f>
        <v>9201.6004874615828</v>
      </c>
      <c r="R306" s="46">
        <f>$I306*'T2 Bus'!C9</f>
        <v>9.646608168901162</v>
      </c>
      <c r="S306" s="46">
        <f>$I306*'T2 Bus'!D9</f>
        <v>8305.7296334239018</v>
      </c>
      <c r="T306" s="46">
        <f>44.011*(P306/(12.011+1.008*'Tier 3 CO2 Tables'!B$4+16*'Tier 3 CO2 Tables'!C$4))</f>
        <v>9202.9902684290973</v>
      </c>
      <c r="U306" s="46">
        <f>I306*'Tier 3 CO2 Tables'!H$11/10000</f>
        <v>8.1996169435659887</v>
      </c>
      <c r="V306" s="46">
        <f>44.011*(U306/(12.011+1.008*'Tier 3 CO2 Tables'!B$6+16*'Tier 3 CO2 Tables'!C$6))</f>
        <v>25.579993627799031</v>
      </c>
      <c r="W306" s="46">
        <f>I306*'T3 Methane'!D$30</f>
        <v>1688156.4295577034</v>
      </c>
      <c r="X306" s="46" cm="1">
        <f t="array" ref="X306">_xlfn.IFS(E306='Euro Age Table'!C$5,'Euro Age Table'!G$5,E306='Euro Age Table'!C$6,'Euro Age Table'!G$6,E306='Euro Age Table'!C$7,'Euro Age Table'!G$7,E306='Euro Age Table'!C$8,'Euro Age Table'!G$8,E306='Euro Age Table'!C$9,'Euro Age Table'!G$9,E306='Euro Age Table'!C$10,'Euro Age Table'!G$10,E306='Euro Age Table'!C$11,'Euro Age Table'!G$11)</f>
        <v>16</v>
      </c>
      <c r="Y306" s="46">
        <f>X306*'Eilat Car Data'!F$8</f>
        <v>902400</v>
      </c>
      <c r="Z306" s="46">
        <f>'T3 N2O HDV'!C34</f>
        <v>6</v>
      </c>
      <c r="AA306" s="124">
        <f t="shared" si="18"/>
        <v>57879.649013406975</v>
      </c>
    </row>
    <row r="307" spans="1:27" ht="12.5">
      <c r="A307" s="49" t="s">
        <v>93</v>
      </c>
      <c r="B307" s="49" t="s">
        <v>22</v>
      </c>
      <c r="C307" s="49" t="s">
        <v>67</v>
      </c>
      <c r="D307" s="49" t="s">
        <v>91</v>
      </c>
      <c r="E307" s="50" t="s">
        <v>58</v>
      </c>
      <c r="F307" s="97">
        <v>1.2560687719923389E-2</v>
      </c>
      <c r="G307" s="99">
        <f t="shared" si="19"/>
        <v>0.50242750879693554</v>
      </c>
      <c r="H307" s="46"/>
      <c r="I307" s="46">
        <f>G307*'Eilat Car Data'!F$8</f>
        <v>28336.911496147164</v>
      </c>
      <c r="J307" s="46">
        <f>I307*'Tier 1 Coefficients'!I$10</f>
        <v>6800858.7590753194</v>
      </c>
      <c r="K307" s="46">
        <f t="shared" si="16"/>
        <v>6800.8587590753195</v>
      </c>
      <c r="L307" s="46">
        <f>K307*'Tier 1 Coefficients'!D$4</f>
        <v>21551.921407509686</v>
      </c>
      <c r="M307" s="46">
        <f>K307*'Tier 1 Coefficients'!C$21</f>
        <v>17274.181248051311</v>
      </c>
      <c r="N307" s="46">
        <f>K307*'Tier 1 Coefficients'!C$45</f>
        <v>346.84379671284125</v>
      </c>
      <c r="O307" s="46">
        <f>I307*'Tier 2 FC'!D$44</f>
        <v>8529410.3603402972</v>
      </c>
      <c r="P307" s="46">
        <f t="shared" si="17"/>
        <v>8529.4103603402964</v>
      </c>
      <c r="Q307" s="46">
        <f>P307*'Tier 1 Coefficients'!D$4</f>
        <v>27029.701431918398</v>
      </c>
      <c r="R307" s="46">
        <f>$I307*'T2 Bus'!C10</f>
        <v>340.042937953766</v>
      </c>
      <c r="S307" s="46">
        <f>$I307*'T2 Bus'!D10</f>
        <v>7509.2815464789992</v>
      </c>
      <c r="T307" s="46">
        <f>44.011*(P307/(12.011+1.008*'Tier 3 CO2 Tables'!B$4+16*'Tier 3 CO2 Tables'!C$4))</f>
        <v>27033.78391351047</v>
      </c>
      <c r="U307" s="46">
        <f>I307*'Tier 3 CO2 Tables'!H$11/10000</f>
        <v>24.08637477172509</v>
      </c>
      <c r="V307" s="46">
        <f>44.011*(U307/(12.011+1.008*'Tier 3 CO2 Tables'!B$6+16*'Tier 3 CO2 Tables'!C$6))</f>
        <v>75.141231281659657</v>
      </c>
      <c r="W307" s="46">
        <f>I307*'T3 Methane'!D$30</f>
        <v>4958959.5118257534</v>
      </c>
      <c r="X307" s="46" cm="1">
        <f t="array" ref="X307">_xlfn.IFS(E307='Euro Age Table'!C$5,'Euro Age Table'!G$5,E307='Euro Age Table'!C$6,'Euro Age Table'!G$6,E307='Euro Age Table'!C$7,'Euro Age Table'!G$7,E307='Euro Age Table'!C$8,'Euro Age Table'!G$8,E307='Euro Age Table'!C$9,'Euro Age Table'!G$9,E307='Euro Age Table'!C$10,'Euro Age Table'!G$10,E307='Euro Age Table'!C$11,'Euro Age Table'!G$11)</f>
        <v>13</v>
      </c>
      <c r="Y307" s="46">
        <f>X307*'Eilat Car Data'!F$8</f>
        <v>733200</v>
      </c>
      <c r="Z307" s="46">
        <f>'T3 N2O HDV'!C35</f>
        <v>12.8</v>
      </c>
      <c r="AA307" s="124">
        <f t="shared" si="18"/>
        <v>362712.46715068375</v>
      </c>
    </row>
    <row r="308" spans="1:27" ht="12.5">
      <c r="A308" s="49" t="s">
        <v>93</v>
      </c>
      <c r="B308" s="49" t="s">
        <v>22</v>
      </c>
      <c r="C308" s="49" t="s">
        <v>67</v>
      </c>
      <c r="D308" s="49" t="s">
        <v>91</v>
      </c>
      <c r="E308" s="50" t="s">
        <v>59</v>
      </c>
      <c r="F308" s="97">
        <v>3.0332724600240522E-2</v>
      </c>
      <c r="G308" s="99">
        <f t="shared" si="19"/>
        <v>1.2133089840096209</v>
      </c>
      <c r="H308" s="46"/>
      <c r="I308" s="46">
        <f>G308*'Eilat Car Data'!F$8</f>
        <v>68430.626698142616</v>
      </c>
      <c r="J308" s="46">
        <f>I308*'Tier 1 Coefficients'!I$10</f>
        <v>16423350.407554228</v>
      </c>
      <c r="K308" s="46">
        <f t="shared" si="16"/>
        <v>16423.35040755423</v>
      </c>
      <c r="L308" s="46">
        <f>K308*'Tier 1 Coefficients'!D$4</f>
        <v>52045.597441539358</v>
      </c>
      <c r="M308" s="46">
        <f>K308*'Tier 1 Coefficients'!C$21</f>
        <v>41715.310035187744</v>
      </c>
      <c r="N308" s="46">
        <f>K308*'Tier 1 Coefficients'!C$45</f>
        <v>837.59087078526568</v>
      </c>
      <c r="O308" s="46">
        <f>I308*'Tier 2 FC'!D$44</f>
        <v>20597618.636140928</v>
      </c>
      <c r="P308" s="46">
        <f t="shared" si="17"/>
        <v>20597.618636140927</v>
      </c>
      <c r="Q308" s="46">
        <f>P308*'Tier 1 Coefficients'!D$4</f>
        <v>65273.8534579306</v>
      </c>
      <c r="R308" s="46">
        <f>$I308*'T2 Bus'!C11</f>
        <v>2189.7800543405638</v>
      </c>
      <c r="S308" s="46">
        <f>$I308*'T2 Bus'!D11</f>
        <v>18134.116075007794</v>
      </c>
      <c r="T308" s="46">
        <f>44.011*(P308/(12.011+1.008*'Tier 3 CO2 Tables'!B$4+16*'Tier 3 CO2 Tables'!C$4))</f>
        <v>65283.712216668901</v>
      </c>
      <c r="U308" s="46">
        <f>I308*'Tier 3 CO2 Tables'!H$11/10000</f>
        <v>58.166032693421222</v>
      </c>
      <c r="V308" s="46">
        <f>44.011*(U308/(12.011+1.008*'Tier 3 CO2 Tables'!B$6+16*'Tier 3 CO2 Tables'!C$6))</f>
        <v>181.45807979719936</v>
      </c>
      <c r="W308" s="46">
        <f>I308*'T3 Methane'!D$30</f>
        <v>11975359.672174959</v>
      </c>
      <c r="X308" s="46" cm="1">
        <f t="array" ref="X308">_xlfn.IFS(E308='Euro Age Table'!C$5,'Euro Age Table'!G$5,E308='Euro Age Table'!C$6,'Euro Age Table'!G$6,E308='Euro Age Table'!C$7,'Euro Age Table'!G$7,E308='Euro Age Table'!C$8,'Euro Age Table'!G$8,E308='Euro Age Table'!C$9,'Euro Age Table'!G$9,E308='Euro Age Table'!C$10,'Euro Age Table'!G$10,E308='Euro Age Table'!C$11,'Euro Age Table'!G$11)</f>
        <v>9</v>
      </c>
      <c r="Y308" s="46">
        <f>X308*'Eilat Car Data'!F$8</f>
        <v>507600</v>
      </c>
      <c r="Z308" s="46">
        <f>'T3 N2O HDV'!C36</f>
        <v>33.200000000000003</v>
      </c>
      <c r="AA308" s="124">
        <f t="shared" si="18"/>
        <v>2271896.8063783352</v>
      </c>
    </row>
    <row r="309" spans="1:27" ht="12.5">
      <c r="A309" s="49" t="s">
        <v>93</v>
      </c>
      <c r="B309" s="49" t="s">
        <v>22</v>
      </c>
      <c r="C309" s="49" t="s">
        <v>67</v>
      </c>
      <c r="D309" s="51" t="s">
        <v>91</v>
      </c>
      <c r="E309" s="50" t="s">
        <v>60</v>
      </c>
      <c r="F309" s="97">
        <v>1.1313527237094115E-2</v>
      </c>
      <c r="G309" s="99">
        <f t="shared" si="19"/>
        <v>0.45254108948376459</v>
      </c>
      <c r="H309" s="46"/>
      <c r="I309" s="46">
        <f>G309*'Eilat Car Data'!F$8</f>
        <v>25523.317446884324</v>
      </c>
      <c r="J309" s="46">
        <f>I309*'Tier 1 Coefficients'!I$10</f>
        <v>6125596.1872522375</v>
      </c>
      <c r="K309" s="46">
        <f t="shared" si="16"/>
        <v>6125.5961872522375</v>
      </c>
      <c r="L309" s="46">
        <f>K309*'Tier 1 Coefficients'!D$4</f>
        <v>19412.01431740234</v>
      </c>
      <c r="M309" s="46">
        <f>K309*'Tier 1 Coefficients'!C$21</f>
        <v>15559.014315620683</v>
      </c>
      <c r="N309" s="46">
        <f>K309*'Tier 1 Coefficients'!C$45</f>
        <v>312.4054055498641</v>
      </c>
      <c r="O309" s="46">
        <f>I309*'Tier 2 FC'!D$44</f>
        <v>7682518.5515121818</v>
      </c>
      <c r="P309" s="46">
        <f t="shared" si="17"/>
        <v>7682.5185515121821</v>
      </c>
      <c r="Q309" s="46">
        <f>P309*'Tier 1 Coefficients'!D$4</f>
        <v>24345.901289742105</v>
      </c>
      <c r="R309" s="46">
        <f>$I309*'T2 Bus'!C12</f>
        <v>1020.932697875373</v>
      </c>
      <c r="S309" s="46">
        <f>$I309*'T2 Bus'!D12</f>
        <v>6763.6791234243465</v>
      </c>
      <c r="T309" s="46">
        <f>44.011*(P309/(12.011+1.008*'Tier 3 CO2 Tables'!B$4+16*'Tier 3 CO2 Tables'!C$4))</f>
        <v>24349.578418551988</v>
      </c>
      <c r="U309" s="46">
        <f>I309*'Tier 3 CO2 Tables'!H$12/10000</f>
        <v>2.1694819829851677</v>
      </c>
      <c r="V309" s="46">
        <f>44.011*(U309/(12.011+1.008*'Tier 3 CO2 Tables'!B$6+16*'Tier 3 CO2 Tables'!C$6))</f>
        <v>6.7680399806884939</v>
      </c>
      <c r="W309" s="46">
        <f>I309*'T3 Methane'!D$30</f>
        <v>4466580.5532047572</v>
      </c>
      <c r="X309" s="46" cm="1">
        <f t="array" ref="X309">_xlfn.IFS(E309='Euro Age Table'!C$5,'Euro Age Table'!G$5,E309='Euro Age Table'!C$6,'Euro Age Table'!G$6,E309='Euro Age Table'!C$7,'Euro Age Table'!G$7,E309='Euro Age Table'!C$8,'Euro Age Table'!G$8,E309='Euro Age Table'!C$9,'Euro Age Table'!G$9,E309='Euro Age Table'!C$10,'Euro Age Table'!G$10,E309='Euro Age Table'!C$11,'Euro Age Table'!G$11)</f>
        <v>3</v>
      </c>
      <c r="Y309" s="46">
        <f>X309*'Eilat Car Data'!F$8</f>
        <v>169200</v>
      </c>
      <c r="Z309" s="46">
        <f>'T3 N2O HDV'!C37</f>
        <v>41.5</v>
      </c>
      <c r="AA309" s="124">
        <f t="shared" si="18"/>
        <v>1059217.6740456994</v>
      </c>
    </row>
    <row r="310" spans="1:27" ht="12.5">
      <c r="A310" s="49" t="s">
        <v>93</v>
      </c>
      <c r="B310" s="49" t="s">
        <v>22</v>
      </c>
      <c r="C310" s="49" t="s">
        <v>67</v>
      </c>
      <c r="D310" s="49" t="s">
        <v>92</v>
      </c>
      <c r="E310" s="50" t="s">
        <v>55</v>
      </c>
      <c r="F310" s="97">
        <v>0</v>
      </c>
      <c r="G310" s="99">
        <f t="shared" si="19"/>
        <v>0</v>
      </c>
      <c r="H310" s="46"/>
      <c r="I310" s="46">
        <f>G310*'Eilat Car Data'!F$8</f>
        <v>0</v>
      </c>
      <c r="J310" s="46">
        <f>I310*'Tier 1 Coefficients'!I$10</f>
        <v>0</v>
      </c>
      <c r="K310" s="46">
        <f t="shared" si="16"/>
        <v>0</v>
      </c>
      <c r="L310" s="46">
        <f>K310*'Tier 1 Coefficients'!D$4</f>
        <v>0</v>
      </c>
      <c r="M310" s="46">
        <f>K310*'Tier 1 Coefficients'!C$21</f>
        <v>0</v>
      </c>
      <c r="N310" s="46">
        <f>K310*'Tier 1 Coefficients'!C$45</f>
        <v>0</v>
      </c>
      <c r="O310" s="46">
        <f>I310*'Tier 2 FC'!D$43</f>
        <v>0</v>
      </c>
      <c r="P310" s="46">
        <f t="shared" si="17"/>
        <v>0</v>
      </c>
      <c r="Q310" s="46">
        <f>P310*'Tier 1 Coefficients'!D$4</f>
        <v>0</v>
      </c>
      <c r="R310" s="46">
        <f>$I310*'T2 Bus'!C7</f>
        <v>0</v>
      </c>
      <c r="S310" s="46">
        <f>$I310*'T2 Bus'!D7</f>
        <v>0</v>
      </c>
      <c r="T310" s="46">
        <f>44.011*(P310/(12.011+1.008*'Tier 3 CO2 Tables'!B$4+16*'Tier 3 CO2 Tables'!C$4))</f>
        <v>0</v>
      </c>
      <c r="U310" s="46">
        <f>I310*'Tier 3 CO2 Tables'!H$11/10000</f>
        <v>0</v>
      </c>
      <c r="V310" s="46">
        <f>44.011*(U310/(12.011+1.008*'Tier 3 CO2 Tables'!B$6+16*'Tier 3 CO2 Tables'!C$6))</f>
        <v>0</v>
      </c>
      <c r="W310" s="46">
        <f>I310*'T3 Methane'!D$30</f>
        <v>0</v>
      </c>
      <c r="X310" s="46" cm="1">
        <f t="array" ref="X310">_xlfn.IFS(E310='Euro Age Table'!C$5,'Euro Age Table'!G$5,E310='Euro Age Table'!C$6,'Euro Age Table'!G$6,E310='Euro Age Table'!C$7,'Euro Age Table'!G$7,E310='Euro Age Table'!C$8,'Euro Age Table'!G$8,E310='Euro Age Table'!C$9,'Euro Age Table'!G$9,E310='Euro Age Table'!C$10,'Euro Age Table'!G$10,E310='Euro Age Table'!C$11,'Euro Age Table'!G$11)</f>
        <v>23</v>
      </c>
      <c r="Y310" s="46">
        <f>X310*'Eilat Car Data'!F$8</f>
        <v>1297200</v>
      </c>
      <c r="Z310" s="46">
        <f>'T3 N2O HDV'!C32</f>
        <v>12</v>
      </c>
      <c r="AA310" s="124">
        <f t="shared" si="18"/>
        <v>0</v>
      </c>
    </row>
    <row r="311" spans="1:27" ht="12.5">
      <c r="A311" s="49" t="s">
        <v>93</v>
      </c>
      <c r="B311" s="49" t="s">
        <v>22</v>
      </c>
      <c r="C311" s="49" t="s">
        <v>67</v>
      </c>
      <c r="D311" s="49" t="s">
        <v>92</v>
      </c>
      <c r="E311" s="50" t="s">
        <v>56</v>
      </c>
      <c r="F311" s="97">
        <v>0</v>
      </c>
      <c r="G311" s="99">
        <f t="shared" si="19"/>
        <v>0</v>
      </c>
      <c r="H311" s="46"/>
      <c r="I311" s="46">
        <f>G311*'Eilat Car Data'!F$8</f>
        <v>0</v>
      </c>
      <c r="J311" s="46">
        <f>I311*'Tier 1 Coefficients'!I$10</f>
        <v>0</v>
      </c>
      <c r="K311" s="46">
        <f t="shared" si="16"/>
        <v>0</v>
      </c>
      <c r="L311" s="46">
        <f>K311*'Tier 1 Coefficients'!D$4</f>
        <v>0</v>
      </c>
      <c r="M311" s="46">
        <f>K311*'Tier 1 Coefficients'!C$21</f>
        <v>0</v>
      </c>
      <c r="N311" s="46">
        <f>K311*'Tier 1 Coefficients'!C$45</f>
        <v>0</v>
      </c>
      <c r="O311" s="46">
        <f>I311*'Tier 2 FC'!D$44</f>
        <v>0</v>
      </c>
      <c r="P311" s="46">
        <f t="shared" si="17"/>
        <v>0</v>
      </c>
      <c r="Q311" s="46">
        <f>P311*'Tier 1 Coefficients'!D$4</f>
        <v>0</v>
      </c>
      <c r="R311" s="46">
        <f>$I311*'T2 Bus'!C8</f>
        <v>0</v>
      </c>
      <c r="S311" s="46">
        <f>$I311*'T2 Bus'!D8</f>
        <v>0</v>
      </c>
      <c r="T311" s="46">
        <f>44.011*(P311/(12.011+1.008*'Tier 3 CO2 Tables'!B$4+16*'Tier 3 CO2 Tables'!C$4))</f>
        <v>0</v>
      </c>
      <c r="U311" s="46">
        <f>I311*'Tier 3 CO2 Tables'!H$11/10000</f>
        <v>0</v>
      </c>
      <c r="V311" s="46">
        <f>44.011*(U311/(12.011+1.008*'Tier 3 CO2 Tables'!B$6+16*'Tier 3 CO2 Tables'!C$6))</f>
        <v>0</v>
      </c>
      <c r="W311" s="46">
        <f>I311*'T3 Methane'!D$30</f>
        <v>0</v>
      </c>
      <c r="X311" s="46" cm="1">
        <f t="array" ref="X311">_xlfn.IFS(E311='Euro Age Table'!C$5,'Euro Age Table'!G$5,E311='Euro Age Table'!C$6,'Euro Age Table'!G$6,E311='Euro Age Table'!C$7,'Euro Age Table'!G$7,E311='Euro Age Table'!C$8,'Euro Age Table'!G$8,E311='Euro Age Table'!C$9,'Euro Age Table'!G$9,E311='Euro Age Table'!C$10,'Euro Age Table'!G$10,E311='Euro Age Table'!C$11,'Euro Age Table'!G$11)</f>
        <v>18</v>
      </c>
      <c r="Y311" s="46">
        <f>X311*'Eilat Car Data'!F$8</f>
        <v>1015200</v>
      </c>
      <c r="Z311" s="46">
        <f>'T3 N2O HDV'!C33</f>
        <v>12</v>
      </c>
      <c r="AA311" s="124">
        <f t="shared" si="18"/>
        <v>0</v>
      </c>
    </row>
    <row r="312" spans="1:27" ht="12.5">
      <c r="A312" s="49" t="s">
        <v>93</v>
      </c>
      <c r="B312" s="49" t="s">
        <v>22</v>
      </c>
      <c r="C312" s="49" t="s">
        <v>67</v>
      </c>
      <c r="D312" s="49" t="s">
        <v>92</v>
      </c>
      <c r="E312" s="50" t="s">
        <v>57</v>
      </c>
      <c r="F312" s="97">
        <v>6.6812168722996752E-4</v>
      </c>
      <c r="G312" s="99">
        <f t="shared" si="19"/>
        <v>2.6724867489198702E-2</v>
      </c>
      <c r="H312" s="46"/>
      <c r="I312" s="46">
        <f>G312*'Eilat Car Data'!F$8</f>
        <v>1507.2825263908069</v>
      </c>
      <c r="J312" s="46">
        <f>I312*'Tier 1 Coefficients'!I$10</f>
        <v>361747.80633379368</v>
      </c>
      <c r="K312" s="46">
        <f t="shared" si="16"/>
        <v>361.74780633379368</v>
      </c>
      <c r="L312" s="46">
        <f>K312*'Tier 1 Coefficients'!D$4</f>
        <v>1146.3787982717922</v>
      </c>
      <c r="M312" s="46">
        <f>K312*'Tier 1 Coefficients'!C$21</f>
        <v>918.83942808783593</v>
      </c>
      <c r="N312" s="46">
        <f>K312*'Tier 1 Coefficients'!C$45</f>
        <v>18.449138123023477</v>
      </c>
      <c r="O312" s="46">
        <f>I312*'Tier 2 FC'!D$44</f>
        <v>453692.04044363287</v>
      </c>
      <c r="P312" s="46">
        <f t="shared" si="17"/>
        <v>453.69204044363289</v>
      </c>
      <c r="Q312" s="46">
        <f>P312*'Tier 1 Coefficients'!D$4</f>
        <v>1437.7500761658725</v>
      </c>
      <c r="R312" s="46">
        <f>$I312*'T2 Bus'!C9</f>
        <v>1.507282526390807</v>
      </c>
      <c r="S312" s="46">
        <f>$I312*'T2 Bus'!D9</f>
        <v>1297.7702552224846</v>
      </c>
      <c r="T312" s="46">
        <f>44.011*(P312/(12.011+1.008*'Tier 3 CO2 Tables'!B$4+16*'Tier 3 CO2 Tables'!C$4))</f>
        <v>1437.9672294420468</v>
      </c>
      <c r="U312" s="46">
        <f>I312*'Tier 3 CO2 Tables'!H$11/10000</f>
        <v>1.2811901474321858</v>
      </c>
      <c r="V312" s="46">
        <f>44.011*(U312/(12.011+1.008*'Tier 3 CO2 Tables'!B$6+16*'Tier 3 CO2 Tables'!C$6))</f>
        <v>3.9968740043435993</v>
      </c>
      <c r="W312" s="46">
        <f>I312*'T3 Methane'!D$30</f>
        <v>263774.44211839122</v>
      </c>
      <c r="X312" s="46" cm="1">
        <f t="array" ref="X312">_xlfn.IFS(E312='Euro Age Table'!C$5,'Euro Age Table'!G$5,E312='Euro Age Table'!C$6,'Euro Age Table'!G$6,E312='Euro Age Table'!C$7,'Euro Age Table'!G$7,E312='Euro Age Table'!C$8,'Euro Age Table'!G$8,E312='Euro Age Table'!C$9,'Euro Age Table'!G$9,E312='Euro Age Table'!C$10,'Euro Age Table'!G$10,E312='Euro Age Table'!C$11,'Euro Age Table'!G$11)</f>
        <v>16</v>
      </c>
      <c r="Y312" s="46">
        <f>X312*'Eilat Car Data'!F$8</f>
        <v>902400</v>
      </c>
      <c r="Z312" s="46">
        <f>'T3 N2O HDV'!C34</f>
        <v>6</v>
      </c>
      <c r="AA312" s="124">
        <f t="shared" si="18"/>
        <v>9043.6951583448408</v>
      </c>
    </row>
    <row r="313" spans="1:27" ht="12.5">
      <c r="A313" s="49" t="s">
        <v>93</v>
      </c>
      <c r="B313" s="49" t="s">
        <v>22</v>
      </c>
      <c r="C313" s="49" t="s">
        <v>67</v>
      </c>
      <c r="D313" s="49" t="s">
        <v>92</v>
      </c>
      <c r="E313" s="50" t="s">
        <v>58</v>
      </c>
      <c r="F313" s="97">
        <v>4.9441004855017593E-3</v>
      </c>
      <c r="G313" s="99">
        <f t="shared" si="19"/>
        <v>0.19776401942007038</v>
      </c>
      <c r="H313" s="46"/>
      <c r="I313" s="46">
        <f>G313*'Eilat Car Data'!F$8</f>
        <v>11153.89069529197</v>
      </c>
      <c r="J313" s="46">
        <f>I313*'Tier 1 Coefficients'!I$10</f>
        <v>2676933.7668700726</v>
      </c>
      <c r="K313" s="46">
        <f t="shared" si="16"/>
        <v>2676.9337668700728</v>
      </c>
      <c r="L313" s="46">
        <f>K313*'Tier 1 Coefficients'!D$4</f>
        <v>8483.2031072112604</v>
      </c>
      <c r="M313" s="46">
        <f>K313*'Tier 1 Coefficients'!C$21</f>
        <v>6799.4117678499852</v>
      </c>
      <c r="N313" s="46">
        <f>K313*'Tier 1 Coefficients'!C$45</f>
        <v>136.52362211037371</v>
      </c>
      <c r="O313" s="46">
        <f>I313*'Tier 2 FC'!D$44</f>
        <v>3357321.0992828826</v>
      </c>
      <c r="P313" s="46">
        <f t="shared" si="17"/>
        <v>3357.3210992828826</v>
      </c>
      <c r="Q313" s="46">
        <f>P313*'Tier 1 Coefficients'!D$4</f>
        <v>10639.350563627455</v>
      </c>
      <c r="R313" s="46">
        <f>$I313*'T2 Bus'!C10</f>
        <v>133.84668834350364</v>
      </c>
      <c r="S313" s="46">
        <f>$I313*'T2 Bus'!D10</f>
        <v>2955.7810342523721</v>
      </c>
      <c r="T313" s="46">
        <f>44.011*(P313/(12.011+1.008*'Tier 3 CO2 Tables'!B$4+16*'Tier 3 CO2 Tables'!C$4))</f>
        <v>10640.957497871144</v>
      </c>
      <c r="U313" s="46">
        <f>I313*'Tier 3 CO2 Tables'!H$11/10000</f>
        <v>9.4808070909981748</v>
      </c>
      <c r="V313" s="46">
        <f>44.011*(U313/(12.011+1.008*'Tier 3 CO2 Tables'!B$6+16*'Tier 3 CO2 Tables'!C$6))</f>
        <v>29.576867632142633</v>
      </c>
      <c r="W313" s="46">
        <f>I313*'T3 Methane'!D$30</f>
        <v>1951930.8716760946</v>
      </c>
      <c r="X313" s="46" cm="1">
        <f t="array" ref="X313">_xlfn.IFS(E313='Euro Age Table'!C$5,'Euro Age Table'!G$5,E313='Euro Age Table'!C$6,'Euro Age Table'!G$6,E313='Euro Age Table'!C$7,'Euro Age Table'!G$7,E313='Euro Age Table'!C$8,'Euro Age Table'!G$8,E313='Euro Age Table'!C$9,'Euro Age Table'!G$9,E313='Euro Age Table'!C$10,'Euro Age Table'!G$10,E313='Euro Age Table'!C$11,'Euro Age Table'!G$11)</f>
        <v>13</v>
      </c>
      <c r="Y313" s="46">
        <f>X313*'Eilat Car Data'!F$8</f>
        <v>733200</v>
      </c>
      <c r="Z313" s="46">
        <f>'T3 N2O HDV'!C35</f>
        <v>12.8</v>
      </c>
      <c r="AA313" s="124">
        <f t="shared" si="18"/>
        <v>142769.80089973722</v>
      </c>
    </row>
    <row r="314" spans="1:27" ht="12.5">
      <c r="A314" s="49" t="s">
        <v>93</v>
      </c>
      <c r="B314" s="49" t="s">
        <v>22</v>
      </c>
      <c r="C314" s="49" t="s">
        <v>67</v>
      </c>
      <c r="D314" s="49" t="s">
        <v>92</v>
      </c>
      <c r="E314" s="50" t="s">
        <v>59</v>
      </c>
      <c r="F314" s="97">
        <v>7.1132688967083871E-2</v>
      </c>
      <c r="G314" s="99">
        <f t="shared" si="19"/>
        <v>2.8453075586833547</v>
      </c>
      <c r="H314" s="46"/>
      <c r="I314" s="46">
        <f>G314*'Eilat Car Data'!F$8</f>
        <v>160475.3463097412</v>
      </c>
      <c r="J314" s="46">
        <f>I314*'Tier 1 Coefficients'!I$10</f>
        <v>38514083.114337891</v>
      </c>
      <c r="K314" s="46">
        <f t="shared" si="16"/>
        <v>38514.083114337889</v>
      </c>
      <c r="L314" s="46">
        <f>K314*'Tier 1 Coefficients'!D$4</f>
        <v>122051.12938933677</v>
      </c>
      <c r="M314" s="46">
        <f>K314*'Tier 1 Coefficients'!C$21</f>
        <v>97825.771110418238</v>
      </c>
      <c r="N314" s="46">
        <f>K314*'Tier 1 Coefficients'!C$45</f>
        <v>1964.2182388312322</v>
      </c>
      <c r="O314" s="46">
        <f>I314*'Tier 2 FC'!D$44</f>
        <v>48303079.239232101</v>
      </c>
      <c r="P314" s="46">
        <f t="shared" si="17"/>
        <v>48303.079239232102</v>
      </c>
      <c r="Q314" s="46">
        <f>P314*'Tier 1 Coefficients'!D$4</f>
        <v>153072.45810912654</v>
      </c>
      <c r="R314" s="46">
        <f>$I314*'T2 Bus'!C11</f>
        <v>5135.2110819117188</v>
      </c>
      <c r="S314" s="46">
        <f>$I314*'T2 Bus'!D11</f>
        <v>42525.966772081418</v>
      </c>
      <c r="T314" s="46">
        <f>44.011*(P314/(12.011+1.008*'Tier 3 CO2 Tables'!B$4+16*'Tier 3 CO2 Tables'!C$4))</f>
        <v>153095.57769459652</v>
      </c>
      <c r="U314" s="46">
        <f>I314*'Tier 3 CO2 Tables'!H$11/10000</f>
        <v>136.40404436328001</v>
      </c>
      <c r="V314" s="46">
        <f>44.011*(U314/(12.011+1.008*'Tier 3 CO2 Tables'!B$6+16*'Tier 3 CO2 Tables'!C$6))</f>
        <v>425.53385232911506</v>
      </c>
      <c r="W314" s="46">
        <f>I314*'T3 Methane'!D$30</f>
        <v>28083185.604204711</v>
      </c>
      <c r="X314" s="46" cm="1">
        <f t="array" ref="X314">_xlfn.IFS(E314='Euro Age Table'!C$5,'Euro Age Table'!G$5,E314='Euro Age Table'!C$6,'Euro Age Table'!G$6,E314='Euro Age Table'!C$7,'Euro Age Table'!G$7,E314='Euro Age Table'!C$8,'Euro Age Table'!G$8,E314='Euro Age Table'!C$9,'Euro Age Table'!G$9,E314='Euro Age Table'!C$10,'Euro Age Table'!G$10,E314='Euro Age Table'!C$11,'Euro Age Table'!G$11)</f>
        <v>9</v>
      </c>
      <c r="Y314" s="46">
        <f>X314*'Eilat Car Data'!F$8</f>
        <v>507600</v>
      </c>
      <c r="Z314" s="46">
        <f>'T3 N2O HDV'!C36</f>
        <v>33.200000000000003</v>
      </c>
      <c r="AA314" s="124">
        <f t="shared" si="18"/>
        <v>5327781.4974834081</v>
      </c>
    </row>
    <row r="315" spans="1:27" ht="12.5">
      <c r="A315" s="49" t="s">
        <v>93</v>
      </c>
      <c r="B315" s="51" t="s">
        <v>22</v>
      </c>
      <c r="C315" s="49" t="s">
        <v>67</v>
      </c>
      <c r="D315" s="51" t="s">
        <v>92</v>
      </c>
      <c r="E315" s="50" t="s">
        <v>60</v>
      </c>
      <c r="F315" s="97">
        <v>0.13571778539931406</v>
      </c>
      <c r="G315" s="99">
        <f t="shared" si="19"/>
        <v>5.4287114159725629</v>
      </c>
      <c r="H315" s="46"/>
      <c r="I315" s="46">
        <f>G315*'Eilat Car Data'!F$8</f>
        <v>306179.32386085257</v>
      </c>
      <c r="J315" s="46">
        <f>I315*'Tier 1 Coefficients'!I$10</f>
        <v>73483037.726604611</v>
      </c>
      <c r="K315" s="46">
        <f t="shared" si="16"/>
        <v>73483.037726604613</v>
      </c>
      <c r="L315" s="46">
        <f>K315*'Tier 1 Coefficients'!D$4</f>
        <v>232867.74655561001</v>
      </c>
      <c r="M315" s="46">
        <f>K315*'Tier 1 Coefficients'!C$21</f>
        <v>186646.91582557571</v>
      </c>
      <c r="N315" s="46">
        <f>K315*'Tier 1 Coefficients'!C$45</f>
        <v>3747.6349240568352</v>
      </c>
      <c r="O315" s="46">
        <f>I315*'Tier 2 FC'!D$44</f>
        <v>92159976.482116625</v>
      </c>
      <c r="P315" s="46">
        <f t="shared" si="17"/>
        <v>92159.976482116632</v>
      </c>
      <c r="Q315" s="46">
        <f>P315*'Tier 1 Coefficients'!D$4</f>
        <v>292054.9654718276</v>
      </c>
      <c r="R315" s="46">
        <f>$I315*'T2 Bus'!C12</f>
        <v>12247.172954434103</v>
      </c>
      <c r="S315" s="46">
        <f>$I315*'T2 Bus'!D12</f>
        <v>81137.520823125931</v>
      </c>
      <c r="T315" s="46">
        <f>44.011*(P315/(12.011+1.008*'Tier 3 CO2 Tables'!B$4+16*'Tier 3 CO2 Tables'!C$4))</f>
        <v>292099.0765406611</v>
      </c>
      <c r="U315" s="46">
        <f>I315*'Tier 3 CO2 Tables'!H$12/10000</f>
        <v>26.02524252817247</v>
      </c>
      <c r="V315" s="46">
        <f>44.011*(U315/(12.011+1.008*'Tier 3 CO2 Tables'!B$6+16*'Tier 3 CO2 Tables'!C$6))</f>
        <v>81.189833941566306</v>
      </c>
      <c r="W315" s="46">
        <f>I315*'T3 Methane'!D$30</f>
        <v>53581381.675649203</v>
      </c>
      <c r="X315" s="46" cm="1">
        <f t="array" ref="X315">_xlfn.IFS(E315='Euro Age Table'!C$5,'Euro Age Table'!G$5,E315='Euro Age Table'!C$6,'Euro Age Table'!G$6,E315='Euro Age Table'!C$7,'Euro Age Table'!G$7,E315='Euro Age Table'!C$8,'Euro Age Table'!G$8,E315='Euro Age Table'!C$9,'Euro Age Table'!G$9,E315='Euro Age Table'!C$10,'Euro Age Table'!G$10,E315='Euro Age Table'!C$11,'Euro Age Table'!G$11)</f>
        <v>3</v>
      </c>
      <c r="Y315" s="46">
        <f>X315*'Eilat Car Data'!F$8</f>
        <v>169200</v>
      </c>
      <c r="Z315" s="46">
        <f>'T3 N2O HDV'!C37</f>
        <v>41.5</v>
      </c>
      <c r="AA315" s="124">
        <f t="shared" si="18"/>
        <v>12706441.940225381</v>
      </c>
    </row>
    <row r="316" spans="1:27" ht="12.5">
      <c r="A316" s="49" t="s">
        <v>93</v>
      </c>
      <c r="B316" s="49" t="s">
        <v>64</v>
      </c>
      <c r="C316" s="49" t="s">
        <v>67</v>
      </c>
      <c r="D316" s="49" t="s">
        <v>91</v>
      </c>
      <c r="E316" s="50" t="s">
        <v>59</v>
      </c>
      <c r="F316" s="97">
        <v>4.4541445815331164E-5</v>
      </c>
      <c r="G316" s="99">
        <f t="shared" si="19"/>
        <v>1.7816578326132464E-3</v>
      </c>
      <c r="H316" s="46"/>
      <c r="I316" s="46">
        <f>G316*'Eilat Car Data'!F$8</f>
        <v>100.48550175938711</v>
      </c>
      <c r="J316" s="46">
        <f>I316*0</f>
        <v>0</v>
      </c>
      <c r="K316" s="46">
        <f t="shared" si="16"/>
        <v>0</v>
      </c>
      <c r="L316" s="46">
        <f>K316*0</f>
        <v>0</v>
      </c>
      <c r="M316" s="46">
        <f>K316*0</f>
        <v>0</v>
      </c>
      <c r="N316" s="46">
        <f>K316*0</f>
        <v>0</v>
      </c>
      <c r="O316" s="46">
        <f>I316*0</f>
        <v>0</v>
      </c>
      <c r="P316" s="46">
        <f t="shared" si="17"/>
        <v>0</v>
      </c>
      <c r="Q316" s="46">
        <f>P316*0</f>
        <v>0</v>
      </c>
      <c r="R316" s="46">
        <f>$I316*'T2 Bus'!C11</f>
        <v>3.2155360563003876</v>
      </c>
      <c r="S316" s="46">
        <f>$I316*'T2 Bus'!D11</f>
        <v>26.628657966237583</v>
      </c>
      <c r="T316" s="46">
        <f>P316*0</f>
        <v>0</v>
      </c>
      <c r="U316" s="46">
        <f>I316*0/10000</f>
        <v>0</v>
      </c>
      <c r="V316" s="46">
        <f>44.011*(U316/(12.011+1.008*'Tier 3 CO2 Tables'!B$6+16*'Tier 3 CO2 Tables'!C$6))</f>
        <v>0</v>
      </c>
      <c r="W316" s="46">
        <f>I316*0</f>
        <v>0</v>
      </c>
      <c r="X316" s="46" cm="1">
        <f t="array" ref="X316">_xlfn.IFS(E316='Euro Age Table'!C$5,'Euro Age Table'!G$5,E316='Euro Age Table'!C$6,'Euro Age Table'!G$6,E316='Euro Age Table'!C$7,'Euro Age Table'!G$7,E316='Euro Age Table'!C$8,'Euro Age Table'!G$8,E316='Euro Age Table'!C$9,'Euro Age Table'!G$9,E316='Euro Age Table'!C$10,'Euro Age Table'!G$10,E316='Euro Age Table'!C$11,'Euro Age Table'!G$11)</f>
        <v>9</v>
      </c>
      <c r="Y316" s="46">
        <f>X316*'Eilat Car Data'!F$8</f>
        <v>507600</v>
      </c>
      <c r="Z316" s="46">
        <v>0</v>
      </c>
      <c r="AA316" s="124">
        <f t="shared" si="18"/>
        <v>0</v>
      </c>
    </row>
    <row r="317" spans="1:27" ht="12.5">
      <c r="A317" s="81" t="s">
        <v>93</v>
      </c>
      <c r="B317" s="82" t="s">
        <v>64</v>
      </c>
      <c r="C317" s="82" t="s">
        <v>67</v>
      </c>
      <c r="D317" s="82" t="s">
        <v>91</v>
      </c>
      <c r="E317" s="83" t="s">
        <v>60</v>
      </c>
      <c r="F317" s="98">
        <v>5.1668077145784154E-3</v>
      </c>
      <c r="G317" s="99">
        <f t="shared" si="19"/>
        <v>0.20667230858313662</v>
      </c>
      <c r="H317" s="46"/>
      <c r="I317" s="46">
        <f>G317*'Eilat Car Data'!F$8</f>
        <v>11656.318204088906</v>
      </c>
      <c r="J317" s="46">
        <f>I317*0</f>
        <v>0</v>
      </c>
      <c r="K317" s="46">
        <f t="shared" si="16"/>
        <v>0</v>
      </c>
      <c r="L317" s="46">
        <f>K317*0</f>
        <v>0</v>
      </c>
      <c r="M317" s="46">
        <f>K317*0</f>
        <v>0</v>
      </c>
      <c r="N317" s="46">
        <f>K317*0</f>
        <v>0</v>
      </c>
      <c r="O317" s="46">
        <f>I317*0</f>
        <v>0</v>
      </c>
      <c r="P317" s="46">
        <f t="shared" si="17"/>
        <v>0</v>
      </c>
      <c r="Q317" s="46">
        <f>P317*0</f>
        <v>0</v>
      </c>
      <c r="R317" s="46">
        <f>$I317*'T2 Bus'!C12</f>
        <v>466.25272816355624</v>
      </c>
      <c r="S317" s="46">
        <f>$I317*'T2 Bus'!D12</f>
        <v>3088.9243240835604</v>
      </c>
      <c r="T317" s="46">
        <f>P317*0</f>
        <v>0</v>
      </c>
      <c r="U317" s="46">
        <f>I317*0/10000</f>
        <v>0</v>
      </c>
      <c r="V317" s="46">
        <f>44.011*(U317/(12.011+1.008*'Tier 3 CO2 Tables'!B$6+16*'Tier 3 CO2 Tables'!C$6))</f>
        <v>0</v>
      </c>
      <c r="W317" s="46">
        <f>I317*0</f>
        <v>0</v>
      </c>
      <c r="X317" s="46" cm="1">
        <f t="array" ref="X317">_xlfn.IFS(E317='Euro Age Table'!C$5,'Euro Age Table'!G$5,E317='Euro Age Table'!C$6,'Euro Age Table'!G$6,E317='Euro Age Table'!C$7,'Euro Age Table'!G$7,E317='Euro Age Table'!C$8,'Euro Age Table'!G$8,E317='Euro Age Table'!C$9,'Euro Age Table'!G$9,E317='Euro Age Table'!C$10,'Euro Age Table'!G$10,E317='Euro Age Table'!C$11,'Euro Age Table'!G$11)</f>
        <v>3</v>
      </c>
      <c r="Y317" s="46">
        <f>X317*'Eilat Car Data'!F$8</f>
        <v>169200</v>
      </c>
      <c r="Z317" s="46">
        <v>0</v>
      </c>
      <c r="AA317" s="124">
        <f t="shared" si="18"/>
        <v>0</v>
      </c>
    </row>
    <row r="318" spans="1:27" ht="12.5">
      <c r="A318" s="54" t="s">
        <v>10</v>
      </c>
      <c r="B318" s="53"/>
      <c r="C318" s="53"/>
      <c r="D318" s="53"/>
      <c r="E318" s="53"/>
      <c r="F318" s="88"/>
      <c r="G318" s="100">
        <v>2005</v>
      </c>
      <c r="H318" s="46">
        <f>SUM(G326:G348)</f>
        <v>1994.4381378170863</v>
      </c>
      <c r="I318" s="46"/>
      <c r="J318" s="46"/>
      <c r="K318" s="46">
        <f t="shared" si="16"/>
        <v>0</v>
      </c>
      <c r="L318" s="46"/>
      <c r="M318" s="46"/>
      <c r="N318" s="46"/>
      <c r="O318" s="46"/>
      <c r="P318" s="46">
        <f t="shared" si="17"/>
        <v>0</v>
      </c>
      <c r="Q318" s="46"/>
      <c r="R318" s="46"/>
      <c r="S318" s="46"/>
      <c r="T318" s="46"/>
      <c r="U318" s="46"/>
      <c r="V318" s="46">
        <f>44.011*(U318/(12.011+1.008*'Tier 3 CO2 Tables'!B$6+16*'Tier 3 CO2 Tables'!C$6))</f>
        <v>0</v>
      </c>
      <c r="W318" s="46"/>
      <c r="X318" s="46" t="e" cm="1">
        <f t="array" ref="X318">_xlfn.IFS(E318='Euro Age Table'!C$5,'Euro Age Table'!G$5,E318='Euro Age Table'!C$6,'Euro Age Table'!G$6,E318='Euro Age Table'!C$7,'Euro Age Table'!G$7,E318='Euro Age Table'!C$8,'Euro Age Table'!G$8,E318='Euro Age Table'!C$9,'Euro Age Table'!G$9,E318='Euro Age Table'!C$10,'Euro Age Table'!G$10,E318='Euro Age Table'!C$11,'Euro Age Table'!G$11)</f>
        <v>#N/A</v>
      </c>
      <c r="Y318" s="46"/>
      <c r="Z318" s="46"/>
      <c r="AA318" s="124">
        <f t="shared" si="18"/>
        <v>0</v>
      </c>
    </row>
    <row r="319" spans="1:27" ht="12.5">
      <c r="A319" s="56" t="s">
        <v>94</v>
      </c>
      <c r="B319" s="49" t="s">
        <v>20</v>
      </c>
      <c r="C319" s="49" t="s">
        <v>95</v>
      </c>
      <c r="D319" s="49" t="s">
        <v>96</v>
      </c>
      <c r="E319" s="50" t="s">
        <v>54</v>
      </c>
      <c r="F319" s="90">
        <v>4.2764117018174747E-4</v>
      </c>
      <c r="G319" s="99">
        <f t="shared" ref="G319:G325" si="20">F319*$G$166</f>
        <v>0.32629021284867332</v>
      </c>
      <c r="H319" s="46"/>
      <c r="I319" s="46">
        <f>G319*'Eilat Car Data'!F$10</f>
        <v>2447.17659636505</v>
      </c>
      <c r="J319" s="46">
        <f>I319*'Tier 1 Coefficients'!I$12</f>
        <v>85651.180872776749</v>
      </c>
      <c r="K319" s="46">
        <f t="shared" si="16"/>
        <v>85.651180872776749</v>
      </c>
      <c r="L319" s="46">
        <f>K319*'Tier 1 Coefficients'!D$3</f>
        <v>271.42859218582953</v>
      </c>
      <c r="M319" s="46">
        <f>K319*'Tier 1 Coefficients'!C$23</f>
        <v>4608.0335309553884</v>
      </c>
      <c r="N319" s="46">
        <f>K319*'Tier 1 Coefficients'!C$47</f>
        <v>5.0534196714938275</v>
      </c>
      <c r="O319" s="46">
        <f>I319*'Tier 2 FC'!D48</f>
        <v>61179.414909126252</v>
      </c>
      <c r="P319" s="46">
        <f t="shared" si="17"/>
        <v>61.179414909126251</v>
      </c>
      <c r="Q319" s="46">
        <f>P319*'Tier 1 Coefficients'!D$3</f>
        <v>193.87756584702109</v>
      </c>
      <c r="R319" s="46">
        <f>$I319*'T2 L-Cat'!C2</f>
        <v>2.44717659636505</v>
      </c>
      <c r="S319" s="46">
        <f>$I319*'T2 L-Cat'!D2</f>
        <v>10376.028768587812</v>
      </c>
      <c r="T319" s="46">
        <f>44.011*(P319/(12.011+1.008*'Tier 3 CO2 Tables'!B$3+16*'Tier 3 CO2 Tables'!C$3))</f>
        <v>193.90684850838085</v>
      </c>
      <c r="U319" s="46">
        <f>I319*'Tier 3 CO2 Tables'!H$16/10000</f>
        <v>2.4961201282923509</v>
      </c>
      <c r="V319" s="46">
        <f>44.011*(U319/(12.011+1.008*'Tier 3 CO2 Tables'!B$6+16*'Tier 3 CO2 Tables'!C$6))</f>
        <v>7.7870390062600592</v>
      </c>
      <c r="W319" s="46">
        <f>I319*'T3 Methane'!D$36</f>
        <v>535931.67460394592</v>
      </c>
      <c r="X319" s="46" cm="1">
        <f t="array" ref="X319">_xlfn.IFS(E319='Euro Age Table'!C$5,'Euro Age Table'!G$5,E319='Euro Age Table'!C$6,'Euro Age Table'!G$6,E319='Euro Age Table'!C$7,'Euro Age Table'!G$7,E319='Euro Age Table'!C$8,'Euro Age Table'!G$8,E319='Euro Age Table'!C$9,'Euro Age Table'!G$9,E319='Euro Age Table'!C$10,'Euro Age Table'!G$10,E319='Euro Age Table'!C$11,'Euro Age Table'!G$11)</f>
        <v>27</v>
      </c>
      <c r="Y319" s="46">
        <f>X319*'Eilat Car Data'!F$10</f>
        <v>202500</v>
      </c>
      <c r="Z319" s="46">
        <f>'T3 N2O PC-Diesel LPG'!B$17</f>
        <v>1</v>
      </c>
      <c r="AA319" s="124">
        <f t="shared" si="18"/>
        <v>2447.17659636505</v>
      </c>
    </row>
    <row r="320" spans="1:27" ht="12.5">
      <c r="A320" s="56" t="s">
        <v>94</v>
      </c>
      <c r="B320" s="49" t="s">
        <v>20</v>
      </c>
      <c r="C320" s="49" t="s">
        <v>95</v>
      </c>
      <c r="D320" s="49" t="s">
        <v>96</v>
      </c>
      <c r="E320" s="50" t="s">
        <v>55</v>
      </c>
      <c r="F320" s="97">
        <v>1.4125117439336508E-3</v>
      </c>
      <c r="G320" s="99">
        <f t="shared" si="20"/>
        <v>1.0777464606213756</v>
      </c>
      <c r="H320" s="46"/>
      <c r="I320" s="46">
        <f>G320*'Eilat Car Data'!F$10</f>
        <v>8083.0984546603167</v>
      </c>
      <c r="J320" s="46">
        <f>I320*'Tier 1 Coefficients'!I$12</f>
        <v>282908.44591311109</v>
      </c>
      <c r="K320" s="46">
        <f t="shared" si="16"/>
        <v>282.90844591311111</v>
      </c>
      <c r="L320" s="46">
        <f>K320*'Tier 1 Coefficients'!D$3</f>
        <v>896.53686509864906</v>
      </c>
      <c r="M320" s="46">
        <f>K320*'Tier 1 Coefficients'!C$23</f>
        <v>15220.474390125377</v>
      </c>
      <c r="N320" s="46">
        <f>K320*'Tier 1 Coefficients'!C$47</f>
        <v>16.691598308873555</v>
      </c>
      <c r="O320" s="46">
        <f>I320*'Tier 2 FC'!D49</f>
        <v>161661.96909320634</v>
      </c>
      <c r="P320" s="46">
        <f t="shared" si="17"/>
        <v>161.66196909320635</v>
      </c>
      <c r="Q320" s="46">
        <f>P320*'Tier 1 Coefficients'!D$3</f>
        <v>512.30678005637094</v>
      </c>
      <c r="R320" s="46">
        <f>$I320*'T2 L-Cat'!C3</f>
        <v>8.0830984546603162</v>
      </c>
      <c r="S320" s="46">
        <f>$I320*'T2 L-Cat'!D3</f>
        <v>28533.337544950915</v>
      </c>
      <c r="T320" s="46">
        <f>44.011*(P320/(12.011+1.008*'Tier 3 CO2 Tables'!B$3+16*'Tier 3 CO2 Tables'!C$3))</f>
        <v>512.38415727063068</v>
      </c>
      <c r="U320" s="46">
        <f>I320*'Tier 3 CO2 Tables'!H$16/10000</f>
        <v>8.2447604237535224</v>
      </c>
      <c r="V320" s="46">
        <f>44.011*(U320/(12.011+1.008*'Tier 3 CO2 Tables'!B$6+16*'Tier 3 CO2 Tables'!C$6))</f>
        <v>25.720825808555951</v>
      </c>
      <c r="W320" s="46">
        <f>I320*'T3 Methane'!D$36</f>
        <v>1770198.5615706095</v>
      </c>
      <c r="X320" s="46" cm="1">
        <f t="array" ref="X320">_xlfn.IFS(E320='Euro Age Table'!C$5,'Euro Age Table'!G$5,E320='Euro Age Table'!C$6,'Euro Age Table'!G$6,E320='Euro Age Table'!C$7,'Euro Age Table'!G$7,E320='Euro Age Table'!C$8,'Euro Age Table'!G$8,E320='Euro Age Table'!C$9,'Euro Age Table'!G$9,E320='Euro Age Table'!C$10,'Euro Age Table'!G$10,E320='Euro Age Table'!C$11,'Euro Age Table'!G$11)</f>
        <v>23</v>
      </c>
      <c r="Y320" s="46">
        <f>X320*'Eilat Car Data'!F$10</f>
        <v>172500</v>
      </c>
      <c r="Z320" s="46">
        <f>'T3 N2O PC-Diesel LPG'!B$17</f>
        <v>1</v>
      </c>
      <c r="AA320" s="124">
        <f t="shared" si="18"/>
        <v>8083.0984546603167</v>
      </c>
    </row>
    <row r="321" spans="1:27" ht="12.5">
      <c r="A321" s="56" t="s">
        <v>94</v>
      </c>
      <c r="B321" s="49" t="s">
        <v>20</v>
      </c>
      <c r="C321" s="49" t="s">
        <v>95</v>
      </c>
      <c r="D321" s="49" t="s">
        <v>96</v>
      </c>
      <c r="E321" s="50" t="s">
        <v>56</v>
      </c>
      <c r="F321" s="97">
        <v>1.6263323290245245E-3</v>
      </c>
      <c r="G321" s="99">
        <f t="shared" si="20"/>
        <v>1.2408915670457121</v>
      </c>
      <c r="H321" s="46"/>
      <c r="I321" s="46">
        <f>G321*'Eilat Car Data'!F$10</f>
        <v>9306.6867528428411</v>
      </c>
      <c r="J321" s="46">
        <f>I321*'Tier 1 Coefficients'!I$12</f>
        <v>325734.03634949942</v>
      </c>
      <c r="K321" s="46">
        <f t="shared" si="16"/>
        <v>325.73403634949943</v>
      </c>
      <c r="L321" s="46">
        <f>K321*'Tier 1 Coefficients'!D$3</f>
        <v>1032.2511611915638</v>
      </c>
      <c r="M321" s="46">
        <f>K321*'Tier 1 Coefficients'!C$23</f>
        <v>17524.491155603067</v>
      </c>
      <c r="N321" s="46">
        <f>K321*'Tier 1 Coefficients'!C$47</f>
        <v>19.218308144620465</v>
      </c>
      <c r="O321" s="46">
        <f>I321*'Tier 2 FC'!D50</f>
        <v>186133.73505685682</v>
      </c>
      <c r="P321" s="46">
        <f t="shared" si="17"/>
        <v>186.13373505685684</v>
      </c>
      <c r="Q321" s="46">
        <f>P321*'Tier 1 Coefficients'!D$3</f>
        <v>589.8578063951793</v>
      </c>
      <c r="R321" s="46">
        <f>$I321*'T2 L-Cat'!C4</f>
        <v>9.3066867528428414</v>
      </c>
      <c r="S321" s="46">
        <f>$I321*'T2 L-Cat'!D4</f>
        <v>26337.923510545243</v>
      </c>
      <c r="T321" s="46">
        <f>44.011*(P321/(12.011+1.008*'Tier 3 CO2 Tables'!B$3+16*'Tier 3 CO2 Tables'!C$3))</f>
        <v>589.94689667398302</v>
      </c>
      <c r="U321" s="46">
        <f>I321*'Tier 3 CO2 Tables'!H$16/10000</f>
        <v>9.4928204878996976</v>
      </c>
      <c r="V321" s="46">
        <f>44.011*(U321/(12.011+1.008*'Tier 3 CO2 Tables'!B$6+16*'Tier 3 CO2 Tables'!C$6))</f>
        <v>29.61434531168598</v>
      </c>
      <c r="W321" s="46">
        <f>I321*'T3 Methane'!D$36</f>
        <v>2038164.3988725822</v>
      </c>
      <c r="X321" s="46" cm="1">
        <f t="array" ref="X321">_xlfn.IFS(E321='Euro Age Table'!C$5,'Euro Age Table'!G$5,E321='Euro Age Table'!C$6,'Euro Age Table'!G$6,E321='Euro Age Table'!C$7,'Euro Age Table'!G$7,E321='Euro Age Table'!C$8,'Euro Age Table'!G$8,E321='Euro Age Table'!C$9,'Euro Age Table'!G$9,E321='Euro Age Table'!C$10,'Euro Age Table'!G$10,E321='Euro Age Table'!C$11,'Euro Age Table'!G$11)</f>
        <v>18</v>
      </c>
      <c r="Y321" s="46">
        <f>X321*'Eilat Car Data'!F$10</f>
        <v>135000</v>
      </c>
      <c r="Z321" s="46">
        <f>'T3 N2O PC-Diesel LPG'!B$17</f>
        <v>1</v>
      </c>
      <c r="AA321" s="124">
        <f t="shared" si="18"/>
        <v>9306.6867528428411</v>
      </c>
    </row>
    <row r="322" spans="1:27" ht="12.5">
      <c r="A322" s="57" t="s">
        <v>94</v>
      </c>
      <c r="B322" s="49" t="s">
        <v>20</v>
      </c>
      <c r="C322" s="49" t="s">
        <v>95</v>
      </c>
      <c r="D322" s="51" t="s">
        <v>96</v>
      </c>
      <c r="E322" s="51" t="s">
        <v>57</v>
      </c>
      <c r="F322" s="97">
        <v>0</v>
      </c>
      <c r="G322" s="99">
        <f t="shared" si="20"/>
        <v>0</v>
      </c>
      <c r="H322" s="46"/>
      <c r="I322" s="46">
        <f>G322*'Eilat Car Data'!F$10</f>
        <v>0</v>
      </c>
      <c r="J322" s="46">
        <f>I322*'Tier 1 Coefficients'!I$12</f>
        <v>0</v>
      </c>
      <c r="K322" s="46">
        <f t="shared" si="16"/>
        <v>0</v>
      </c>
      <c r="L322" s="46">
        <f>K322*'Tier 1 Coefficients'!D$3</f>
        <v>0</v>
      </c>
      <c r="M322" s="46">
        <f>K322*'Tier 1 Coefficients'!C$23</f>
        <v>0</v>
      </c>
      <c r="N322" s="46">
        <f>K322*'Tier 1 Coefficients'!C$47</f>
        <v>0</v>
      </c>
      <c r="O322" s="46">
        <f>I322*'Tier 2 FC'!D51</f>
        <v>0</v>
      </c>
      <c r="P322" s="46">
        <f t="shared" si="17"/>
        <v>0</v>
      </c>
      <c r="Q322" s="46">
        <f>P322*'Tier 1 Coefficients'!D$3</f>
        <v>0</v>
      </c>
      <c r="R322" s="46">
        <f>$I322*'T2 L-Cat'!C5</f>
        <v>0</v>
      </c>
      <c r="S322" s="46">
        <f>$I322*'T2 L-Cat'!D5</f>
        <v>0</v>
      </c>
      <c r="T322" s="46">
        <f>44.011*(P322/(12.011+1.008*'Tier 3 CO2 Tables'!B$3+16*'Tier 3 CO2 Tables'!C$3))</f>
        <v>0</v>
      </c>
      <c r="U322" s="46">
        <f>I322*'Tier 3 CO2 Tables'!H$17/10000</f>
        <v>0</v>
      </c>
      <c r="V322" s="46">
        <f>44.011*(U322/(12.011+1.008*'Tier 3 CO2 Tables'!B$6+16*'Tier 3 CO2 Tables'!C$6))</f>
        <v>0</v>
      </c>
      <c r="W322" s="46">
        <f>I322*'T3 Methane'!D$36</f>
        <v>0</v>
      </c>
      <c r="X322" s="46" cm="1">
        <f t="array" ref="X322">_xlfn.IFS(E322='Euro Age Table'!C$5,'Euro Age Table'!G$5,E322='Euro Age Table'!C$6,'Euro Age Table'!G$6,E322='Euro Age Table'!C$7,'Euro Age Table'!G$7,E322='Euro Age Table'!C$8,'Euro Age Table'!G$8,E322='Euro Age Table'!C$9,'Euro Age Table'!G$9,E322='Euro Age Table'!C$10,'Euro Age Table'!G$10,E322='Euro Age Table'!C$11,'Euro Age Table'!G$11)</f>
        <v>16</v>
      </c>
      <c r="Y322" s="46">
        <f>X322*'Eilat Car Data'!F$10</f>
        <v>120000</v>
      </c>
      <c r="Z322" s="46">
        <f>'T3 N2O PC-Diesel LPG'!B$17</f>
        <v>1</v>
      </c>
      <c r="AA322" s="124">
        <f t="shared" si="18"/>
        <v>0</v>
      </c>
    </row>
    <row r="323" spans="1:27" ht="12.5">
      <c r="A323" s="56" t="s">
        <v>10</v>
      </c>
      <c r="B323" s="56" t="s">
        <v>20</v>
      </c>
      <c r="C323" s="49" t="s">
        <v>95</v>
      </c>
      <c r="D323" s="56" t="s">
        <v>97</v>
      </c>
      <c r="E323" s="50" t="s">
        <v>54</v>
      </c>
      <c r="F323" s="97">
        <v>1.3606764505782874E-4</v>
      </c>
      <c r="G323" s="99">
        <f t="shared" si="20"/>
        <v>0.10381961317912333</v>
      </c>
      <c r="H323" s="46"/>
      <c r="I323" s="46">
        <f>G323*'Eilat Car Data'!F$10</f>
        <v>778.64709884342494</v>
      </c>
      <c r="J323" s="46">
        <f>I323*'Tier 1 Coefficients'!I$12</f>
        <v>27252.648459519874</v>
      </c>
      <c r="K323" s="46">
        <f t="shared" si="16"/>
        <v>27.252648459519875</v>
      </c>
      <c r="L323" s="46">
        <f>K323*'Tier 1 Coefficients'!D$3</f>
        <v>86.363642968218485</v>
      </c>
      <c r="M323" s="46">
        <f>K323*'Tier 1 Coefficients'!C$23</f>
        <v>1466.1924871221693</v>
      </c>
      <c r="N323" s="46">
        <f>K323*'Tier 1 Coefficients'!C$47</f>
        <v>1.6079062591116726</v>
      </c>
      <c r="O323" s="46">
        <f>I323*'Tier 2 FC'!D52</f>
        <v>19466.177471085623</v>
      </c>
      <c r="P323" s="46">
        <f t="shared" si="17"/>
        <v>19.466177471085622</v>
      </c>
      <c r="Q323" s="46">
        <f>P323*'Tier 1 Coefficients'!D$3</f>
        <v>61.688316405870339</v>
      </c>
      <c r="R323" s="46">
        <f>I323*'T2 L-Cat'!C6</f>
        <v>0.77864709884342498</v>
      </c>
      <c r="S323" s="46">
        <f>I323*'T2 L-Cat'!D6</f>
        <v>3301.4636990961221</v>
      </c>
      <c r="T323" s="46">
        <f>44.011*(P323/(12.011+1.008*'Tier 3 CO2 Tables'!B$3+16*'Tier 3 CO2 Tables'!C$3))</f>
        <v>61.697633616302987</v>
      </c>
      <c r="U323" s="46">
        <f>I323*'Tier 3 CO2 Tables'!H$16/10000</f>
        <v>0.79422004082029329</v>
      </c>
      <c r="V323" s="46">
        <f>44.011*(U323/(12.011+1.008*'Tier 3 CO2 Tables'!B$6+16*'Tier 3 CO2 Tables'!C$6))</f>
        <v>2.4776942292645638</v>
      </c>
      <c r="W323" s="46">
        <f>I323*'T3 Methane'!D$38</f>
        <v>116797.06482651374</v>
      </c>
      <c r="X323" s="46" cm="1">
        <f t="array" ref="X323">_xlfn.IFS(E323='Euro Age Table'!C$5,'Euro Age Table'!G$5,E323='Euro Age Table'!C$6,'Euro Age Table'!G$6,E323='Euro Age Table'!C$7,'Euro Age Table'!G$7,E323='Euro Age Table'!C$8,'Euro Age Table'!G$8,E323='Euro Age Table'!C$9,'Euro Age Table'!G$9,E323='Euro Age Table'!C$10,'Euro Age Table'!G$10,E323='Euro Age Table'!C$11,'Euro Age Table'!G$11)</f>
        <v>27</v>
      </c>
      <c r="Y323" s="46">
        <f>X323*'Eilat Car Data'!F$10</f>
        <v>202500</v>
      </c>
      <c r="Z323" s="46">
        <f>'T3 N2O PC-Diesel LPG'!B$18</f>
        <v>2</v>
      </c>
      <c r="AA323" s="124">
        <f t="shared" si="18"/>
        <v>1557.2941976868499</v>
      </c>
    </row>
    <row r="324" spans="1:27" ht="12.5">
      <c r="A324" s="56" t="s">
        <v>10</v>
      </c>
      <c r="B324" s="56" t="s">
        <v>20</v>
      </c>
      <c r="C324" s="49" t="s">
        <v>95</v>
      </c>
      <c r="D324" s="56" t="s">
        <v>97</v>
      </c>
      <c r="E324" s="50" t="s">
        <v>55</v>
      </c>
      <c r="F324" s="97">
        <v>1.4902646839666959E-4</v>
      </c>
      <c r="G324" s="99">
        <f t="shared" si="20"/>
        <v>0.1137071953866589</v>
      </c>
      <c r="H324" s="46"/>
      <c r="I324" s="46">
        <f>G324*'Eilat Car Data'!F$10</f>
        <v>852.80396539994172</v>
      </c>
      <c r="J324" s="46">
        <f>I324*'Tier 1 Coefficients'!I$12</f>
        <v>29848.13878899796</v>
      </c>
      <c r="K324" s="46">
        <f t="shared" ref="K324:K348" si="21">J324/1000</f>
        <v>29.848138788997961</v>
      </c>
      <c r="L324" s="46">
        <f>K324*'Tier 1 Coefficients'!D$3</f>
        <v>94.588751822334544</v>
      </c>
      <c r="M324" s="46">
        <f>K324*'Tier 1 Coefficients'!C$23</f>
        <v>1605.8298668480902</v>
      </c>
      <c r="N324" s="46">
        <f>K324*'Tier 1 Coefficients'!C$47</f>
        <v>1.7610401885508795</v>
      </c>
      <c r="O324" s="46">
        <f>I324*'Tier 2 FC'!D53</f>
        <v>17056.079307998836</v>
      </c>
      <c r="P324" s="46">
        <f t="shared" ref="P324:P348" si="22">O324/1000</f>
        <v>17.056079307998836</v>
      </c>
      <c r="Q324" s="46">
        <f>P324*'Tier 1 Coefficients'!D$3</f>
        <v>54.050715327048309</v>
      </c>
      <c r="R324" s="46">
        <f>I324*'T2 L-Cat'!C7</f>
        <v>0.85280396539994174</v>
      </c>
      <c r="S324" s="46">
        <f>I324*'T2 L-Cat'!D7</f>
        <v>3010.397997861794</v>
      </c>
      <c r="T324" s="46">
        <f>44.011*(P324/(12.011+1.008*'Tier 3 CO2 Tables'!B$3+16*'Tier 3 CO2 Tables'!C$3))</f>
        <v>54.058878978094057</v>
      </c>
      <c r="U324" s="46">
        <f>I324*'Tier 3 CO2 Tables'!H$16/10000</f>
        <v>0.86986004470794054</v>
      </c>
      <c r="V324" s="46">
        <f>44.011*(U324/(12.011+1.008*'Tier 3 CO2 Tables'!B$6+16*'Tier 3 CO2 Tables'!C$6))</f>
        <v>2.7136651082421421</v>
      </c>
      <c r="W324" s="46">
        <f>I324*'T3 Methane'!D$38</f>
        <v>127920.59480999126</v>
      </c>
      <c r="X324" s="46" cm="1">
        <f t="array" ref="X324">_xlfn.IFS(E324='Euro Age Table'!C$5,'Euro Age Table'!G$5,E324='Euro Age Table'!C$6,'Euro Age Table'!G$6,E324='Euro Age Table'!C$7,'Euro Age Table'!G$7,E324='Euro Age Table'!C$8,'Euro Age Table'!G$8,E324='Euro Age Table'!C$9,'Euro Age Table'!G$9,E324='Euro Age Table'!C$10,'Euro Age Table'!G$10,E324='Euro Age Table'!C$11,'Euro Age Table'!G$11)</f>
        <v>23</v>
      </c>
      <c r="Y324" s="46">
        <f>X324*'Eilat Car Data'!F$10</f>
        <v>172500</v>
      </c>
      <c r="Z324" s="46">
        <f>'T3 N2O PC-Diesel LPG'!B$18</f>
        <v>2</v>
      </c>
      <c r="AA324" s="124">
        <f t="shared" ref="AA324:AA348" si="23">Z324*I324</f>
        <v>1705.6079307998834</v>
      </c>
    </row>
    <row r="325" spans="1:27" ht="12.5">
      <c r="A325" s="56" t="s">
        <v>10</v>
      </c>
      <c r="B325" s="56" t="s">
        <v>20</v>
      </c>
      <c r="C325" s="49" t="s">
        <v>95</v>
      </c>
      <c r="D325" s="56" t="s">
        <v>97</v>
      </c>
      <c r="E325" s="50" t="s">
        <v>56</v>
      </c>
      <c r="F325" s="97">
        <v>1.5161823306443776E-3</v>
      </c>
      <c r="G325" s="99">
        <f t="shared" si="20"/>
        <v>1.1568471182816602</v>
      </c>
      <c r="H325" s="46"/>
      <c r="I325" s="46">
        <f>G325*'Eilat Car Data'!F$10</f>
        <v>8676.3533871124509</v>
      </c>
      <c r="J325" s="46">
        <f>I325*'Tier 1 Coefficients'!I$12</f>
        <v>303672.3685489358</v>
      </c>
      <c r="K325" s="46">
        <f t="shared" si="21"/>
        <v>303.67236854893582</v>
      </c>
      <c r="L325" s="46">
        <f>K325*'Tier 1 Coefficients'!D$3</f>
        <v>962.33773593157764</v>
      </c>
      <c r="M325" s="46">
        <f>K325*'Tier 1 Coefficients'!C$23</f>
        <v>16337.573427932746</v>
      </c>
      <c r="N325" s="46">
        <f>K325*'Tier 1 Coefficients'!C$47</f>
        <v>17.916669744387214</v>
      </c>
      <c r="O325" s="46">
        <f>I325*'Tier 2 FC'!D54</f>
        <v>173527.06774224903</v>
      </c>
      <c r="P325" s="46">
        <f t="shared" si="22"/>
        <v>173.52706774224902</v>
      </c>
      <c r="Q325" s="46">
        <f>P325*'Tier 1 Coefficients'!D$3</f>
        <v>549.90727767518717</v>
      </c>
      <c r="R325" s="46">
        <f>I325*'T2 L-Cat'!C8</f>
        <v>8.6763533871124512</v>
      </c>
      <c r="S325" s="46">
        <f>I325*'T2 L-Cat'!D8</f>
        <v>24554.080085528236</v>
      </c>
      <c r="T325" s="46">
        <f>44.011*(P325/(12.011+1.008*'Tier 3 CO2 Tables'!B$3+16*'Tier 3 CO2 Tables'!C$3))</f>
        <v>549.99033395104391</v>
      </c>
      <c r="U325" s="46">
        <f>I325*'Tier 3 CO2 Tables'!H$16/10000</f>
        <v>8.8498804548546985</v>
      </c>
      <c r="V325" s="46">
        <f>44.011*(U325/(12.011+1.008*'Tier 3 CO2 Tables'!B$6+16*'Tier 3 CO2 Tables'!C$6))</f>
        <v>27.608592840376573</v>
      </c>
      <c r="W325" s="46">
        <f>I325*'T3 Methane'!D$38</f>
        <v>1301453.0080668677</v>
      </c>
      <c r="X325" s="46" cm="1">
        <f t="array" ref="X325">_xlfn.IFS(E325='Euro Age Table'!C$5,'Euro Age Table'!G$5,E325='Euro Age Table'!C$6,'Euro Age Table'!G$6,E325='Euro Age Table'!C$7,'Euro Age Table'!G$7,E325='Euro Age Table'!C$8,'Euro Age Table'!G$8,E325='Euro Age Table'!C$9,'Euro Age Table'!G$9,E325='Euro Age Table'!C$10,'Euro Age Table'!G$10,E325='Euro Age Table'!C$11,'Euro Age Table'!G$11)</f>
        <v>18</v>
      </c>
      <c r="Y325" s="46">
        <f>X325*'Eilat Car Data'!F$10</f>
        <v>135000</v>
      </c>
      <c r="Z325" s="46">
        <f>'T3 N2O PC-Diesel LPG'!B$18</f>
        <v>2</v>
      </c>
      <c r="AA325" s="124">
        <f t="shared" si="23"/>
        <v>17352.706774224902</v>
      </c>
    </row>
    <row r="326" spans="1:27" ht="12.5">
      <c r="A326" s="56" t="s">
        <v>10</v>
      </c>
      <c r="B326" s="56" t="s">
        <v>20</v>
      </c>
      <c r="C326" s="49" t="s">
        <v>95</v>
      </c>
      <c r="D326" s="57" t="s">
        <v>97</v>
      </c>
      <c r="E326" s="50" t="s">
        <v>57</v>
      </c>
      <c r="F326" s="97">
        <v>0.32481938639971492</v>
      </c>
      <c r="G326" s="99">
        <f t="shared" ref="G326:G348" si="24">F326*$G$318</f>
        <v>651.2628697314284</v>
      </c>
      <c r="H326" s="46"/>
      <c r="I326" s="46">
        <f>G326*'Eilat Car Data'!F$10</f>
        <v>4884471.5229857126</v>
      </c>
      <c r="J326" s="46">
        <f>I326*'Tier 1 Coefficients'!I$12</f>
        <v>170956503.30449995</v>
      </c>
      <c r="K326" s="46">
        <f t="shared" si="21"/>
        <v>170956.50330449996</v>
      </c>
      <c r="L326" s="46">
        <f>K326*'Tier 1 Coefficients'!D$3</f>
        <v>541761.15897196042</v>
      </c>
      <c r="M326" s="46">
        <f>K326*'Tier 1 Coefficients'!C$23</f>
        <v>9197459.8777820971</v>
      </c>
      <c r="N326" s="46">
        <f>K326*'Tier 1 Coefficients'!C$47</f>
        <v>10086.433694965497</v>
      </c>
      <c r="O326" s="46">
        <f>I326*'Tier 2 FC'!D55</f>
        <v>97689430.459714249</v>
      </c>
      <c r="P326" s="46">
        <f t="shared" si="22"/>
        <v>97689.430459714247</v>
      </c>
      <c r="Q326" s="46">
        <f>P326*'Tier 1 Coefficients'!D$3</f>
        <v>309577.80512683443</v>
      </c>
      <c r="R326" s="46">
        <f>I326*'T2 L-Cat'!C9</f>
        <v>4884.4715229857129</v>
      </c>
      <c r="S326" s="46">
        <f>I326*'T2 L-Cat'!D9</f>
        <v>10355079.62872971</v>
      </c>
      <c r="T326" s="46">
        <f>44.011*(P326/(12.011+1.008*'Tier 3 CO2 Tables'!B$3+16*'Tier 3 CO2 Tables'!C$3))</f>
        <v>309624.56279058178</v>
      </c>
      <c r="U326" s="46">
        <f>I326*'Tier 3 CO2 Tables'!H$17/10000</f>
        <v>3321.4406356302848</v>
      </c>
      <c r="V326" s="46">
        <f>44.011*(U326/(12.011+1.008*'Tier 3 CO2 Tables'!B$6+16*'Tier 3 CO2 Tables'!C$6))</f>
        <v>10361.756028274358</v>
      </c>
      <c r="W326" s="46">
        <f>I326*'T3 Methane'!D$38</f>
        <v>732670728.4478569</v>
      </c>
      <c r="X326" s="46" cm="1">
        <f t="array" ref="X326">_xlfn.IFS(E326='Euro Age Table'!C$5,'Euro Age Table'!G$5,E326='Euro Age Table'!C$6,'Euro Age Table'!G$6,E326='Euro Age Table'!C$7,'Euro Age Table'!G$7,E326='Euro Age Table'!C$8,'Euro Age Table'!G$8,E326='Euro Age Table'!C$9,'Euro Age Table'!G$9,E326='Euro Age Table'!C$10,'Euro Age Table'!G$10,E326='Euro Age Table'!C$11,'Euro Age Table'!G$11)</f>
        <v>16</v>
      </c>
      <c r="Y326" s="46">
        <f>X326*'Eilat Car Data'!F$10</f>
        <v>120000</v>
      </c>
      <c r="Z326" s="46">
        <f>'T3 N2O PC-Diesel LPG'!B$18</f>
        <v>2</v>
      </c>
      <c r="AA326" s="124">
        <f t="shared" si="23"/>
        <v>9768943.0459714253</v>
      </c>
    </row>
    <row r="327" spans="1:27" ht="12.5">
      <c r="A327" s="56" t="s">
        <v>10</v>
      </c>
      <c r="B327" s="56" t="s">
        <v>20</v>
      </c>
      <c r="C327" s="49" t="s">
        <v>95</v>
      </c>
      <c r="D327" s="49" t="s">
        <v>96</v>
      </c>
      <c r="E327" s="50" t="s">
        <v>54</v>
      </c>
      <c r="F327" s="97">
        <v>1.8336735024459779E-3</v>
      </c>
      <c r="G327" s="99">
        <f t="shared" si="24"/>
        <v>3.6765153724041859</v>
      </c>
      <c r="H327" s="46"/>
      <c r="I327" s="46">
        <f>G327*'Eilat Car Data'!F$10</f>
        <v>27573.865293031395</v>
      </c>
      <c r="J327" s="46">
        <f>I327*'Tier 1 Coefficients'!I$12</f>
        <v>965085.28525609884</v>
      </c>
      <c r="K327" s="46">
        <f t="shared" si="21"/>
        <v>965.08528525609881</v>
      </c>
      <c r="L327" s="46">
        <f>K327*'Tier 1 Coefficients'!D$3</f>
        <v>3058.355268976577</v>
      </c>
      <c r="M327" s="46">
        <f>K327*'Tier 1 Coefficients'!C$23</f>
        <v>51921.588346778117</v>
      </c>
      <c r="N327" s="46">
        <f>K327*'Tier 1 Coefficients'!C$47</f>
        <v>56.940031830109824</v>
      </c>
      <c r="O327" s="46">
        <f>I327*'Tier 2 FC'!D52</f>
        <v>689346.63232578489</v>
      </c>
      <c r="P327" s="46">
        <f t="shared" si="22"/>
        <v>689.34663232578487</v>
      </c>
      <c r="Q327" s="46">
        <f>P327*'Tier 1 Coefficients'!D$3</f>
        <v>2184.5394778404125</v>
      </c>
      <c r="R327" s="46">
        <f>$I327*'T2 L-Cat'!C10</f>
        <v>55.147730586062792</v>
      </c>
      <c r="S327" s="46">
        <f>$I327*'T2 L-Cat'!D10</f>
        <v>116913.18884245312</v>
      </c>
      <c r="T327" s="46">
        <f>44.011*(P327/(12.011+1.008*'Tier 3 CO2 Tables'!B$3+16*'Tier 3 CO2 Tables'!C$3))</f>
        <v>2184.8694238528719</v>
      </c>
      <c r="U327" s="46">
        <f>I327*'Tier 3 CO2 Tables'!H$16/10000</f>
        <v>28.125342598892022</v>
      </c>
      <c r="V327" s="46">
        <f>44.011*(U327/(12.011+1.008*'Tier 3 CO2 Tables'!B$6+16*'Tier 3 CO2 Tables'!C$6))</f>
        <v>87.741426143553198</v>
      </c>
      <c r="W327" s="46">
        <f>I327*'T3 Methane'!D$36</f>
        <v>6038676.4991738759</v>
      </c>
      <c r="X327" s="46" cm="1">
        <f t="array" ref="X327">_xlfn.IFS(E327='Euro Age Table'!C$5,'Euro Age Table'!G$5,E327='Euro Age Table'!C$6,'Euro Age Table'!G$6,E327='Euro Age Table'!C$7,'Euro Age Table'!G$7,E327='Euro Age Table'!C$8,'Euro Age Table'!G$8,E327='Euro Age Table'!C$9,'Euro Age Table'!G$9,E327='Euro Age Table'!C$10,'Euro Age Table'!G$10,E327='Euro Age Table'!C$11,'Euro Age Table'!G$11)</f>
        <v>27</v>
      </c>
      <c r="Y327" s="46">
        <f>X327*'Eilat Car Data'!F$10</f>
        <v>202500</v>
      </c>
      <c r="Z327" s="46">
        <f>'T3 N2O PC-Diesel LPG'!B$17</f>
        <v>1</v>
      </c>
      <c r="AA327" s="124">
        <f t="shared" si="23"/>
        <v>27573.865293031395</v>
      </c>
    </row>
    <row r="328" spans="1:27" ht="12.5">
      <c r="A328" s="56" t="s">
        <v>10</v>
      </c>
      <c r="B328" s="56" t="s">
        <v>20</v>
      </c>
      <c r="C328" s="49" t="s">
        <v>95</v>
      </c>
      <c r="D328" s="49" t="s">
        <v>96</v>
      </c>
      <c r="E328" s="50" t="s">
        <v>55</v>
      </c>
      <c r="F328" s="97">
        <v>1.4837852722972755E-3</v>
      </c>
      <c r="G328" s="99">
        <f t="shared" si="24"/>
        <v>2.9749894709560372</v>
      </c>
      <c r="H328" s="46"/>
      <c r="I328" s="46">
        <f>G328*'Eilat Car Data'!F$10</f>
        <v>22312.421032170278</v>
      </c>
      <c r="J328" s="46">
        <f>I328*'Tier 1 Coefficients'!I$12</f>
        <v>780934.73612595967</v>
      </c>
      <c r="K328" s="46">
        <f t="shared" si="21"/>
        <v>780.93473612595972</v>
      </c>
      <c r="L328" s="46">
        <f>K328*'Tier 1 Coefficients'!D$3</f>
        <v>2474.7821787831663</v>
      </c>
      <c r="M328" s="46">
        <f>K328*'Tier 1 Coefficients'!C$23</f>
        <v>42014.28880357663</v>
      </c>
      <c r="N328" s="46">
        <f>K328*'Tier 1 Coefficients'!C$47</f>
        <v>46.075149431431619</v>
      </c>
      <c r="O328" s="46">
        <f>I328*'Tier 2 FC'!D53</f>
        <v>446248.42064340552</v>
      </c>
      <c r="P328" s="46">
        <f t="shared" si="22"/>
        <v>446.2484206434055</v>
      </c>
      <c r="Q328" s="46">
        <f>P328*'Tier 1 Coefficients'!D$3</f>
        <v>1414.1612450189521</v>
      </c>
      <c r="R328" s="46">
        <f>$I328*'T2 L-Cat'!C11</f>
        <v>44.624842064340555</v>
      </c>
      <c r="S328" s="46">
        <f>$I328*'T2 L-Cat'!D11</f>
        <v>78762.846243561071</v>
      </c>
      <c r="T328" s="46">
        <f>44.011*(P328/(12.011+1.008*'Tier 3 CO2 Tables'!B$3+16*'Tier 3 CO2 Tables'!C$3))</f>
        <v>1414.3748355118237</v>
      </c>
      <c r="U328" s="46">
        <f>I328*'Tier 3 CO2 Tables'!H$16/10000</f>
        <v>22.758669452813681</v>
      </c>
      <c r="V328" s="46">
        <f>44.011*(U328/(12.011+1.008*'Tier 3 CO2 Tables'!B$6+16*'Tier 3 CO2 Tables'!C$6))</f>
        <v>70.999245890013</v>
      </c>
      <c r="W328" s="46">
        <f>I328*'T3 Methane'!D$36</f>
        <v>4886420.2060452905</v>
      </c>
      <c r="X328" s="46" cm="1">
        <f t="array" ref="X328">_xlfn.IFS(E328='Euro Age Table'!C$5,'Euro Age Table'!G$5,E328='Euro Age Table'!C$6,'Euro Age Table'!G$6,E328='Euro Age Table'!C$7,'Euro Age Table'!G$7,E328='Euro Age Table'!C$8,'Euro Age Table'!G$8,E328='Euro Age Table'!C$9,'Euro Age Table'!G$9,E328='Euro Age Table'!C$10,'Euro Age Table'!G$10,E328='Euro Age Table'!C$11,'Euro Age Table'!G$11)</f>
        <v>23</v>
      </c>
      <c r="Y328" s="46">
        <f>X328*'Eilat Car Data'!F$10</f>
        <v>172500</v>
      </c>
      <c r="Z328" s="46">
        <f>'T3 N2O PC-Diesel LPG'!B$17</f>
        <v>1</v>
      </c>
      <c r="AA328" s="124">
        <f t="shared" si="23"/>
        <v>22312.421032170278</v>
      </c>
    </row>
    <row r="329" spans="1:27" ht="12.5">
      <c r="A329" s="56" t="s">
        <v>10</v>
      </c>
      <c r="B329" s="56" t="s">
        <v>20</v>
      </c>
      <c r="C329" s="49" t="s">
        <v>95</v>
      </c>
      <c r="D329" s="49" t="s">
        <v>96</v>
      </c>
      <c r="E329" s="50" t="s">
        <v>56</v>
      </c>
      <c r="F329" s="97">
        <v>7.6457057699160912E-4</v>
      </c>
      <c r="G329" s="99">
        <f t="shared" si="24"/>
        <v>1.5329640068681762</v>
      </c>
      <c r="H329" s="46"/>
      <c r="I329" s="46">
        <f>G329*'Eilat Car Data'!F$10</f>
        <v>11497.230051511322</v>
      </c>
      <c r="J329" s="46">
        <f>I329*'Tier 1 Coefficients'!I$12</f>
        <v>402403.05180289625</v>
      </c>
      <c r="K329" s="46">
        <f t="shared" si="21"/>
        <v>402.40305180289624</v>
      </c>
      <c r="L329" s="46">
        <f>K329*'Tier 1 Coefficients'!D$3</f>
        <v>1275.2152711633782</v>
      </c>
      <c r="M329" s="46">
        <f>K329*'Tier 1 Coefficients'!C$23</f>
        <v>21649.284186995817</v>
      </c>
      <c r="N329" s="46">
        <f>K329*'Tier 1 Coefficients'!C$47</f>
        <v>23.741780056370878</v>
      </c>
      <c r="O329" s="46">
        <f>I329*'Tier 2 FC'!D54</f>
        <v>229944.60103022645</v>
      </c>
      <c r="P329" s="46">
        <f t="shared" si="22"/>
        <v>229.94460103022644</v>
      </c>
      <c r="Q329" s="46">
        <f>P329*'Tier 1 Coefficients'!D$3</f>
        <v>728.69444066478763</v>
      </c>
      <c r="R329" s="46">
        <f>$I329*'T2 L-Cat'!C12</f>
        <v>22.994460103022643</v>
      </c>
      <c r="S329" s="46">
        <f>$I329*'T2 L-Cat'!D12</f>
        <v>32537.161045777044</v>
      </c>
      <c r="T329" s="46">
        <f>44.011*(P329/(12.011+1.008*'Tier 3 CO2 Tables'!B$3+16*'Tier 3 CO2 Tables'!C$3))</f>
        <v>728.80450039473885</v>
      </c>
      <c r="U329" s="46">
        <f>I329*'Tier 3 CO2 Tables'!H$16/10000</f>
        <v>11.727174652541548</v>
      </c>
      <c r="V329" s="46">
        <f>44.011*(U329/(12.011+1.008*'Tier 3 CO2 Tables'!B$6+16*'Tier 3 CO2 Tables'!C$6))</f>
        <v>36.584764257735955</v>
      </c>
      <c r="W329" s="46">
        <f>I329*'T3 Methane'!D$36</f>
        <v>2517893.3812809796</v>
      </c>
      <c r="X329" s="46" cm="1">
        <f t="array" ref="X329">_xlfn.IFS(E329='Euro Age Table'!C$5,'Euro Age Table'!G$5,E329='Euro Age Table'!C$6,'Euro Age Table'!G$6,E329='Euro Age Table'!C$7,'Euro Age Table'!G$7,E329='Euro Age Table'!C$8,'Euro Age Table'!G$8,E329='Euro Age Table'!C$9,'Euro Age Table'!G$9,E329='Euro Age Table'!C$10,'Euro Age Table'!G$10,E329='Euro Age Table'!C$11,'Euro Age Table'!G$11)</f>
        <v>18</v>
      </c>
      <c r="Y329" s="46">
        <f>X329*'Eilat Car Data'!F$10</f>
        <v>135000</v>
      </c>
      <c r="Z329" s="46">
        <f>'T3 N2O PC-Diesel LPG'!B$17</f>
        <v>1</v>
      </c>
      <c r="AA329" s="124">
        <f t="shared" si="23"/>
        <v>11497.230051511322</v>
      </c>
    </row>
    <row r="330" spans="1:27" ht="12.5">
      <c r="A330" s="56" t="s">
        <v>10</v>
      </c>
      <c r="B330" s="56" t="s">
        <v>20</v>
      </c>
      <c r="C330" s="51" t="s">
        <v>95</v>
      </c>
      <c r="D330" s="51" t="s">
        <v>96</v>
      </c>
      <c r="E330" s="50" t="s">
        <v>57</v>
      </c>
      <c r="F330" s="97">
        <v>9.2007645705769912E-4</v>
      </c>
      <c r="G330" s="99">
        <f t="shared" si="24"/>
        <v>1.8447532964006867</v>
      </c>
      <c r="H330" s="46"/>
      <c r="I330" s="46">
        <f>G330*'Eilat Car Data'!F$10</f>
        <v>13835.64972300515</v>
      </c>
      <c r="J330" s="46">
        <f>I330*'Tier 1 Coefficients'!I$12</f>
        <v>484247.74030518025</v>
      </c>
      <c r="K330" s="46">
        <f t="shared" si="21"/>
        <v>484.24774030518023</v>
      </c>
      <c r="L330" s="46">
        <f>K330*'Tier 1 Coefficients'!D$3</f>
        <v>1534.5810890271161</v>
      </c>
      <c r="M330" s="46">
        <f>K330*'Tier 1 Coefficients'!C$23</f>
        <v>26052.528428418696</v>
      </c>
      <c r="N330" s="46">
        <f>K330*'Tier 1 Coefficients'!C$47</f>
        <v>28.570616678005631</v>
      </c>
      <c r="O330" s="46">
        <f>I330*'Tier 2 FC'!D55</f>
        <v>276712.99446010299</v>
      </c>
      <c r="P330" s="46">
        <f t="shared" si="22"/>
        <v>276.712994460103</v>
      </c>
      <c r="Q330" s="46">
        <f>P330*'Tier 1 Coefficients'!D$3</f>
        <v>876.90347944406642</v>
      </c>
      <c r="R330" s="46">
        <f>$I330*'T2 L-Cat'!C13</f>
        <v>27.671299446010302</v>
      </c>
      <c r="S330" s="46">
        <f>$I330*'T2 L-Cat'!D13</f>
        <v>29331.577412770919</v>
      </c>
      <c r="T330" s="46">
        <f>44.011*(P330/(12.011+1.008*'Tier 3 CO2 Tables'!B$3+16*'Tier 3 CO2 Tables'!C$3))</f>
        <v>877.03592420383825</v>
      </c>
      <c r="U330" s="46">
        <f>I330*'Tier 3 CO2 Tables'!H$17/10000</f>
        <v>9.4082418116435012</v>
      </c>
      <c r="V330" s="46">
        <f>44.011*(U330/(12.011+1.008*'Tier 3 CO2 Tables'!B$6+16*'Tier 3 CO2 Tables'!C$6))</f>
        <v>29.35048883953958</v>
      </c>
      <c r="W330" s="46">
        <f>I330*'T3 Methane'!D$36</f>
        <v>3030007.2893381277</v>
      </c>
      <c r="X330" s="46" cm="1">
        <f t="array" ref="X330">_xlfn.IFS(E330='Euro Age Table'!C$5,'Euro Age Table'!G$5,E330='Euro Age Table'!C$6,'Euro Age Table'!G$6,E330='Euro Age Table'!C$7,'Euro Age Table'!G$7,E330='Euro Age Table'!C$8,'Euro Age Table'!G$8,E330='Euro Age Table'!C$9,'Euro Age Table'!G$9,E330='Euro Age Table'!C$10,'Euro Age Table'!G$10,E330='Euro Age Table'!C$11,'Euro Age Table'!G$11)</f>
        <v>16</v>
      </c>
      <c r="Y330" s="46">
        <f>X330*'Eilat Car Data'!F$10</f>
        <v>120000</v>
      </c>
      <c r="Z330" s="46">
        <f>'T3 N2O PC-Diesel LPG'!B$17</f>
        <v>1</v>
      </c>
      <c r="AA330" s="124">
        <f t="shared" si="23"/>
        <v>13835.64972300515</v>
      </c>
    </row>
    <row r="331" spans="1:27" ht="12.5">
      <c r="A331" s="56" t="s">
        <v>10</v>
      </c>
      <c r="B331" s="56" t="s">
        <v>20</v>
      </c>
      <c r="C331" s="56" t="s">
        <v>98</v>
      </c>
      <c r="D331" s="51" t="s">
        <v>96</v>
      </c>
      <c r="E331" s="50" t="s">
        <v>57</v>
      </c>
      <c r="F331" s="97">
        <v>1.943823500826125E-5</v>
      </c>
      <c r="G331" s="99">
        <f t="shared" si="24"/>
        <v>3.8973661191563806E-2</v>
      </c>
      <c r="H331" s="46"/>
      <c r="I331" s="46">
        <f>G331*'Eilat Car Data'!F$10</f>
        <v>292.30245893672856</v>
      </c>
      <c r="J331" s="46">
        <f>I331*'Tier 1 Coefficients'!I$12</f>
        <v>10230.5860627855</v>
      </c>
      <c r="K331" s="46">
        <f t="shared" si="21"/>
        <v>10.2305860627855</v>
      </c>
      <c r="L331" s="46">
        <f>K331*'Tier 1 Coefficients'!D$3</f>
        <v>32.420727232967252</v>
      </c>
      <c r="M331" s="46">
        <f>K331*'Tier 1 Coefficients'!C$23</f>
        <v>550.40553017785987</v>
      </c>
      <c r="N331" s="46">
        <f>K331*'Tier 1 Coefficients'!C$47</f>
        <v>0.6036045777043445</v>
      </c>
      <c r="O331" s="46">
        <f>I331*'Tier 2 FC'!D55</f>
        <v>5846.0491787345709</v>
      </c>
      <c r="P331" s="46">
        <f t="shared" si="22"/>
        <v>5.846049178734571</v>
      </c>
      <c r="Q331" s="46">
        <f>P331*'Tier 1 Coefficients'!D$3</f>
        <v>18.526129847409855</v>
      </c>
      <c r="R331" s="46">
        <f>$I331*'T2 L-Cat'!C13</f>
        <v>0.58460491787345714</v>
      </c>
      <c r="S331" s="46">
        <f>$I331*'T2 L-Cat'!D13</f>
        <v>619.68121294586456</v>
      </c>
      <c r="T331" s="46">
        <f>44.011*(P331/(12.011+1.008*'Tier 3 CO2 Tables'!B$3+16*'Tier 3 CO2 Tables'!C$3))</f>
        <v>18.528927976137432</v>
      </c>
      <c r="U331" s="46">
        <f>I331*'Tier 3 CO2 Tables'!H$16/10000</f>
        <v>0.29814850811546312</v>
      </c>
      <c r="V331" s="46">
        <f>44.011*(U331/(12.011+1.008*'Tier 3 CO2 Tables'!B$6+16*'Tier 3 CO2 Tables'!C$6))</f>
        <v>0.930121125196677</v>
      </c>
      <c r="W331" s="46">
        <f>I331*'T3 Methane'!D$36</f>
        <v>64014.238507143556</v>
      </c>
      <c r="X331" s="46" cm="1">
        <f t="array" ref="X331">_xlfn.IFS(E331='Euro Age Table'!C$5,'Euro Age Table'!G$5,E331='Euro Age Table'!C$6,'Euro Age Table'!G$6,E331='Euro Age Table'!C$7,'Euro Age Table'!G$7,E331='Euro Age Table'!C$8,'Euro Age Table'!G$8,E331='Euro Age Table'!C$9,'Euro Age Table'!G$9,E331='Euro Age Table'!C$10,'Euro Age Table'!G$10,E331='Euro Age Table'!C$11,'Euro Age Table'!G$11)</f>
        <v>16</v>
      </c>
      <c r="Y331" s="46">
        <f>X331*'Eilat Car Data'!F$10</f>
        <v>120000</v>
      </c>
      <c r="Z331" s="46">
        <f>'T3 N2O PC-Diesel LPG'!B$17</f>
        <v>1</v>
      </c>
      <c r="AA331" s="124">
        <f t="shared" si="23"/>
        <v>292.30245893672856</v>
      </c>
    </row>
    <row r="332" spans="1:27" ht="12.5">
      <c r="A332" s="56" t="s">
        <v>10</v>
      </c>
      <c r="B332" s="56" t="s">
        <v>20</v>
      </c>
      <c r="C332" s="56" t="s">
        <v>98</v>
      </c>
      <c r="D332" s="56" t="s">
        <v>97</v>
      </c>
      <c r="E332" s="50" t="s">
        <v>54</v>
      </c>
      <c r="F332" s="97">
        <v>2.33258820099135E-4</v>
      </c>
      <c r="G332" s="99">
        <f t="shared" si="24"/>
        <v>0.46768393429876565</v>
      </c>
      <c r="H332" s="46"/>
      <c r="I332" s="46">
        <f>G332*'Eilat Car Data'!F$10</f>
        <v>3507.6295072407424</v>
      </c>
      <c r="J332" s="46">
        <f>I332*'Tier 1 Coefficients'!I$12</f>
        <v>122767.03275342598</v>
      </c>
      <c r="K332" s="46">
        <f t="shared" si="21"/>
        <v>122.76703275342598</v>
      </c>
      <c r="L332" s="46">
        <f>K332*'Tier 1 Coefficients'!D$3</f>
        <v>389.04872679560691</v>
      </c>
      <c r="M332" s="46">
        <f>K332*'Tier 1 Coefficients'!C$23</f>
        <v>6604.8663621343176</v>
      </c>
      <c r="N332" s="46">
        <f>K332*'Tier 1 Coefficients'!C$47</f>
        <v>7.2432549324521327</v>
      </c>
      <c r="O332" s="46">
        <f>I332*'Tier 2 FC'!D56</f>
        <v>115751.7737389445</v>
      </c>
      <c r="P332" s="46">
        <f t="shared" si="22"/>
        <v>115.75177373894449</v>
      </c>
      <c r="Q332" s="46">
        <f>P332*'Tier 1 Coefficients'!D$3</f>
        <v>366.81737097871508</v>
      </c>
      <c r="R332" s="46">
        <f>$I332*'T2 L-Cat'!C10</f>
        <v>7.0152590144814848</v>
      </c>
      <c r="S332" s="46">
        <f>$I332*'T2 L-Cat'!D10</f>
        <v>14872.349110700748</v>
      </c>
      <c r="T332" s="46">
        <f>44.011*(P332/(12.011+1.008*'Tier 3 CO2 Tables'!B$3+16*'Tier 3 CO2 Tables'!C$3))</f>
        <v>366.87277392752111</v>
      </c>
      <c r="U332" s="46">
        <f>I332*'Tier 3 CO2 Tables'!H$16/10000</f>
        <v>3.5777820973855565</v>
      </c>
      <c r="V332" s="46">
        <f>44.011*(U332/(12.011+1.008*'Tier 3 CO2 Tables'!B$6+16*'Tier 3 CO2 Tables'!C$6))</f>
        <v>11.161453502360121</v>
      </c>
      <c r="W332" s="46">
        <f>I332*'T3 Methane'!D$38</f>
        <v>526144.42608611134</v>
      </c>
      <c r="X332" s="46" cm="1">
        <f t="array" ref="X332">_xlfn.IFS(E332='Euro Age Table'!C$5,'Euro Age Table'!G$5,E332='Euro Age Table'!C$6,'Euro Age Table'!G$6,E332='Euro Age Table'!C$7,'Euro Age Table'!G$7,E332='Euro Age Table'!C$8,'Euro Age Table'!G$8,E332='Euro Age Table'!C$9,'Euro Age Table'!G$9,E332='Euro Age Table'!C$10,'Euro Age Table'!G$10,E332='Euro Age Table'!C$11,'Euro Age Table'!G$11)</f>
        <v>27</v>
      </c>
      <c r="Y332" s="46">
        <f>X332*'Eilat Car Data'!F$10</f>
        <v>202500</v>
      </c>
      <c r="Z332" s="46">
        <f>'T3 N2O PC-Diesel LPG'!B$18</f>
        <v>2</v>
      </c>
      <c r="AA332" s="124">
        <f t="shared" si="23"/>
        <v>7015.2590144814849</v>
      </c>
    </row>
    <row r="333" spans="1:27" ht="12.5">
      <c r="A333" s="56" t="s">
        <v>10</v>
      </c>
      <c r="B333" s="56" t="s">
        <v>20</v>
      </c>
      <c r="C333" s="56" t="s">
        <v>98</v>
      </c>
      <c r="D333" s="56" t="s">
        <v>97</v>
      </c>
      <c r="E333" s="50" t="s">
        <v>55</v>
      </c>
      <c r="F333" s="97">
        <v>0</v>
      </c>
      <c r="G333" s="99">
        <f t="shared" si="24"/>
        <v>0</v>
      </c>
      <c r="H333" s="46"/>
      <c r="I333" s="46">
        <f>G333*'Eilat Car Data'!F$10</f>
        <v>0</v>
      </c>
      <c r="J333" s="46">
        <f>I333*'Tier 1 Coefficients'!I$12</f>
        <v>0</v>
      </c>
      <c r="K333" s="46">
        <f t="shared" si="21"/>
        <v>0</v>
      </c>
      <c r="L333" s="46">
        <f>K333*'Tier 1 Coefficients'!D$3</f>
        <v>0</v>
      </c>
      <c r="M333" s="46">
        <f>K333*'Tier 1 Coefficients'!C$23</f>
        <v>0</v>
      </c>
      <c r="N333" s="46">
        <f>K333*'Tier 1 Coefficients'!C$47</f>
        <v>0</v>
      </c>
      <c r="O333" s="46">
        <f>I333*'Tier 2 FC'!D57</f>
        <v>0</v>
      </c>
      <c r="P333" s="46">
        <f t="shared" si="22"/>
        <v>0</v>
      </c>
      <c r="Q333" s="46">
        <f>P333*'Tier 1 Coefficients'!D$3</f>
        <v>0</v>
      </c>
      <c r="R333" s="46">
        <f>$I333*'T2 L-Cat'!C11</f>
        <v>0</v>
      </c>
      <c r="S333" s="46">
        <f>$I333*'T2 L-Cat'!D11</f>
        <v>0</v>
      </c>
      <c r="T333" s="46">
        <f>44.011*(P333/(12.011+1.008*'Tier 3 CO2 Tables'!B$3+16*'Tier 3 CO2 Tables'!C$3))</f>
        <v>0</v>
      </c>
      <c r="U333" s="46">
        <f>I333*'Tier 3 CO2 Tables'!H$16/10000</f>
        <v>0</v>
      </c>
      <c r="V333" s="46">
        <f>44.011*(U333/(12.011+1.008*'Tier 3 CO2 Tables'!B$6+16*'Tier 3 CO2 Tables'!C$6))</f>
        <v>0</v>
      </c>
      <c r="W333" s="46">
        <f>I333*'T3 Methane'!D$38</f>
        <v>0</v>
      </c>
      <c r="X333" s="46" cm="1">
        <f t="array" ref="X333">_xlfn.IFS(E333='Euro Age Table'!C$5,'Euro Age Table'!G$5,E333='Euro Age Table'!C$6,'Euro Age Table'!G$6,E333='Euro Age Table'!C$7,'Euro Age Table'!G$7,E333='Euro Age Table'!C$8,'Euro Age Table'!G$8,E333='Euro Age Table'!C$9,'Euro Age Table'!G$9,E333='Euro Age Table'!C$10,'Euro Age Table'!G$10,E333='Euro Age Table'!C$11,'Euro Age Table'!G$11)</f>
        <v>23</v>
      </c>
      <c r="Y333" s="46">
        <f>X333*'Eilat Car Data'!F$10</f>
        <v>172500</v>
      </c>
      <c r="Z333" s="46">
        <f>'T3 N2O PC-Diesel LPG'!B$18</f>
        <v>2</v>
      </c>
      <c r="AA333" s="124">
        <f t="shared" si="23"/>
        <v>0</v>
      </c>
    </row>
    <row r="334" spans="1:27" ht="12.5">
      <c r="A334" s="56" t="s">
        <v>10</v>
      </c>
      <c r="B334" s="56" t="s">
        <v>20</v>
      </c>
      <c r="C334" s="56" t="s">
        <v>98</v>
      </c>
      <c r="D334" s="56" t="s">
        <v>97</v>
      </c>
      <c r="E334" s="50" t="s">
        <v>56</v>
      </c>
      <c r="F334" s="97">
        <v>5.1835293355363331E-5</v>
      </c>
      <c r="G334" s="99">
        <f t="shared" si="24"/>
        <v>0.10392976317750348</v>
      </c>
      <c r="H334" s="46"/>
      <c r="I334" s="46">
        <f>G334*'Eilat Car Data'!F$10</f>
        <v>779.47322383127607</v>
      </c>
      <c r="J334" s="46">
        <f>I334*'Tier 1 Coefficients'!I$12</f>
        <v>27281.562834094664</v>
      </c>
      <c r="K334" s="46">
        <f t="shared" si="21"/>
        <v>27.281562834094665</v>
      </c>
      <c r="L334" s="46">
        <f>K334*'Tier 1 Coefficients'!D$3</f>
        <v>86.455272621245996</v>
      </c>
      <c r="M334" s="46">
        <f>K334*'Tier 1 Coefficients'!C$23</f>
        <v>1467.7480804742929</v>
      </c>
      <c r="N334" s="46">
        <f>K334*'Tier 1 Coefficients'!C$47</f>
        <v>1.609612207211585</v>
      </c>
      <c r="O334" s="46">
        <f>I334*'Tier 2 FC'!D58</f>
        <v>17927.884148119349</v>
      </c>
      <c r="P334" s="46">
        <f t="shared" si="22"/>
        <v>17.92788414811935</v>
      </c>
      <c r="Q334" s="46">
        <f>P334*'Tier 1 Coefficients'!D$3</f>
        <v>56.813464865390223</v>
      </c>
      <c r="R334" s="46">
        <f>$I334*'T2 L-Cat'!C12</f>
        <v>1.5589464476625521</v>
      </c>
      <c r="S334" s="46">
        <f>$I334*'T2 L-Cat'!D12</f>
        <v>2205.9092234425111</v>
      </c>
      <c r="T334" s="46">
        <f>44.011*(P334/(12.011+1.008*'Tier 3 CO2 Tables'!B$3+16*'Tier 3 CO2 Tables'!C$3))</f>
        <v>56.822045793488115</v>
      </c>
      <c r="U334" s="46">
        <f>I334*'Tier 3 CO2 Tables'!H$16/10000</f>
        <v>0.7950626883079015</v>
      </c>
      <c r="V334" s="46">
        <f>44.011*(U334/(12.011+1.008*'Tier 3 CO2 Tables'!B$6+16*'Tier 3 CO2 Tables'!C$6))</f>
        <v>2.4803230005244719</v>
      </c>
      <c r="W334" s="46">
        <f>I334*'T3 Methane'!D$38</f>
        <v>116920.98357469142</v>
      </c>
      <c r="X334" s="46" cm="1">
        <f t="array" ref="X334">_xlfn.IFS(E334='Euro Age Table'!C$5,'Euro Age Table'!G$5,E334='Euro Age Table'!C$6,'Euro Age Table'!G$6,E334='Euro Age Table'!C$7,'Euro Age Table'!G$7,E334='Euro Age Table'!C$8,'Euro Age Table'!G$8,E334='Euro Age Table'!C$9,'Euro Age Table'!G$9,E334='Euro Age Table'!C$10,'Euro Age Table'!G$10,E334='Euro Age Table'!C$11,'Euro Age Table'!G$11)</f>
        <v>18</v>
      </c>
      <c r="Y334" s="46">
        <f>X334*'Eilat Car Data'!F$10</f>
        <v>135000</v>
      </c>
      <c r="Z334" s="46">
        <f>'T3 N2O PC-Diesel LPG'!B$18</f>
        <v>2</v>
      </c>
      <c r="AA334" s="124">
        <f t="shared" si="23"/>
        <v>1558.9464476625521</v>
      </c>
    </row>
    <row r="335" spans="1:27" ht="12.5">
      <c r="A335" s="56" t="s">
        <v>10</v>
      </c>
      <c r="B335" s="56" t="s">
        <v>20</v>
      </c>
      <c r="C335" s="56" t="s">
        <v>98</v>
      </c>
      <c r="D335" s="57" t="s">
        <v>97</v>
      </c>
      <c r="E335" s="50" t="s">
        <v>57</v>
      </c>
      <c r="F335" s="97">
        <v>1.7753587974211941E-3</v>
      </c>
      <c r="G335" s="99">
        <f t="shared" si="24"/>
        <v>3.5595943888294941</v>
      </c>
      <c r="H335" s="46"/>
      <c r="I335" s="46">
        <f>G335*'Eilat Car Data'!F$10</f>
        <v>26696.957916221207</v>
      </c>
      <c r="J335" s="46">
        <f>I335*'Tier 1 Coefficients'!I$12</f>
        <v>934393.52706774219</v>
      </c>
      <c r="K335" s="46">
        <f t="shared" si="21"/>
        <v>934.39352706774218</v>
      </c>
      <c r="L335" s="46">
        <f>K335*'Tier 1 Coefficients'!D$3</f>
        <v>2961.0930872776748</v>
      </c>
      <c r="M335" s="46">
        <f>K335*'Tier 1 Coefficients'!C$23</f>
        <v>50270.371756244524</v>
      </c>
      <c r="N335" s="46">
        <f>K335*'Tier 1 Coefficients'!C$47</f>
        <v>55.129218096996787</v>
      </c>
      <c r="O335" s="46">
        <f>I335*'Tier 2 FC'!D59</f>
        <v>453848.28457576054</v>
      </c>
      <c r="P335" s="46">
        <f t="shared" si="22"/>
        <v>453.84828457576054</v>
      </c>
      <c r="Q335" s="46">
        <f>P335*'Tier 1 Coefficients'!D$3</f>
        <v>1438.2452138205851</v>
      </c>
      <c r="R335" s="46">
        <f>$I335*'T2 L-Cat'!C13</f>
        <v>53.393915832442417</v>
      </c>
      <c r="S335" s="46">
        <f>$I335*'T2 L-Cat'!D13</f>
        <v>56597.550782388964</v>
      </c>
      <c r="T335" s="46">
        <f>44.011*(P335/(12.011+1.008*'Tier 3 CO2 Tables'!B$3+16*'Tier 3 CO2 Tables'!C$3))</f>
        <v>1438.4624418808025</v>
      </c>
      <c r="U335" s="46">
        <f>I335*'Tier 3 CO2 Tables'!H$17/10000</f>
        <v>18.153931383030418</v>
      </c>
      <c r="V335" s="46">
        <f>44.011*(U335/(12.011+1.008*'Tier 3 CO2 Tables'!B$6+16*'Tier 3 CO2 Tables'!C$6))</f>
        <v>56.634041845308765</v>
      </c>
      <c r="W335" s="46">
        <f>I335*'T3 Methane'!D$38</f>
        <v>4004543.6874331809</v>
      </c>
      <c r="X335" s="46" cm="1">
        <f t="array" ref="X335">_xlfn.IFS(E335='Euro Age Table'!C$5,'Euro Age Table'!G$5,E335='Euro Age Table'!C$6,'Euro Age Table'!G$6,E335='Euro Age Table'!C$7,'Euro Age Table'!G$7,E335='Euro Age Table'!C$8,'Euro Age Table'!G$8,E335='Euro Age Table'!C$9,'Euro Age Table'!G$9,E335='Euro Age Table'!C$10,'Euro Age Table'!G$10,E335='Euro Age Table'!C$11,'Euro Age Table'!G$11)</f>
        <v>16</v>
      </c>
      <c r="Y335" s="46">
        <f>X335*'Eilat Car Data'!F$10</f>
        <v>120000</v>
      </c>
      <c r="Z335" s="46">
        <f>'T3 N2O PC-Diesel LPG'!B$18</f>
        <v>2</v>
      </c>
      <c r="AA335" s="124">
        <f t="shared" si="23"/>
        <v>53393.915832442413</v>
      </c>
    </row>
    <row r="336" spans="1:27" ht="12.5">
      <c r="A336" s="56" t="s">
        <v>10</v>
      </c>
      <c r="B336" s="56" t="s">
        <v>20</v>
      </c>
      <c r="C336" s="56" t="s">
        <v>98</v>
      </c>
      <c r="D336" s="56" t="s">
        <v>99</v>
      </c>
      <c r="E336" s="50" t="s">
        <v>54</v>
      </c>
      <c r="F336" s="97">
        <v>3.6673470048919558E-3</v>
      </c>
      <c r="G336" s="99">
        <f t="shared" si="24"/>
        <v>7.3530307448083718</v>
      </c>
      <c r="H336" s="46"/>
      <c r="I336" s="46">
        <f>G336*'Eilat Car Data'!F$10</f>
        <v>55147.730586062789</v>
      </c>
      <c r="J336" s="46">
        <f>I336*'Tier 1 Coefficients'!I$12</f>
        <v>1930170.5705121977</v>
      </c>
      <c r="K336" s="46">
        <f t="shared" si="21"/>
        <v>1930.1705705121976</v>
      </c>
      <c r="L336" s="46">
        <f>K336*'Tier 1 Coefficients'!D$3</f>
        <v>6116.710537953154</v>
      </c>
      <c r="M336" s="46">
        <f>K336*'Tier 1 Coefficients'!C$23</f>
        <v>103843.17669355623</v>
      </c>
      <c r="N336" s="46">
        <f>K336*'Tier 1 Coefficients'!C$47</f>
        <v>113.88006366021965</v>
      </c>
      <c r="O336" s="46">
        <f>I336*'Tier 2 FC'!D60</f>
        <v>1764727.3787540093</v>
      </c>
      <c r="P336" s="46">
        <f t="shared" si="22"/>
        <v>1764.7273787540094</v>
      </c>
      <c r="Q336" s="46">
        <f>P336*'Tier 1 Coefficients'!D$3</f>
        <v>5592.4210632714558</v>
      </c>
      <c r="R336" s="46">
        <f>$I336*'T2 L-Cat'!C14</f>
        <v>110.29546117212558</v>
      </c>
      <c r="S336" s="46">
        <f>$I336*'T2 L-Cat'!D14</f>
        <v>21948.796773252991</v>
      </c>
      <c r="T336" s="46">
        <f>44.011*(P336/(12.011+1.008*'Tier 3 CO2 Tables'!B$3+16*'Tier 3 CO2 Tables'!C$3))</f>
        <v>5593.2657250633529</v>
      </c>
      <c r="U336" s="46">
        <f>I336*'Tier 3 CO2 Tables'!H$18/10000</f>
        <v>2.3713524152006999</v>
      </c>
      <c r="V336" s="46">
        <f>44.011*(U336/(12.011+1.008*'Tier 3 CO2 Tables'!B$6+16*'Tier 3 CO2 Tables'!C$6))</f>
        <v>7.3978065179858579</v>
      </c>
      <c r="W336" s="46">
        <f>I336*'T3 Methane'!D$39</f>
        <v>11029546.117212558</v>
      </c>
      <c r="X336" s="46" cm="1">
        <f t="array" ref="X336">_xlfn.IFS(E336='Euro Age Table'!C$5,'Euro Age Table'!G$5,E336='Euro Age Table'!C$6,'Euro Age Table'!G$6,E336='Euro Age Table'!C$7,'Euro Age Table'!G$7,E336='Euro Age Table'!C$8,'Euro Age Table'!G$8,E336='Euro Age Table'!C$9,'Euro Age Table'!G$9,E336='Euro Age Table'!C$10,'Euro Age Table'!G$10,E336='Euro Age Table'!C$11,'Euro Age Table'!G$11)</f>
        <v>27</v>
      </c>
      <c r="Y336" s="46">
        <f>X336*'Eilat Car Data'!F$10</f>
        <v>202500</v>
      </c>
      <c r="Z336" s="46">
        <f>'T3 N2O PC-Diesel LPG'!B$19</f>
        <v>2</v>
      </c>
      <c r="AA336" s="124">
        <f t="shared" si="23"/>
        <v>110295.46117212558</v>
      </c>
    </row>
    <row r="337" spans="1:27" ht="12.5">
      <c r="A337" s="56" t="s">
        <v>10</v>
      </c>
      <c r="B337" s="56" t="s">
        <v>20</v>
      </c>
      <c r="C337" s="56" t="s">
        <v>98</v>
      </c>
      <c r="D337" s="56" t="s">
        <v>99</v>
      </c>
      <c r="E337" s="50" t="s">
        <v>55</v>
      </c>
      <c r="F337" s="97">
        <v>1.6522499757022063E-3</v>
      </c>
      <c r="G337" s="99">
        <f t="shared" si="24"/>
        <v>3.3127612012829237</v>
      </c>
      <c r="H337" s="46"/>
      <c r="I337" s="46">
        <f>G337*'Eilat Car Data'!F$10</f>
        <v>24845.709009621929</v>
      </c>
      <c r="J337" s="46">
        <f>I337*'Tier 1 Coefficients'!I$12</f>
        <v>869599.81533676747</v>
      </c>
      <c r="K337" s="46">
        <f t="shared" si="21"/>
        <v>869.59981533676751</v>
      </c>
      <c r="L337" s="46">
        <f>K337*'Tier 1 Coefficients'!D$3</f>
        <v>2755.7618148022161</v>
      </c>
      <c r="M337" s="46">
        <f>K337*'Tier 1 Coefficients'!C$23</f>
        <v>46784.47006511809</v>
      </c>
      <c r="N337" s="46">
        <f>K337*'Tier 1 Coefficients'!C$47</f>
        <v>51.306389104869282</v>
      </c>
      <c r="O337" s="46">
        <f>I337*'Tier 2 FC'!D$61</f>
        <v>894445.52434638946</v>
      </c>
      <c r="P337" s="46">
        <f t="shared" si="22"/>
        <v>894.44552434638945</v>
      </c>
      <c r="Q337" s="46">
        <f>P337*'Tier 1 Coefficients'!D$3</f>
        <v>2834.4978666537081</v>
      </c>
      <c r="R337" s="46">
        <f>$I337*'T2 L-Cat'!C15</f>
        <v>49.691418019243862</v>
      </c>
      <c r="S337" s="46">
        <f>$I337*'T2 L-Cat'!D15</f>
        <v>7677.3240839731761</v>
      </c>
      <c r="T337" s="46">
        <f>44.011*(P337/(12.011+1.008*'Tier 3 CO2 Tables'!B$3+16*'Tier 3 CO2 Tables'!C$3))</f>
        <v>2834.9259803490268</v>
      </c>
      <c r="U337" s="46">
        <f>I337*'Tier 3 CO2 Tables'!H$18/10000</f>
        <v>1.0683654874137429</v>
      </c>
      <c r="V337" s="46">
        <f>44.011*(U337/(12.011+1.008*'Tier 3 CO2 Tables'!B$6+16*'Tier 3 CO2 Tables'!C$6))</f>
        <v>3.3329340319547596</v>
      </c>
      <c r="W337" s="46">
        <f>I337*'T3 Methane'!D$39</f>
        <v>4969141.8019243861</v>
      </c>
      <c r="X337" s="46" cm="1">
        <f t="array" ref="X337">_xlfn.IFS(E337='Euro Age Table'!C$5,'Euro Age Table'!G$5,E337='Euro Age Table'!C$6,'Euro Age Table'!G$6,E337='Euro Age Table'!C$7,'Euro Age Table'!G$7,E337='Euro Age Table'!C$8,'Euro Age Table'!G$8,E337='Euro Age Table'!C$9,'Euro Age Table'!G$9,E337='Euro Age Table'!C$10,'Euro Age Table'!G$10,E337='Euro Age Table'!C$11,'Euro Age Table'!G$11)</f>
        <v>23</v>
      </c>
      <c r="Y337" s="46">
        <f>X337*'Eilat Car Data'!F$10</f>
        <v>172500</v>
      </c>
      <c r="Z337" s="46">
        <f>'T3 N2O PC-Diesel LPG'!B$19</f>
        <v>2</v>
      </c>
      <c r="AA337" s="124">
        <f t="shared" si="23"/>
        <v>49691.418019243858</v>
      </c>
    </row>
    <row r="338" spans="1:27" ht="12.5">
      <c r="A338" s="56" t="s">
        <v>10</v>
      </c>
      <c r="B338" s="56" t="s">
        <v>20</v>
      </c>
      <c r="C338" s="56" t="s">
        <v>98</v>
      </c>
      <c r="D338" s="56" t="s">
        <v>99</v>
      </c>
      <c r="E338" s="50" t="s">
        <v>56</v>
      </c>
      <c r="F338" s="97">
        <v>4.8465999287264716E-3</v>
      </c>
      <c r="G338" s="99">
        <f t="shared" si="24"/>
        <v>9.7174328570965756</v>
      </c>
      <c r="H338" s="46"/>
      <c r="I338" s="46">
        <f>G338*'Eilat Car Data'!F$10</f>
        <v>72880.746428224316</v>
      </c>
      <c r="J338" s="46">
        <f>I338*'Tier 1 Coefficients'!I$12</f>
        <v>2550826.1249878509</v>
      </c>
      <c r="K338" s="46">
        <f t="shared" si="21"/>
        <v>2550.826124987851</v>
      </c>
      <c r="L338" s="46">
        <f>K338*'Tier 1 Coefficients'!D$3</f>
        <v>8083.5679900864998</v>
      </c>
      <c r="M338" s="46">
        <f>K338*'Tier 1 Coefficients'!C$23</f>
        <v>137234.44552434637</v>
      </c>
      <c r="N338" s="46">
        <f>K338*'Tier 1 Coefficients'!C$47</f>
        <v>150.49874137428321</v>
      </c>
      <c r="O338" s="46">
        <f>I338*'Tier 2 FC'!D$61</f>
        <v>2623706.8714160752</v>
      </c>
      <c r="P338" s="46">
        <f t="shared" si="22"/>
        <v>2623.706871416075</v>
      </c>
      <c r="Q338" s="46">
        <f>P338*'Tier 1 Coefficients'!D$3</f>
        <v>8314.5270755175425</v>
      </c>
      <c r="R338" s="46">
        <f>$I338*'T2 L-Cat'!C16</f>
        <v>145.76149285644863</v>
      </c>
      <c r="S338" s="46">
        <f>$I338*'T2 L-Cat'!D16</f>
        <v>16106.644960637574</v>
      </c>
      <c r="T338" s="46">
        <f>44.011*(P338/(12.011+1.008*'Tier 3 CO2 Tables'!B$3+16*'Tier 3 CO2 Tables'!C$3))</f>
        <v>8315.7828756904782</v>
      </c>
      <c r="U338" s="46">
        <f>I338*'Tier 3 CO2 Tables'!H$18/10000</f>
        <v>3.1338720964136457</v>
      </c>
      <c r="V338" s="46">
        <f>44.011*(U338/(12.011+1.008*'Tier 3 CO2 Tables'!B$6+16*'Tier 3 CO2 Tables'!C$6))</f>
        <v>9.7766064937339614</v>
      </c>
      <c r="W338" s="46">
        <f>I338*'T3 Methane'!D$39</f>
        <v>14576149.285644863</v>
      </c>
      <c r="X338" s="46" cm="1">
        <f t="array" ref="X338">_xlfn.IFS(E338='Euro Age Table'!C$5,'Euro Age Table'!G$5,E338='Euro Age Table'!C$6,'Euro Age Table'!G$6,E338='Euro Age Table'!C$7,'Euro Age Table'!G$7,E338='Euro Age Table'!C$8,'Euro Age Table'!G$8,E338='Euro Age Table'!C$9,'Euro Age Table'!G$9,E338='Euro Age Table'!C$10,'Euro Age Table'!G$10,E338='Euro Age Table'!C$11,'Euro Age Table'!G$11)</f>
        <v>18</v>
      </c>
      <c r="Y338" s="46">
        <f>X338*'Eilat Car Data'!F$10</f>
        <v>135000</v>
      </c>
      <c r="Z338" s="46">
        <f>'T3 N2O PC-Diesel LPG'!B$19</f>
        <v>2</v>
      </c>
      <c r="AA338" s="124">
        <f t="shared" si="23"/>
        <v>145761.49285644863</v>
      </c>
    </row>
    <row r="339" spans="1:27" ht="12.5">
      <c r="A339" s="56" t="s">
        <v>10</v>
      </c>
      <c r="B339" s="56" t="s">
        <v>20</v>
      </c>
      <c r="C339" s="57" t="s">
        <v>98</v>
      </c>
      <c r="D339" s="57" t="s">
        <v>99</v>
      </c>
      <c r="E339" s="50" t="s">
        <v>57</v>
      </c>
      <c r="F339" s="97">
        <v>0.49121715748210065</v>
      </c>
      <c r="G339" s="99">
        <f t="shared" si="24"/>
        <v>984.89040075161176</v>
      </c>
      <c r="H339" s="46"/>
      <c r="I339" s="46">
        <f>G339*'Eilat Car Data'!F$10</f>
        <v>7386678.0056370879</v>
      </c>
      <c r="J339" s="46">
        <f>I339*'Tier 1 Coefficients'!I$12</f>
        <v>258533730.19729808</v>
      </c>
      <c r="K339" s="46">
        <f t="shared" si="21"/>
        <v>258533.73019729808</v>
      </c>
      <c r="L339" s="46">
        <f>K339*'Tier 1 Coefficients'!D$3</f>
        <v>819293.39099523763</v>
      </c>
      <c r="M339" s="46">
        <f>K339*'Tier 1 Coefficients'!C$23</f>
        <v>13909114.684614636</v>
      </c>
      <c r="N339" s="46">
        <f>K339*'Tier 1 Coefficients'!C$47</f>
        <v>15253.490081640586</v>
      </c>
      <c r="O339" s="46">
        <f>I339*'Tier 2 FC'!D$61</f>
        <v>265920408.20293516</v>
      </c>
      <c r="P339" s="46">
        <f t="shared" si="22"/>
        <v>265920.40820293518</v>
      </c>
      <c r="Q339" s="46">
        <f>P339*'Tier 1 Coefficients'!D$3</f>
        <v>842701.77359510167</v>
      </c>
      <c r="R339" s="46">
        <f>$I339*'T2 L-Cat'!C17</f>
        <v>14773.356011274176</v>
      </c>
      <c r="S339" s="46">
        <f>$I339*'T2 L-Cat'!D17</f>
        <v>982428.17474973272</v>
      </c>
      <c r="T339" s="46">
        <f>44.011*(P339/(12.011+1.008*'Tier 3 CO2 Tables'!B$3+16*'Tier 3 CO2 Tables'!C$3))</f>
        <v>842829.05263615854</v>
      </c>
      <c r="U339" s="46">
        <f>I339*'Tier 3 CO2 Tables'!H$18/10000</f>
        <v>317.62715424239479</v>
      </c>
      <c r="V339" s="46">
        <f>44.011*(U339/(12.011+1.008*'Tier 3 CO2 Tables'!B$6+16*'Tier 3 CO2 Tables'!C$6))</f>
        <v>990.88782286491846</v>
      </c>
      <c r="W339" s="46">
        <f>I339*'T3 Methane'!D$39</f>
        <v>1477335601.1274176</v>
      </c>
      <c r="X339" s="46" cm="1">
        <f t="array" ref="X339">_xlfn.IFS(E339='Euro Age Table'!C$5,'Euro Age Table'!G$5,E339='Euro Age Table'!C$6,'Euro Age Table'!G$6,E339='Euro Age Table'!C$7,'Euro Age Table'!G$7,E339='Euro Age Table'!C$8,'Euro Age Table'!G$8,E339='Euro Age Table'!C$9,'Euro Age Table'!G$9,E339='Euro Age Table'!C$10,'Euro Age Table'!G$10,E339='Euro Age Table'!C$11,'Euro Age Table'!G$11)</f>
        <v>16</v>
      </c>
      <c r="Y339" s="46">
        <f>X339*'Eilat Car Data'!F$10</f>
        <v>120000</v>
      </c>
      <c r="Z339" s="46">
        <f>'T3 N2O PC-Diesel LPG'!B$19</f>
        <v>2</v>
      </c>
      <c r="AA339" s="124">
        <f t="shared" si="23"/>
        <v>14773356.011274176</v>
      </c>
    </row>
    <row r="340" spans="1:27" ht="12.5">
      <c r="A340" s="56" t="s">
        <v>10</v>
      </c>
      <c r="B340" s="56" t="s">
        <v>20</v>
      </c>
      <c r="C340" s="56" t="s">
        <v>100</v>
      </c>
      <c r="D340" s="56" t="s">
        <v>101</v>
      </c>
      <c r="E340" s="50" t="s">
        <v>54</v>
      </c>
      <c r="F340" s="97">
        <v>7.6262675349078306E-3</v>
      </c>
      <c r="G340" s="99">
        <f t="shared" si="24"/>
        <v>15.2906664074902</v>
      </c>
      <c r="H340" s="46"/>
      <c r="I340" s="46">
        <f>G340*'Eilat Car Data'!F$10</f>
        <v>114679.9980561765</v>
      </c>
      <c r="J340" s="46">
        <f>I340*'Tier 1 Coefficients'!I$12</f>
        <v>4013799.9319661772</v>
      </c>
      <c r="K340" s="46">
        <f t="shared" si="21"/>
        <v>4013.7999319661772</v>
      </c>
      <c r="L340" s="46">
        <f>K340*'Tier 1 Coefficients'!D$3</f>
        <v>12719.731984400816</v>
      </c>
      <c r="M340" s="46">
        <f>K340*'Tier 1 Coefficients'!C$23</f>
        <v>215942.43633978031</v>
      </c>
      <c r="N340" s="46">
        <f>K340*'Tier 1 Coefficients'!C$47</f>
        <v>236.81419598600445</v>
      </c>
      <c r="O340" s="46">
        <f>I340*'Tier 2 FC'!D62</f>
        <v>4243159.9280785304</v>
      </c>
      <c r="P340" s="46">
        <f t="shared" si="22"/>
        <v>4243.1599280785304</v>
      </c>
      <c r="Q340" s="46">
        <f>P340*'Tier 1 Coefficients'!D$3</f>
        <v>13446.573812080864</v>
      </c>
      <c r="R340" s="46">
        <f>$I340*'T2 L-Cat'!C18</f>
        <v>229.359996112353</v>
      </c>
      <c r="S340" s="46">
        <f>$I340*'T2 L-Cat'!D18</f>
        <v>45642.639226358246</v>
      </c>
      <c r="T340" s="46">
        <f>44.011*(P340/(12.011+1.008*'Tier 3 CO2 Tables'!B$3+16*'Tier 3 CO2 Tables'!C$3))</f>
        <v>13448.604740546816</v>
      </c>
      <c r="U340" s="46">
        <f>I340*'Tier 3 CO2 Tables'!H$18/10000</f>
        <v>4.9312399164155893</v>
      </c>
      <c r="V340" s="46">
        <f>44.011*(U340/(12.011+1.008*'Tier 3 CO2 Tables'!B$6+16*'Tier 3 CO2 Tables'!C$6))</f>
        <v>15.383777865140203</v>
      </c>
      <c r="W340" s="46">
        <f>I340*'T3 Methane'!D$39</f>
        <v>22935999.611235298</v>
      </c>
      <c r="X340" s="46" cm="1">
        <f t="array" ref="X340">_xlfn.IFS(E340='Euro Age Table'!C$5,'Euro Age Table'!G$5,E340='Euro Age Table'!C$6,'Euro Age Table'!G$6,E340='Euro Age Table'!C$7,'Euro Age Table'!G$7,E340='Euro Age Table'!C$8,'Euro Age Table'!G$8,E340='Euro Age Table'!C$9,'Euro Age Table'!G$9,E340='Euro Age Table'!C$10,'Euro Age Table'!G$10,E340='Euro Age Table'!C$11,'Euro Age Table'!G$11)</f>
        <v>27</v>
      </c>
      <c r="Y340" s="46">
        <f>X340*'Eilat Car Data'!F$10</f>
        <v>202500</v>
      </c>
      <c r="Z340" s="46">
        <f>'T3 N2O PC-Diesel LPG'!B$19</f>
        <v>2</v>
      </c>
      <c r="AA340" s="124">
        <f t="shared" si="23"/>
        <v>229359.99611235299</v>
      </c>
    </row>
    <row r="341" spans="1:27" ht="12.5">
      <c r="A341" s="56" t="s">
        <v>10</v>
      </c>
      <c r="B341" s="56" t="s">
        <v>20</v>
      </c>
      <c r="C341" s="56" t="s">
        <v>100</v>
      </c>
      <c r="D341" s="56" t="s">
        <v>101</v>
      </c>
      <c r="E341" s="50" t="s">
        <v>55</v>
      </c>
      <c r="F341" s="97">
        <v>4.7299705186769044E-3</v>
      </c>
      <c r="G341" s="99">
        <f t="shared" si="24"/>
        <v>9.4835908899471928</v>
      </c>
      <c r="H341" s="46"/>
      <c r="I341" s="46">
        <f>G341*'Eilat Car Data'!F$10</f>
        <v>71126.93167460394</v>
      </c>
      <c r="J341" s="46">
        <f>I341*'Tier 1 Coefficients'!I$12</f>
        <v>2489442.6086111381</v>
      </c>
      <c r="K341" s="46">
        <f t="shared" si="21"/>
        <v>2489.442608611138</v>
      </c>
      <c r="L341" s="46">
        <f>K341*'Tier 1 Coefficients'!D$3</f>
        <v>7889.0436266886963</v>
      </c>
      <c r="M341" s="46">
        <f>K341*'Tier 1 Coefficients'!C$23</f>
        <v>133932.0123432792</v>
      </c>
      <c r="N341" s="46">
        <f>K341*'Tier 1 Coefficients'!C$47</f>
        <v>146.87711390805714</v>
      </c>
      <c r="O341" s="46">
        <f>I341*'Tier 2 FC'!D$63</f>
        <v>2560569.5402857419</v>
      </c>
      <c r="P341" s="46">
        <f t="shared" si="22"/>
        <v>2560.5695402857418</v>
      </c>
      <c r="Q341" s="46">
        <f>P341*'Tier 1 Coefficients'!D$3</f>
        <v>8114.4448731655157</v>
      </c>
      <c r="R341" s="46">
        <f>$I341*'T2 L-Cat'!C19</f>
        <v>142.25386334920788</v>
      </c>
      <c r="S341" s="46">
        <f>$I341*'T2 L-Cat'!D19</f>
        <v>21978.221887452619</v>
      </c>
      <c r="T341" s="46">
        <f>44.011*(P341/(12.011+1.008*'Tier 3 CO2 Tables'!B$3+16*'Tier 3 CO2 Tables'!C$3))</f>
        <v>8115.6704535481931</v>
      </c>
      <c r="U341" s="46">
        <f>I341*'Tier 3 CO2 Tables'!H$18/10000</f>
        <v>3.0584580620079693</v>
      </c>
      <c r="V341" s="46">
        <f>44.011*(U341/(12.011+1.008*'Tier 3 CO2 Tables'!B$6+16*'Tier 3 CO2 Tables'!C$6))</f>
        <v>9.5413405620665657</v>
      </c>
      <c r="W341" s="46">
        <f>I341*'T3 Methane'!D$39</f>
        <v>14225386.334920788</v>
      </c>
      <c r="X341" s="46" cm="1">
        <f t="array" ref="X341">_xlfn.IFS(E341='Euro Age Table'!C$5,'Euro Age Table'!G$5,E341='Euro Age Table'!C$6,'Euro Age Table'!G$6,E341='Euro Age Table'!C$7,'Euro Age Table'!G$7,E341='Euro Age Table'!C$8,'Euro Age Table'!G$8,E341='Euro Age Table'!C$9,'Euro Age Table'!G$9,E341='Euro Age Table'!C$10,'Euro Age Table'!G$10,E341='Euro Age Table'!C$11,'Euro Age Table'!G$11)</f>
        <v>23</v>
      </c>
      <c r="Y341" s="46">
        <f>X341*'Eilat Car Data'!F$10</f>
        <v>172500</v>
      </c>
      <c r="Z341" s="46">
        <f>'T3 N2O PC-Diesel LPG'!B$19</f>
        <v>2</v>
      </c>
      <c r="AA341" s="124">
        <f t="shared" si="23"/>
        <v>142253.86334920788</v>
      </c>
    </row>
    <row r="342" spans="1:27" ht="12.5">
      <c r="A342" s="56" t="s">
        <v>10</v>
      </c>
      <c r="B342" s="56" t="s">
        <v>20</v>
      </c>
      <c r="C342" s="56" t="s">
        <v>100</v>
      </c>
      <c r="D342" s="56" t="s">
        <v>101</v>
      </c>
      <c r="E342" s="50" t="s">
        <v>56</v>
      </c>
      <c r="F342" s="97">
        <v>2.5723264327599054E-3</v>
      </c>
      <c r="G342" s="99">
        <f t="shared" si="24"/>
        <v>5.1575144976836107</v>
      </c>
      <c r="H342" s="46"/>
      <c r="I342" s="46">
        <f>G342*'Eilat Car Data'!F$10</f>
        <v>38681.358732627079</v>
      </c>
      <c r="J342" s="46">
        <f>I342*'Tier 1 Coefficients'!I$12</f>
        <v>1353847.5556419478</v>
      </c>
      <c r="K342" s="46">
        <f t="shared" si="21"/>
        <v>1353.8475556419478</v>
      </c>
      <c r="L342" s="46">
        <f>K342*'Tier 1 Coefficients'!D$3</f>
        <v>4290.3429038293325</v>
      </c>
      <c r="M342" s="46">
        <f>K342*'Tier 1 Coefficients'!C$23</f>
        <v>72836.998493536783</v>
      </c>
      <c r="N342" s="46">
        <f>K342*'Tier 1 Coefficients'!C$47</f>
        <v>79.877005782874917</v>
      </c>
      <c r="O342" s="46">
        <f>I342*'Tier 2 FC'!D$63</f>
        <v>1392528.9143745748</v>
      </c>
      <c r="P342" s="46">
        <f t="shared" si="22"/>
        <v>1392.5289143745747</v>
      </c>
      <c r="Q342" s="46">
        <f>P342*'Tier 1 Coefficients'!D$3</f>
        <v>4412.9241296530272</v>
      </c>
      <c r="R342" s="46">
        <f>$I342*'T2 L-Cat'!C20</f>
        <v>77.362717465254164</v>
      </c>
      <c r="S342" s="46">
        <f>$I342*'T2 L-Cat'!D20</f>
        <v>8548.5802799105841</v>
      </c>
      <c r="T342" s="46">
        <f>44.011*(P342/(12.011+1.008*'Tier 3 CO2 Tables'!B$3+16*'Tier 3 CO2 Tables'!C$3))</f>
        <v>4413.5906439159353</v>
      </c>
      <c r="U342" s="46">
        <f>I342*'Tier 3 CO2 Tables'!H$18/10000</f>
        <v>1.6632984255029646</v>
      </c>
      <c r="V342" s="46">
        <f>44.011*(U342/(12.011+1.008*'Tier 3 CO2 Tables'!B$6+16*'Tier 3 CO2 Tables'!C$6))</f>
        <v>5.1889208262197632</v>
      </c>
      <c r="W342" s="46">
        <f>I342*'T3 Methane'!D$39</f>
        <v>7736271.7465254162</v>
      </c>
      <c r="X342" s="46" cm="1">
        <f t="array" ref="X342">_xlfn.IFS(E342='Euro Age Table'!C$5,'Euro Age Table'!G$5,E342='Euro Age Table'!C$6,'Euro Age Table'!G$6,E342='Euro Age Table'!C$7,'Euro Age Table'!G$7,E342='Euro Age Table'!C$8,'Euro Age Table'!G$8,E342='Euro Age Table'!C$9,'Euro Age Table'!G$9,E342='Euro Age Table'!C$10,'Euro Age Table'!G$10,E342='Euro Age Table'!C$11,'Euro Age Table'!G$11)</f>
        <v>18</v>
      </c>
      <c r="Y342" s="46">
        <f>X342*'Eilat Car Data'!F$10</f>
        <v>135000</v>
      </c>
      <c r="Z342" s="46">
        <f>'T3 N2O PC-Diesel LPG'!B$19</f>
        <v>2</v>
      </c>
      <c r="AA342" s="124">
        <f t="shared" si="23"/>
        <v>77362.717465254158</v>
      </c>
    </row>
    <row r="343" spans="1:27" ht="12.5">
      <c r="A343" s="56" t="s">
        <v>10</v>
      </c>
      <c r="B343" s="56" t="s">
        <v>20</v>
      </c>
      <c r="C343" s="56" t="s">
        <v>100</v>
      </c>
      <c r="D343" s="57" t="s">
        <v>101</v>
      </c>
      <c r="E343" s="50" t="s">
        <v>57</v>
      </c>
      <c r="F343" s="97">
        <v>4.8148508115463118E-2</v>
      </c>
      <c r="G343" s="99">
        <f t="shared" si="24"/>
        <v>96.537758771503547</v>
      </c>
      <c r="H343" s="46"/>
      <c r="I343" s="46">
        <f>G343*'Eilat Car Data'!F$10</f>
        <v>724033.19078627659</v>
      </c>
      <c r="J343" s="46">
        <f>I343*'Tier 1 Coefficients'!I$12</f>
        <v>25341161.677519679</v>
      </c>
      <c r="K343" s="46">
        <f t="shared" si="21"/>
        <v>25341.161677519678</v>
      </c>
      <c r="L343" s="46">
        <f>K343*'Tier 1 Coefficients'!D$3</f>
        <v>80306.141356059859</v>
      </c>
      <c r="M343" s="46">
        <f>K343*'Tier 1 Coefficients'!C$23</f>
        <v>1363354.4982505585</v>
      </c>
      <c r="N343" s="46">
        <f>K343*'Tier 1 Coefficients'!C$47</f>
        <v>1495.1285389736609</v>
      </c>
      <c r="O343" s="46">
        <f>I343*'Tier 2 FC'!D$63</f>
        <v>26065194.868305959</v>
      </c>
      <c r="P343" s="46">
        <f t="shared" si="22"/>
        <v>26065.19486830596</v>
      </c>
      <c r="Q343" s="46">
        <f>P343*'Tier 1 Coefficients'!D$3</f>
        <v>82600.602537661587</v>
      </c>
      <c r="R343" s="46">
        <f>$I343*'T2 L-Cat'!C21</f>
        <v>1448.0663815725532</v>
      </c>
      <c r="S343" s="46">
        <f>$I343*'T2 L-Cat'!D21</f>
        <v>96296.414374574786</v>
      </c>
      <c r="T343" s="46">
        <f>44.011*(P343/(12.011+1.008*'Tier 3 CO2 Tables'!B$3+16*'Tier 3 CO2 Tables'!C$3))</f>
        <v>82613.078274406347</v>
      </c>
      <c r="U343" s="46">
        <f>I343*'Tier 3 CO2 Tables'!H$18/10000</f>
        <v>31.133427203809894</v>
      </c>
      <c r="V343" s="46">
        <f>44.011*(U343/(12.011+1.008*'Tier 3 CO2 Tables'!B$6+16*'Tier 3 CO2 Tables'!C$6))</f>
        <v>97.125618790022813</v>
      </c>
      <c r="W343" s="46">
        <f>I343*'T3 Methane'!D$39</f>
        <v>144806638.15725532</v>
      </c>
      <c r="X343" s="46" cm="1">
        <f t="array" ref="X343">_xlfn.IFS(E343='Euro Age Table'!C$5,'Euro Age Table'!G$5,E343='Euro Age Table'!C$6,'Euro Age Table'!G$6,E343='Euro Age Table'!C$7,'Euro Age Table'!G$7,E343='Euro Age Table'!C$8,'Euro Age Table'!G$8,E343='Euro Age Table'!C$9,'Euro Age Table'!G$9,E343='Euro Age Table'!C$10,'Euro Age Table'!G$10,E343='Euro Age Table'!C$11,'Euro Age Table'!G$11)</f>
        <v>16</v>
      </c>
      <c r="Y343" s="46">
        <f>X343*'Eilat Car Data'!F$10</f>
        <v>120000</v>
      </c>
      <c r="Z343" s="46">
        <f>'T3 N2O PC-Diesel LPG'!B$19</f>
        <v>2</v>
      </c>
      <c r="AA343" s="124">
        <f t="shared" si="23"/>
        <v>1448066.3815725532</v>
      </c>
    </row>
    <row r="344" spans="1:27" ht="12.5">
      <c r="A344" s="56" t="s">
        <v>10</v>
      </c>
      <c r="B344" s="56" t="s">
        <v>20</v>
      </c>
      <c r="C344" s="56" t="s">
        <v>100</v>
      </c>
      <c r="D344" s="56" t="s">
        <v>102</v>
      </c>
      <c r="E344" s="50" t="s">
        <v>54</v>
      </c>
      <c r="F344" s="97">
        <v>8.7342469303787213E-3</v>
      </c>
      <c r="G344" s="99">
        <f t="shared" si="24"/>
        <v>17.512165095409337</v>
      </c>
      <c r="H344" s="46"/>
      <c r="I344" s="46">
        <f>G344*'Eilat Car Data'!F$10</f>
        <v>131341.23821557002</v>
      </c>
      <c r="J344" s="46">
        <f>I344*'Tier 1 Coefficients'!I$12</f>
        <v>4596943.3375449507</v>
      </c>
      <c r="K344" s="46">
        <f t="shared" si="21"/>
        <v>4596.9433375449507</v>
      </c>
      <c r="L344" s="46">
        <f>K344*'Tier 1 Coefficients'!D$3</f>
        <v>14567.713436679949</v>
      </c>
      <c r="M344" s="46">
        <f>K344*'Tier 1 Coefficients'!C$23</f>
        <v>247315.55155991833</v>
      </c>
      <c r="N344" s="46">
        <f>K344*'Tier 1 Coefficients'!C$47</f>
        <v>271.21965691515209</v>
      </c>
      <c r="O344" s="46">
        <f>I344*'Tier 2 FC'!D$64</f>
        <v>5910355.7197006512</v>
      </c>
      <c r="P344" s="46">
        <f t="shared" si="22"/>
        <v>5910.3557197006512</v>
      </c>
      <c r="Q344" s="46">
        <f>P344*'Tier 1 Coefficients'!D$3</f>
        <v>18729.917275731364</v>
      </c>
      <c r="R344" s="46">
        <f>$I344*'T2 L-Cat'!C22</f>
        <v>262.68247643114006</v>
      </c>
      <c r="S344" s="46">
        <f>$I344*'T2 L-Cat'!D22</f>
        <v>52273.812809796873</v>
      </c>
      <c r="T344" s="46">
        <f>44.011*(P344/(12.011+1.008*'Tier 3 CO2 Tables'!B$3+16*'Tier 3 CO2 Tables'!C$3))</f>
        <v>18732.74618387494</v>
      </c>
      <c r="U344" s="46">
        <f>I344*'Tier 3 CO2 Tables'!H$18/10000</f>
        <v>5.6476732432695105</v>
      </c>
      <c r="V344" s="46">
        <f>44.011*(U344/(12.011+1.008*'Tier 3 CO2 Tables'!B$6+16*'Tier 3 CO2 Tables'!C$6))</f>
        <v>17.61880421598045</v>
      </c>
      <c r="W344" s="46">
        <f>I344*'T3 Methane'!D$39</f>
        <v>26268247.643114004</v>
      </c>
      <c r="X344" s="46" cm="1">
        <f t="array" ref="X344">_xlfn.IFS(E344='Euro Age Table'!C$5,'Euro Age Table'!G$5,E344='Euro Age Table'!C$6,'Euro Age Table'!G$6,E344='Euro Age Table'!C$7,'Euro Age Table'!G$7,E344='Euro Age Table'!C$8,'Euro Age Table'!G$8,E344='Euro Age Table'!C$9,'Euro Age Table'!G$9,E344='Euro Age Table'!C$10,'Euro Age Table'!G$10,E344='Euro Age Table'!C$11,'Euro Age Table'!G$11)</f>
        <v>27</v>
      </c>
      <c r="Y344" s="46">
        <f>X344*'Eilat Car Data'!F$10</f>
        <v>202500</v>
      </c>
      <c r="Z344" s="46">
        <f>'T3 N2O PC-Diesel LPG'!B$19</f>
        <v>2</v>
      </c>
      <c r="AA344" s="124">
        <f t="shared" si="23"/>
        <v>262682.47643114004</v>
      </c>
    </row>
    <row r="345" spans="1:27" ht="12.5">
      <c r="A345" s="56" t="s">
        <v>10</v>
      </c>
      <c r="B345" s="56" t="s">
        <v>20</v>
      </c>
      <c r="C345" s="56" t="s">
        <v>100</v>
      </c>
      <c r="D345" s="56" t="s">
        <v>102</v>
      </c>
      <c r="E345" s="50" t="s">
        <v>55</v>
      </c>
      <c r="F345" s="97">
        <v>4.5809440502802348E-3</v>
      </c>
      <c r="G345" s="99">
        <f t="shared" si="24"/>
        <v>9.1847928208118716</v>
      </c>
      <c r="H345" s="46"/>
      <c r="I345" s="46">
        <f>G345*'Eilat Car Data'!F$10</f>
        <v>68885.946156089034</v>
      </c>
      <c r="J345" s="46">
        <f>I345*'Tier 1 Coefficients'!I$12</f>
        <v>2411008.1154631162</v>
      </c>
      <c r="K345" s="46">
        <f t="shared" si="21"/>
        <v>2411.0081154631162</v>
      </c>
      <c r="L345" s="46">
        <f>K345*'Tier 1 Coefficients'!D$3</f>
        <v>7640.4847179026156</v>
      </c>
      <c r="M345" s="46">
        <f>K345*'Tier 1 Coefficients'!C$23</f>
        <v>129712.23661191564</v>
      </c>
      <c r="N345" s="46">
        <f>K345*'Tier 1 Coefficients'!C$47</f>
        <v>142.24947881232384</v>
      </c>
      <c r="O345" s="46">
        <f>I345*'Tier 2 FC'!D$65</f>
        <v>3168753.5231800955</v>
      </c>
      <c r="P345" s="46">
        <f t="shared" si="22"/>
        <v>3168.7535231800953</v>
      </c>
      <c r="Q345" s="46">
        <f>P345*'Tier 1 Coefficients'!D$3</f>
        <v>10041.779914957722</v>
      </c>
      <c r="R345" s="46">
        <f>$I345*'T2 L-Cat'!C23</f>
        <v>137.77189231217807</v>
      </c>
      <c r="S345" s="46">
        <f>$I345*'T2 L-Cat'!D23</f>
        <v>21285.75736223151</v>
      </c>
      <c r="T345" s="46">
        <f>44.011*(P345/(12.011+1.008*'Tier 3 CO2 Tables'!B$3+16*'Tier 3 CO2 Tables'!C$3))</f>
        <v>10043.296593999024</v>
      </c>
      <c r="U345" s="46">
        <f>I345*'Tier 3 CO2 Tables'!H$18/10000</f>
        <v>2.9620956847118283</v>
      </c>
      <c r="V345" s="46">
        <f>44.011*(U345/(12.011+1.008*'Tier 3 CO2 Tables'!B$6+16*'Tier 3 CO2 Tables'!C$6))</f>
        <v>9.240722982713784</v>
      </c>
      <c r="W345" s="46">
        <f>I345*'T3 Methane'!D$39</f>
        <v>13777189.231217807</v>
      </c>
      <c r="X345" s="46" cm="1">
        <f t="array" ref="X345">_xlfn.IFS(E345='Euro Age Table'!C$5,'Euro Age Table'!G$5,E345='Euro Age Table'!C$6,'Euro Age Table'!G$6,E345='Euro Age Table'!C$7,'Euro Age Table'!G$7,E345='Euro Age Table'!C$8,'Euro Age Table'!G$8,E345='Euro Age Table'!C$9,'Euro Age Table'!G$9,E345='Euro Age Table'!C$10,'Euro Age Table'!G$10,E345='Euro Age Table'!C$11,'Euro Age Table'!G$11)</f>
        <v>23</v>
      </c>
      <c r="Y345" s="46">
        <f>X345*'Eilat Car Data'!F$10</f>
        <v>172500</v>
      </c>
      <c r="Z345" s="46">
        <f>'T3 N2O PC-Diesel LPG'!B$19</f>
        <v>2</v>
      </c>
      <c r="AA345" s="124">
        <f t="shared" si="23"/>
        <v>137771.89231217807</v>
      </c>
    </row>
    <row r="346" spans="1:27" ht="12.5">
      <c r="A346" s="56" t="s">
        <v>10</v>
      </c>
      <c r="B346" s="56" t="s">
        <v>20</v>
      </c>
      <c r="C346" s="56" t="s">
        <v>100</v>
      </c>
      <c r="D346" s="56" t="s">
        <v>102</v>
      </c>
      <c r="E346" s="50" t="s">
        <v>56</v>
      </c>
      <c r="F346" s="97">
        <v>3.0388440729581753E-3</v>
      </c>
      <c r="G346" s="99">
        <f t="shared" si="24"/>
        <v>6.0928823662811418</v>
      </c>
      <c r="H346" s="46"/>
      <c r="I346" s="46">
        <f>G346*'Eilat Car Data'!F$10</f>
        <v>45696.617747108561</v>
      </c>
      <c r="J346" s="46">
        <f>I346*'Tier 1 Coefficients'!I$12</f>
        <v>1599381.6211487995</v>
      </c>
      <c r="K346" s="46">
        <f t="shared" si="21"/>
        <v>1599.3816211487995</v>
      </c>
      <c r="L346" s="46">
        <f>K346*'Tier 1 Coefficients'!D$3</f>
        <v>5068.4403574205453</v>
      </c>
      <c r="M346" s="46">
        <f>K346*'Tier 1 Coefficients'!C$23</f>
        <v>86046.731217805413</v>
      </c>
      <c r="N346" s="46">
        <f>K346*'Tier 1 Coefficients'!C$47</f>
        <v>94.363515647779167</v>
      </c>
      <c r="O346" s="46">
        <f>I346*'Tier 2 FC'!D$65</f>
        <v>2102044.4163669939</v>
      </c>
      <c r="P346" s="46">
        <f t="shared" si="22"/>
        <v>2102.044416366994</v>
      </c>
      <c r="Q346" s="46">
        <f>P346*'Tier 1 Coefficients'!D$3</f>
        <v>6661.3787554670043</v>
      </c>
      <c r="R346" s="46">
        <f>$I346*'T2 L-Cat'!C24</f>
        <v>91.393235494217123</v>
      </c>
      <c r="S346" s="46">
        <f>$I346*'T2 L-Cat'!D24</f>
        <v>10098.952522110993</v>
      </c>
      <c r="T346" s="46">
        <f>44.011*(P346/(12.011+1.008*'Tier 3 CO2 Tables'!B$3+16*'Tier 3 CO2 Tables'!C$3))</f>
        <v>6662.3848692864822</v>
      </c>
      <c r="U346" s="46">
        <f>I346*'Tier 3 CO2 Tables'!H$18/10000</f>
        <v>1.9649545631256682</v>
      </c>
      <c r="V346" s="46">
        <f>44.011*(U346/(12.011+1.008*'Tier 3 CO2 Tables'!B$6+16*'Tier 3 CO2 Tables'!C$6))</f>
        <v>6.1299845528893409</v>
      </c>
      <c r="W346" s="46">
        <f>I346*'T3 Methane'!D$39</f>
        <v>9139323.5494217128</v>
      </c>
      <c r="X346" s="46" cm="1">
        <f t="array" ref="X346">_xlfn.IFS(E346='Euro Age Table'!C$5,'Euro Age Table'!G$5,E346='Euro Age Table'!C$6,'Euro Age Table'!G$6,E346='Euro Age Table'!C$7,'Euro Age Table'!G$7,E346='Euro Age Table'!C$8,'Euro Age Table'!G$8,E346='Euro Age Table'!C$9,'Euro Age Table'!G$9,E346='Euro Age Table'!C$10,'Euro Age Table'!G$10,E346='Euro Age Table'!C$11,'Euro Age Table'!G$11)</f>
        <v>18</v>
      </c>
      <c r="Y346" s="46">
        <f>X346*'Eilat Car Data'!F$10</f>
        <v>135000</v>
      </c>
      <c r="Z346" s="46">
        <f>'T3 N2O PC-Diesel LPG'!B$19</f>
        <v>2</v>
      </c>
      <c r="AA346" s="124">
        <f t="shared" si="23"/>
        <v>91393.235494217122</v>
      </c>
    </row>
    <row r="347" spans="1:27" ht="12.5">
      <c r="A347" s="56" t="s">
        <v>10</v>
      </c>
      <c r="B347" s="56" t="s">
        <v>20</v>
      </c>
      <c r="C347" s="57" t="s">
        <v>100</v>
      </c>
      <c r="D347" s="57" t="s">
        <v>102</v>
      </c>
      <c r="E347" s="50" t="s">
        <v>57</v>
      </c>
      <c r="F347" s="97">
        <v>7.1707648945475752E-2</v>
      </c>
      <c r="G347" s="99">
        <f t="shared" si="24"/>
        <v>143.77383613567889</v>
      </c>
      <c r="H347" s="46"/>
      <c r="I347" s="46">
        <f>G347*'Eilat Car Data'!F$10</f>
        <v>1078303.7710175917</v>
      </c>
      <c r="J347" s="46">
        <f>I347*'Tier 1 Coefficients'!I$12</f>
        <v>37740631.985615708</v>
      </c>
      <c r="K347" s="46">
        <f t="shared" si="21"/>
        <v>37740.631985615706</v>
      </c>
      <c r="L347" s="46">
        <f>K347*'Tier 1 Coefficients'!D$3</f>
        <v>119600.06276241617</v>
      </c>
      <c r="M347" s="46">
        <f>K347*'Tier 1 Coefficients'!C$23</f>
        <v>2030446.0008261248</v>
      </c>
      <c r="N347" s="46">
        <f>K347*'Tier 1 Coefficients'!C$47</f>
        <v>2226.6972871513267</v>
      </c>
      <c r="O347" s="46">
        <f>I347*'Tier 2 FC'!D$65</f>
        <v>49601973.466809221</v>
      </c>
      <c r="P347" s="46">
        <f t="shared" si="22"/>
        <v>49601.973466809221</v>
      </c>
      <c r="Q347" s="46">
        <f>P347*'Tier 1 Coefficients'!D$3</f>
        <v>157188.65391631844</v>
      </c>
      <c r="R347" s="46">
        <f>$I347*'T2 L-Cat'!C25</f>
        <v>2156.6075420351835</v>
      </c>
      <c r="S347" s="46">
        <f>$I347*'T2 L-Cat'!D25</f>
        <v>143414.4015453397</v>
      </c>
      <c r="T347" s="46">
        <f>44.011*(P347/(12.011+1.008*'Tier 3 CO2 Tables'!B$3+16*'Tier 3 CO2 Tables'!C$3))</f>
        <v>157212.39519913329</v>
      </c>
      <c r="U347" s="46">
        <f>I347*'Tier 3 CO2 Tables'!H$18/10000</f>
        <v>46.367062153756443</v>
      </c>
      <c r="V347" s="46">
        <f>44.011*(U347/(12.011+1.008*'Tier 3 CO2 Tables'!B$6+16*'Tier 3 CO2 Tables'!C$6))</f>
        <v>144.64933698683657</v>
      </c>
      <c r="W347" s="46">
        <f>I347*'T3 Methane'!D$39</f>
        <v>215660754.20351833</v>
      </c>
      <c r="X347" s="46" cm="1">
        <f t="array" ref="X347">_xlfn.IFS(E347='Euro Age Table'!C$5,'Euro Age Table'!G$5,E347='Euro Age Table'!C$6,'Euro Age Table'!G$6,E347='Euro Age Table'!C$7,'Euro Age Table'!G$7,E347='Euro Age Table'!C$8,'Euro Age Table'!G$8,E347='Euro Age Table'!C$9,'Euro Age Table'!G$9,E347='Euro Age Table'!C$10,'Euro Age Table'!G$10,E347='Euro Age Table'!C$11,'Euro Age Table'!G$11)</f>
        <v>16</v>
      </c>
      <c r="Y347" s="46">
        <f>X347*'Eilat Car Data'!F$10</f>
        <v>120000</v>
      </c>
      <c r="Z347" s="46">
        <f>'T3 N2O PC-Diesel LPG'!B$19</f>
        <v>2</v>
      </c>
      <c r="AA347" s="124">
        <f t="shared" si="23"/>
        <v>2156607.5420351834</v>
      </c>
    </row>
    <row r="348" spans="1:27" ht="12.5">
      <c r="A348" s="61" t="s">
        <v>10</v>
      </c>
      <c r="B348" s="62" t="s">
        <v>64</v>
      </c>
      <c r="C348" s="57" t="s">
        <v>100</v>
      </c>
      <c r="D348" s="57" t="s">
        <v>102</v>
      </c>
      <c r="E348" s="50" t="s">
        <v>57</v>
      </c>
      <c r="F348" s="97">
        <v>1.0308743966047883E-2</v>
      </c>
      <c r="G348" s="99">
        <f t="shared" si="24"/>
        <v>20.669031651926005</v>
      </c>
      <c r="H348" s="46"/>
      <c r="I348" s="46">
        <f>G348*'Eilat Car Data'!F$10</f>
        <v>155017.73738944504</v>
      </c>
      <c r="J348" s="46">
        <f>I348*0</f>
        <v>0</v>
      </c>
      <c r="K348" s="46">
        <f t="shared" si="21"/>
        <v>0</v>
      </c>
      <c r="L348" s="46">
        <f>K348*0</f>
        <v>0</v>
      </c>
      <c r="M348" s="46">
        <f>K348*0</f>
        <v>0</v>
      </c>
      <c r="N348" s="46">
        <f>K348*0</f>
        <v>0</v>
      </c>
      <c r="O348" s="46">
        <f>I348*0</f>
        <v>0</v>
      </c>
      <c r="P348" s="46">
        <f t="shared" si="22"/>
        <v>0</v>
      </c>
      <c r="Q348" s="46">
        <f>P3480</f>
        <v>0</v>
      </c>
      <c r="R348" s="46">
        <f>I348*0</f>
        <v>0</v>
      </c>
      <c r="S348" s="46">
        <f>I348*0</f>
        <v>0</v>
      </c>
      <c r="T348" s="46">
        <f>P348*0</f>
        <v>0</v>
      </c>
      <c r="U348" s="46">
        <f>I348*0</f>
        <v>0</v>
      </c>
      <c r="V348" s="46">
        <f>44.011*(U348/(12.011+1.008*'Tier 3 CO2 Tables'!B$6+16*'Tier 3 CO2 Tables'!C$6))</f>
        <v>0</v>
      </c>
      <c r="W348" s="46">
        <f>I348*0</f>
        <v>0</v>
      </c>
      <c r="X348" s="46" cm="1">
        <f t="array" ref="X348">_xlfn.IFS(E348='Euro Age Table'!C$5,'Euro Age Table'!G$5,E348='Euro Age Table'!C$6,'Euro Age Table'!G$6,E348='Euro Age Table'!C$7,'Euro Age Table'!G$7,E348='Euro Age Table'!C$8,'Euro Age Table'!G$8,E348='Euro Age Table'!C$9,'Euro Age Table'!G$9,E348='Euro Age Table'!C$10,'Euro Age Table'!G$10,E348='Euro Age Table'!C$11,'Euro Age Table'!G$11)</f>
        <v>16</v>
      </c>
      <c r="Y348" s="46">
        <f>X348*'Eilat Car Data'!F$10</f>
        <v>120000</v>
      </c>
      <c r="Z348" s="46">
        <v>0</v>
      </c>
      <c r="AA348" s="124">
        <f t="shared" si="23"/>
        <v>0</v>
      </c>
    </row>
    <row r="349" spans="1:27" ht="12.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7" ht="12.5">
      <c r="A350" s="76" t="s">
        <v>262</v>
      </c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>
        <f>SUM(L2:L348)</f>
        <v>111675887.96258758</v>
      </c>
      <c r="M350" s="46">
        <f>SUM(M2:M348)/1000</f>
        <v>294342.72062050633</v>
      </c>
      <c r="N350" s="46">
        <f>SUM(N2:N348)/1000</f>
        <v>5792.8141634850481</v>
      </c>
      <c r="O350" s="46"/>
      <c r="P350" s="46"/>
      <c r="Q350" s="46">
        <f>SUM(Q2:Q348)</f>
        <v>97192128.268214002</v>
      </c>
      <c r="R350" s="46">
        <f>SUM(R2:R348)/1000</f>
        <v>1186.9895519602562</v>
      </c>
      <c r="S350" s="46">
        <f>SUM(S2:S348)/1000</f>
        <v>192416.15958774122</v>
      </c>
      <c r="T350" s="46">
        <f>SUM(T2:T348)</f>
        <v>95737697.735082865</v>
      </c>
      <c r="U350" s="46"/>
      <c r="V350" s="46">
        <f>SUM(V2:V348)</f>
        <v>193162.28327539706</v>
      </c>
      <c r="W350" s="46">
        <f>SUM(W2:W348)/1000000</f>
        <v>7155.0396090225431</v>
      </c>
      <c r="X350" s="46"/>
      <c r="Y350" s="46"/>
      <c r="Z350" s="46"/>
      <c r="AA350" s="124">
        <f>SUM(AA2:AA348)/1000000</f>
        <v>1960.3656150696847</v>
      </c>
    </row>
    <row r="351" spans="1:27" ht="12.5">
      <c r="A351" s="76" t="s">
        <v>263</v>
      </c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>
        <f>L350</f>
        <v>111675887.96258758</v>
      </c>
      <c r="M351" s="46">
        <f>M350</f>
        <v>294342.72062050633</v>
      </c>
      <c r="N351" s="46">
        <f>N350*298</f>
        <v>1726258.6207185443</v>
      </c>
      <c r="O351" s="46"/>
      <c r="P351" s="46"/>
      <c r="Q351" s="46">
        <f>Q350</f>
        <v>97192128.268214002</v>
      </c>
      <c r="R351" s="46">
        <f>R350*298</f>
        <v>353722.88648415636</v>
      </c>
      <c r="S351" s="46">
        <f>S350</f>
        <v>192416.15958774122</v>
      </c>
      <c r="T351" s="46">
        <f>T350</f>
        <v>95737697.735082865</v>
      </c>
      <c r="U351" s="46"/>
      <c r="V351" s="46">
        <f>V350</f>
        <v>193162.28327539706</v>
      </c>
      <c r="W351" s="46">
        <f>W350*84</f>
        <v>601023.32715789357</v>
      </c>
      <c r="X351" s="46"/>
      <c r="Y351" s="46"/>
      <c r="Z351" s="46"/>
      <c r="AA351" s="124">
        <f>AA350*298</f>
        <v>584188.95329076611</v>
      </c>
    </row>
    <row r="352" spans="1:27" ht="12.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76" t="s">
        <v>264</v>
      </c>
      <c r="M352" s="46">
        <f>SUM(L351:N351)</f>
        <v>113696489.30392663</v>
      </c>
      <c r="N352" s="46"/>
      <c r="O352" s="46"/>
      <c r="P352" s="46"/>
      <c r="Q352" s="76" t="s">
        <v>266</v>
      </c>
      <c r="R352" s="46">
        <f>SUM(Q351:S351)</f>
        <v>97738267.314285904</v>
      </c>
      <c r="S352" s="46"/>
      <c r="T352" s="46"/>
      <c r="U352" s="76" t="s">
        <v>318</v>
      </c>
      <c r="V352" s="46">
        <f>SUM(T351,V351,W351,AA351)</f>
        <v>97116072.298806921</v>
      </c>
      <c r="W352" s="46"/>
      <c r="X352" s="46"/>
      <c r="Y352" s="46"/>
      <c r="Z352" s="46"/>
    </row>
    <row r="353" spans="1:26" ht="12.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76" t="s">
        <v>265</v>
      </c>
      <c r="M353" s="46">
        <f>M352/1000</f>
        <v>113696.48930392663</v>
      </c>
      <c r="N353" s="46"/>
      <c r="O353" s="46"/>
      <c r="P353" s="46"/>
      <c r="Q353" s="76" t="s">
        <v>267</v>
      </c>
      <c r="R353" s="46">
        <f>R352/1000</f>
        <v>97738.267314285898</v>
      </c>
      <c r="S353" s="46"/>
      <c r="T353" s="46"/>
      <c r="U353" s="76" t="s">
        <v>319</v>
      </c>
      <c r="V353" s="46">
        <f>V352/1000</f>
        <v>97116.072298806917</v>
      </c>
      <c r="W353" s="46"/>
      <c r="X353" s="46"/>
      <c r="Y353" s="46"/>
      <c r="Z353" s="46"/>
    </row>
    <row r="354" spans="1:26" ht="12.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2.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2.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2.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2.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2.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2.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2.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2.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2.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2.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2.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2.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2.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2.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2.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2.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2.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2.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2.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2.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2.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2.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2.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2.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2.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2.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2.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2.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2.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2.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2.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2.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2.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2.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2.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2.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2.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2.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2.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2.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2.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2.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2.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2.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2.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2.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2.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2.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2.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2.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2.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2.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2.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2.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2.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2.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2.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2.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2.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2.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2.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2.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2.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2.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2.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2.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2.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2.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2.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2.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2.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2.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2.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2.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2.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2.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2.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2.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2.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2.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2.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2.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2.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2.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2.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2.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2.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2.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2.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2.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2.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2.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2.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2.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2.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2.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2.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2.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2.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2.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2.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2.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2.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2.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2.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2.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2.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2.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2.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2.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2.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2.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2.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2.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2.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2.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2.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2.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2.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2.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2.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2.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2.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2.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2.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2.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2.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2.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2.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2.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2.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2.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2.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2.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2.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2.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2.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2.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2.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2.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2.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2.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2.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2.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2.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2.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2.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2.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2.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2.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2.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2.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2.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2.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2.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2.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2.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2.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2.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2.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2.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2.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2.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2.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2.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2.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2.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2.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2.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2.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2.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2.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2.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2.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2.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2.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2.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2.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2.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2.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2.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2.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2.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2.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2.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2.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2.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2.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2.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2.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2.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2.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2.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2.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2.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2.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2.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2.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2.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2.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2.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2.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2.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2.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2.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2.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2.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2.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2.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2.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2.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2.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2.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2.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2.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2.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2.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2.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2.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2.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2.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2.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2.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2.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2.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2.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2.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2.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2.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2.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2.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2.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2.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2.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2.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2.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2.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2.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2.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2.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2.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2.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2.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2.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2.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2.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2.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2.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2.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2.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2.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2.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2.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2.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2.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2.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2.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2.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2.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2.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2.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2.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2.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2.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2.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2.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2.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2.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2.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2.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2.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2.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2.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2.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2.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2.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2.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2.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2.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2.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2.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2.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2.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2.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2.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2.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2.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2.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2.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2.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2.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2.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2.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2.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2.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2.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2.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2.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2.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2.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2.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2.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2.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2.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2.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2.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2.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2.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2.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2.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2.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2.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2.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2.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2.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2.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2.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2.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2.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2.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2.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2.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2.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2.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2.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2.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2.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2.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2.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2.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2.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2.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2.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2.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2.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2.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2.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2.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2.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2.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2.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2.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2.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2.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2.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2.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2.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2.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2.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2.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2.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2.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2.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2.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2.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2.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2.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2.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2.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2.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2.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2.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2.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2.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2.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2.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2.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2.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2.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2.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2.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2.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2.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2.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2.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2.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2.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2.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2.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2.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2.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2.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2.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2.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2.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2.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2.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2.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2.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2.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2.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2.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2.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2.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2.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2.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2.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2.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2.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2.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2.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2.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2.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2.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2.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2.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2.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2.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2.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2.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2.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2.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2.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2.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2.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2.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2.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2.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2.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2.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2.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2.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2.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2.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2.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2.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2.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2.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2.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2.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2.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2.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2.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2.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2.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2.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2.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2.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2.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2.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2.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2.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2.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2.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2.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2.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2.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2.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2.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2.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2.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2.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2.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2.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2.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2.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2.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2.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2.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2.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2.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2.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2.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2.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2.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2.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2.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2.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2.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2.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2.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2.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2.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2.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2.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2.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2.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2.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2.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2.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2.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2.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2.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2.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2.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2.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2.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2.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2.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2.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2.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2.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2.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2.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2.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2.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2.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2.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2.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2.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2.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2.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2.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2.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2.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2.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2.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2.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2.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2.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2.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2.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2.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2.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2.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2.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2.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2.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2.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2.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2.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2.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2.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2.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2.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2.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2.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2.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2.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2.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2.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2.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2.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2.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2.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2.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2.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2.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2.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2.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2.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2.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2.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2.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2.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2.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2.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2.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2.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2.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2.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2.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2.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2.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2.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2.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2.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2.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2.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2.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2.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2.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2.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2.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2.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2.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2.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2.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2.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2.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2.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2.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2.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2.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2.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2.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2.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2.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2.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2.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2.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2.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2.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2.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2.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2.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2.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2.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2.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2.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2.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2.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2.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2.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2.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2.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2.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2.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2.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2.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2.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2.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2.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2.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2.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2.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2.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2.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2.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2.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2.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2.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2.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2.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2.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2.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2.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2.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2.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2.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2.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2.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2.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2.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2.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2.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2.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2.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2.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2.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2.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2.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2.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2.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2.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2.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2.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2.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2.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2.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2.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2.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2.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2.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2.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</sheetData>
  <pageMargins left="0.7" right="0.7" top="0.75" bottom="0.75" header="0.3" footer="0.3"/>
  <ignoredErrors>
    <ignoredError sqref="K316" formula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5434B-25D3-4764-B131-284CCC00AAA0}">
  <dimension ref="A1:AP149"/>
  <sheetViews>
    <sheetView topLeftCell="M112" zoomScale="65" workbookViewId="0">
      <selection activeCell="F51" sqref="F51"/>
    </sheetView>
  </sheetViews>
  <sheetFormatPr defaultRowHeight="12.5"/>
  <cols>
    <col min="1" max="1" width="5.453125" bestFit="1" customWidth="1"/>
    <col min="2" max="2" width="22.08984375" bestFit="1" customWidth="1"/>
    <col min="3" max="3" width="14.6328125" bestFit="1" customWidth="1"/>
    <col min="4" max="4" width="12.36328125" bestFit="1" customWidth="1"/>
    <col min="5" max="5" width="11" customWidth="1"/>
    <col min="6" max="6" width="10.81640625" bestFit="1" customWidth="1"/>
    <col min="7" max="7" width="20.26953125" customWidth="1"/>
    <col min="8" max="8" width="5.453125" bestFit="1" customWidth="1"/>
    <col min="9" max="9" width="22.08984375" bestFit="1" customWidth="1"/>
    <col min="10" max="10" width="16.36328125" customWidth="1"/>
    <col min="11" max="12" width="24.36328125" customWidth="1"/>
    <col min="13" max="13" width="15.54296875" customWidth="1"/>
    <col min="14" max="14" width="23.36328125" customWidth="1"/>
    <col min="15" max="17" width="13.7265625" customWidth="1"/>
    <col min="18" max="18" width="14.81640625" customWidth="1"/>
  </cols>
  <sheetData>
    <row r="1" spans="1:42">
      <c r="A1" s="137" t="s">
        <v>337</v>
      </c>
      <c r="B1" s="138"/>
      <c r="C1" s="138"/>
      <c r="D1" s="138"/>
      <c r="E1" s="138"/>
      <c r="F1" s="138"/>
      <c r="G1" s="138"/>
    </row>
    <row r="2" spans="1:42">
      <c r="B2" s="65" t="s">
        <v>338</v>
      </c>
      <c r="C2" s="65" t="s">
        <v>257</v>
      </c>
      <c r="D2" s="65" t="s">
        <v>258</v>
      </c>
      <c r="E2" s="65" t="s">
        <v>41</v>
      </c>
      <c r="F2" s="65" t="s">
        <v>40</v>
      </c>
      <c r="G2" s="65" t="s">
        <v>111</v>
      </c>
    </row>
    <row r="3" spans="1:42">
      <c r="A3" s="65" t="s">
        <v>320</v>
      </c>
      <c r="B3" s="65" t="s">
        <v>321</v>
      </c>
      <c r="C3">
        <f>SUM('2030 Projection'!L$3:L$94)/1000</f>
        <v>85842.449603810775</v>
      </c>
      <c r="D3">
        <f>SUM('2030 Projection'!M$3:M$94)/1000000</f>
        <v>239.33063189378026</v>
      </c>
      <c r="E3">
        <f>298*SUM('2030 Projection'!N$3:N$94)/1000000</f>
        <v>1591.9819840238633</v>
      </c>
      <c r="G3" s="125">
        <f>SUM(C3:E3)</f>
        <v>87673.762219728422</v>
      </c>
    </row>
    <row r="4" spans="1:42">
      <c r="B4" s="65" t="s">
        <v>339</v>
      </c>
      <c r="C4">
        <f>SUM('2030 Projection'!L$96:L$133)/1000</f>
        <v>5977.9842820784124</v>
      </c>
      <c r="D4">
        <f>SUM('2030 Projection'!M$96:M$133)/1000000</f>
        <v>12.04425861772028</v>
      </c>
      <c r="E4">
        <f>298*SUM('2030 Projection'!N$96:N$133)/1000000</f>
        <v>36.875334799419917</v>
      </c>
      <c r="G4" s="125">
        <f t="shared" ref="G4:G9" si="0">SUM(C4:E4)</f>
        <v>6026.9038754955527</v>
      </c>
    </row>
    <row r="5" spans="1:42">
      <c r="B5" s="65" t="s">
        <v>323</v>
      </c>
      <c r="C5">
        <f>SUM('2030 Projection'!L$135:L$165)/1000</f>
        <v>363.21573742826399</v>
      </c>
      <c r="D5">
        <f>SUM('2030 Projection'!M$135:M$165)/1000000</f>
        <v>0.73467144262768191</v>
      </c>
      <c r="E5">
        <f>298*SUM('2030 Projection'!N$135:N$165)/1000000</f>
        <v>1.9141042927288148</v>
      </c>
      <c r="G5" s="125">
        <f t="shared" si="0"/>
        <v>365.86451316362053</v>
      </c>
    </row>
    <row r="6" spans="1:42">
      <c r="B6" s="65" t="s">
        <v>340</v>
      </c>
      <c r="C6">
        <f>SUM('2030 Projection'!L$167:L$267)/1000</f>
        <v>16087.616038897311</v>
      </c>
      <c r="D6">
        <f>SUM('2030 Projection'!M$167:M$267)/1000000</f>
        <v>12.891677559829285</v>
      </c>
      <c r="E6">
        <f>298*SUM('2030 Projection'!N$167:N$267)/1000000</f>
        <v>77.921492024592354</v>
      </c>
      <c r="G6" s="125">
        <f t="shared" si="0"/>
        <v>16178.429208481733</v>
      </c>
    </row>
    <row r="7" spans="1:42">
      <c r="B7" s="65" t="s">
        <v>143</v>
      </c>
      <c r="C7">
        <f>SUM('2030 Projection'!L$269:L$317)/1000</f>
        <v>1759.3742905463455</v>
      </c>
      <c r="D7">
        <f>SUM('2030 Projection'!M$269:M$317)/1000000</f>
        <v>1.410164309873057</v>
      </c>
      <c r="E7">
        <f>298*SUM('2030 Projection'!N$269:N$317)/1000000</f>
        <v>8.4376681816735104</v>
      </c>
      <c r="G7" s="125">
        <f t="shared" si="0"/>
        <v>1769.2221230378921</v>
      </c>
    </row>
    <row r="8" spans="1:42">
      <c r="B8" s="65" t="s">
        <v>34</v>
      </c>
      <c r="C8">
        <f>SUM('2030 Projection'!L$319:L$348)/1000</f>
        <v>1645.2480098265139</v>
      </c>
      <c r="D8">
        <f>SUM('2030 Projection'!M$319:M$348)/1000000</f>
        <v>27.931316796676057</v>
      </c>
      <c r="E8">
        <f>298*SUM('2030 Projection'!N$319:N$348)/1000000</f>
        <v>9.1280373962668868</v>
      </c>
      <c r="G8" s="125">
        <f t="shared" si="0"/>
        <v>1682.3073640194568</v>
      </c>
    </row>
    <row r="9" spans="1:42">
      <c r="B9" s="65" t="s">
        <v>111</v>
      </c>
      <c r="C9">
        <f>SUM(C3:C8)</f>
        <v>111675.88796258761</v>
      </c>
      <c r="D9">
        <f>SUM(D3:D8)</f>
        <v>294.34272062050661</v>
      </c>
      <c r="E9">
        <f>SUM(E3:E8)</f>
        <v>1726.2586207185448</v>
      </c>
      <c r="F9" s="65"/>
      <c r="G9" s="125">
        <f t="shared" si="0"/>
        <v>113696.48930392666</v>
      </c>
    </row>
    <row r="10" spans="1:42">
      <c r="G10" s="126"/>
    </row>
    <row r="11" spans="1:42">
      <c r="A11" s="65" t="s">
        <v>325</v>
      </c>
      <c r="B11" s="65" t="s">
        <v>321</v>
      </c>
      <c r="C11">
        <f>SUM('2030 Projection'!Q$3:Q$94)/1000</f>
        <v>75713.433676192537</v>
      </c>
      <c r="D11">
        <f>SUM('2030 Projection'!S$3:S$94)/1000000</f>
        <v>158.7095711676989</v>
      </c>
      <c r="E11">
        <f>298*SUM('2030 Projection'!R$3:R$94)/1000000</f>
        <v>213.34915129849591</v>
      </c>
      <c r="G11" s="126">
        <f>SUM(C11:E11)</f>
        <v>76085.492398658724</v>
      </c>
    </row>
    <row r="12" spans="1:42">
      <c r="B12" s="65" t="s">
        <v>339</v>
      </c>
      <c r="C12">
        <f>SUM('2030 Projection'!Q$96:Q$133)/1000</f>
        <v>5876.2849036534853</v>
      </c>
      <c r="D12" s="111">
        <f>SUM('2030 Projection'!S$96:S$133)/1000000</f>
        <v>9.892958219961848</v>
      </c>
      <c r="E12">
        <f>298*SUM('2030 Projection'!R$96:R$133)/1000000</f>
        <v>42.237355486370674</v>
      </c>
      <c r="G12" s="126">
        <f t="shared" ref="G12:G17" si="1">SUM(C12:E12)</f>
        <v>5928.4152173598177</v>
      </c>
    </row>
    <row r="13" spans="1:42">
      <c r="B13" s="65" t="s">
        <v>323</v>
      </c>
      <c r="C13">
        <f>SUM('2030 Projection'!Q$135:Q$165)/1000</f>
        <v>363.18125928586795</v>
      </c>
      <c r="D13" s="111">
        <f>SUM('2030 Projection'!S$135:S$165)/1000000</f>
        <v>0.57837872656161016</v>
      </c>
      <c r="E13">
        <f>298*SUM('2030 Projection'!R$135:R$165)/1000000</f>
        <v>2.1336878025795833</v>
      </c>
      <c r="G13" s="126">
        <f t="shared" si="1"/>
        <v>365.89332581500912</v>
      </c>
    </row>
    <row r="14" spans="1:42">
      <c r="B14" s="65" t="s">
        <v>340</v>
      </c>
      <c r="C14">
        <f>SUM('2030 Projection'!Q$167:Q$267)/1000</f>
        <v>11553.374753449789</v>
      </c>
      <c r="D14">
        <f>SUM('2030 Projection'!S$167:S$267)/1000000</f>
        <v>10.380781649712409</v>
      </c>
      <c r="E14">
        <f>298*SUM('2030 Projection'!R$167:R$267)/1000000</f>
        <v>65.165739365140553</v>
      </c>
      <c r="G14" s="126">
        <f t="shared" si="1"/>
        <v>11628.921274464641</v>
      </c>
      <c r="S14" s="138" t="s">
        <v>327</v>
      </c>
      <c r="T14" s="138"/>
      <c r="U14" s="138"/>
      <c r="V14" s="138"/>
      <c r="W14" s="138"/>
      <c r="X14" s="138"/>
      <c r="Y14" s="138"/>
      <c r="AB14" s="138" t="s">
        <v>327</v>
      </c>
      <c r="AC14" s="138"/>
      <c r="AD14" s="138"/>
      <c r="AE14" s="138"/>
      <c r="AF14" s="138"/>
      <c r="AG14" s="138"/>
      <c r="AH14" s="138"/>
    </row>
    <row r="15" spans="1:42">
      <c r="B15" s="65" t="s">
        <v>143</v>
      </c>
      <c r="C15">
        <f>SUM('2030 Projection'!Q$269:Q$317)/1000</f>
        <v>2206.589986405701</v>
      </c>
      <c r="D15">
        <f>SUM('2030 Projection'!S$269:S$317)/1000000</f>
        <v>0.64373697902097915</v>
      </c>
      <c r="E15">
        <f>298*SUM('2030 Projection'!R$269:R$317)/1000000</f>
        <v>23.460794000516689</v>
      </c>
      <c r="G15" s="126">
        <f t="shared" si="1"/>
        <v>2230.6945173852387</v>
      </c>
      <c r="T15" t="s">
        <v>104</v>
      </c>
      <c r="U15" t="s">
        <v>257</v>
      </c>
      <c r="V15" t="s">
        <v>258</v>
      </c>
      <c r="W15" t="s">
        <v>41</v>
      </c>
      <c r="X15" t="s">
        <v>40</v>
      </c>
      <c r="Y15" t="s">
        <v>111</v>
      </c>
      <c r="Z15" t="s">
        <v>341</v>
      </c>
      <c r="AC15" t="s">
        <v>104</v>
      </c>
      <c r="AD15" t="s">
        <v>257</v>
      </c>
      <c r="AE15" t="s">
        <v>258</v>
      </c>
      <c r="AF15" t="s">
        <v>41</v>
      </c>
      <c r="AG15" t="s">
        <v>40</v>
      </c>
      <c r="AH15" t="s">
        <v>111</v>
      </c>
      <c r="AI15" t="s">
        <v>341</v>
      </c>
      <c r="AM15" t="s">
        <v>104</v>
      </c>
      <c r="AN15" s="65" t="s">
        <v>348</v>
      </c>
      <c r="AO15" s="65" t="s">
        <v>349</v>
      </c>
      <c r="AP15" s="65" t="s">
        <v>350</v>
      </c>
    </row>
    <row r="16" spans="1:42">
      <c r="B16" s="65" t="s">
        <v>34</v>
      </c>
      <c r="C16">
        <f>SUM('2030 Projection'!Q$319:Q$348)/1000</f>
        <v>1479.2636892266012</v>
      </c>
      <c r="D16">
        <f>SUM('2030 Projection'!S$319:S$348)/1000000</f>
        <v>12.210732844785692</v>
      </c>
      <c r="E16">
        <f>298*SUM('2030 Projection'!R$319:R$348)/1000000</f>
        <v>7.3761585310525808</v>
      </c>
      <c r="G16" s="126">
        <f t="shared" si="1"/>
        <v>1498.8505806024395</v>
      </c>
      <c r="S16" t="s">
        <v>320</v>
      </c>
      <c r="T16" t="s">
        <v>321</v>
      </c>
      <c r="U16">
        <v>70347.480446996604</v>
      </c>
      <c r="V16">
        <v>196.13031810275393</v>
      </c>
      <c r="W16">
        <v>1304.6216878708215</v>
      </c>
      <c r="Y16">
        <v>71848.232452970173</v>
      </c>
      <c r="Z16">
        <f>100*Y16/Y$22</f>
        <v>73.957818657981349</v>
      </c>
      <c r="AB16" t="s">
        <v>320</v>
      </c>
      <c r="AC16" t="s">
        <v>321</v>
      </c>
      <c r="AD16">
        <f>MROUND(U16,10)</f>
        <v>70350</v>
      </c>
      <c r="AE16">
        <f t="shared" ref="AE16:AH30" si="2">MROUND(V16,10)</f>
        <v>200</v>
      </c>
      <c r="AF16">
        <f t="shared" si="2"/>
        <v>1300</v>
      </c>
      <c r="AG16">
        <f t="shared" si="2"/>
        <v>0</v>
      </c>
      <c r="AH16">
        <f t="shared" si="2"/>
        <v>71850</v>
      </c>
      <c r="AI16" s="134">
        <f>MROUND(Z16, 0.1)</f>
        <v>74</v>
      </c>
      <c r="AM16" t="s">
        <v>321</v>
      </c>
      <c r="AN16">
        <v>71848.232452970173</v>
      </c>
      <c r="AO16">
        <v>62351.700277867501</v>
      </c>
      <c r="AP16">
        <v>62569.964328577895</v>
      </c>
    </row>
    <row r="17" spans="1:42">
      <c r="B17" s="65" t="s">
        <v>111</v>
      </c>
      <c r="C17">
        <f>SUM(C11:C16)</f>
        <v>97192.128268213972</v>
      </c>
      <c r="D17">
        <f>SUM(D11:D16)</f>
        <v>192.41615958774148</v>
      </c>
      <c r="E17">
        <f>SUM(E11:E16)</f>
        <v>353.72288648415594</v>
      </c>
      <c r="G17" s="126">
        <f t="shared" si="1"/>
        <v>97738.267314285869</v>
      </c>
      <c r="T17" t="s">
        <v>322</v>
      </c>
      <c r="U17">
        <v>7740.3617237288872</v>
      </c>
      <c r="V17">
        <v>15.595042408321778</v>
      </c>
      <c r="W17">
        <v>47.746600954909283</v>
      </c>
      <c r="Y17">
        <v>7803.7033670921182</v>
      </c>
      <c r="Z17">
        <f t="shared" ref="Z17:Z21" si="3">100*Y17/Y$22</f>
        <v>8.0328333597052666</v>
      </c>
      <c r="AC17" t="s">
        <v>322</v>
      </c>
      <c r="AD17">
        <f t="shared" ref="AD17:AD38" si="4">MROUND(U17,10)</f>
        <v>7740</v>
      </c>
      <c r="AE17">
        <f t="shared" si="2"/>
        <v>20</v>
      </c>
      <c r="AF17">
        <f t="shared" si="2"/>
        <v>50</v>
      </c>
      <c r="AG17">
        <f t="shared" si="2"/>
        <v>0</v>
      </c>
      <c r="AH17">
        <f t="shared" si="2"/>
        <v>7800</v>
      </c>
      <c r="AI17" s="134">
        <f t="shared" ref="AI17:AI37" si="5">MROUND(Z17, 0.1)</f>
        <v>8</v>
      </c>
      <c r="AM17" t="s">
        <v>322</v>
      </c>
      <c r="AN17">
        <v>7803.7033670921182</v>
      </c>
      <c r="AO17">
        <v>7676.1791375720277</v>
      </c>
      <c r="AP17">
        <v>7717.3140875876206</v>
      </c>
    </row>
    <row r="18" spans="1:42">
      <c r="G18" s="126"/>
      <c r="T18" t="s">
        <v>323</v>
      </c>
      <c r="U18">
        <v>463.41318223606095</v>
      </c>
      <c r="V18">
        <v>0.93733942680083526</v>
      </c>
      <c r="W18">
        <v>2.442133063136763</v>
      </c>
      <c r="Y18">
        <v>466.79265472599855</v>
      </c>
      <c r="Z18">
        <f t="shared" si="3"/>
        <v>0.48049848034467468</v>
      </c>
      <c r="AC18" t="s">
        <v>323</v>
      </c>
      <c r="AD18">
        <f t="shared" si="4"/>
        <v>460</v>
      </c>
      <c r="AE18">
        <f t="shared" si="2"/>
        <v>0</v>
      </c>
      <c r="AF18">
        <f t="shared" si="2"/>
        <v>0</v>
      </c>
      <c r="AG18">
        <f t="shared" si="2"/>
        <v>0</v>
      </c>
      <c r="AH18">
        <f t="shared" si="2"/>
        <v>470</v>
      </c>
      <c r="AI18" s="134">
        <f t="shared" si="5"/>
        <v>0.5</v>
      </c>
      <c r="AM18" t="s">
        <v>323</v>
      </c>
      <c r="AN18">
        <v>466.79265472599855</v>
      </c>
      <c r="AO18">
        <v>466.82941569501168</v>
      </c>
      <c r="AP18">
        <v>469.61642876910906</v>
      </c>
    </row>
    <row r="19" spans="1:42">
      <c r="A19" s="65" t="s">
        <v>326</v>
      </c>
      <c r="B19" s="65" t="s">
        <v>321</v>
      </c>
      <c r="C19">
        <f>SUM('2030 Projection'!T$3:T$94)/1000</f>
        <v>75724.736235651406</v>
      </c>
      <c r="D19">
        <f>SUM('2030 Projection'!V$3:V$94)/1000</f>
        <v>156.49404500124683</v>
      </c>
      <c r="E19">
        <f>298*SUM('2030 Projection'!AA$3:AA$94)/1000000000</f>
        <v>345.02737103090186</v>
      </c>
      <c r="F19">
        <f>84*SUM('2030 Projection'!W$3:W$94)/1000000000</f>
        <v>125.57436076628566</v>
      </c>
      <c r="G19" s="126">
        <f>SUM(C19:F19)</f>
        <v>76351.832012449842</v>
      </c>
      <c r="T19" t="s">
        <v>324</v>
      </c>
      <c r="U19">
        <v>13346.606753108768</v>
      </c>
      <c r="V19">
        <v>10.695192523423238</v>
      </c>
      <c r="W19">
        <v>64.645222085933113</v>
      </c>
      <c r="Y19">
        <v>13421.947167718125</v>
      </c>
      <c r="Z19">
        <f t="shared" si="3"/>
        <v>13.816038346063271</v>
      </c>
      <c r="AC19" t="s">
        <v>324</v>
      </c>
      <c r="AD19">
        <f t="shared" si="4"/>
        <v>13350</v>
      </c>
      <c r="AE19">
        <f t="shared" si="2"/>
        <v>10</v>
      </c>
      <c r="AF19">
        <f t="shared" si="2"/>
        <v>60</v>
      </c>
      <c r="AG19">
        <f t="shared" si="2"/>
        <v>0</v>
      </c>
      <c r="AH19">
        <f t="shared" si="2"/>
        <v>13420</v>
      </c>
      <c r="AI19" s="134">
        <f t="shared" si="5"/>
        <v>13.8</v>
      </c>
      <c r="AM19" t="s">
        <v>324</v>
      </c>
      <c r="AN19">
        <v>13421.947167718125</v>
      </c>
      <c r="AO19">
        <v>9647.5847532583412</v>
      </c>
      <c r="AP19">
        <v>8663.1587420016531</v>
      </c>
    </row>
    <row r="20" spans="1:42">
      <c r="B20" s="65" t="s">
        <v>339</v>
      </c>
      <c r="C20">
        <f>SUM('2030 Projection'!T$96:T$133)/1000</f>
        <v>5877.1663764694213</v>
      </c>
      <c r="D20">
        <f>SUM('2030 Projection'!V$96:V$133)/1000</f>
        <v>10.389743022016519</v>
      </c>
      <c r="E20">
        <f>298*SUM('2030 Projection'!AA$96:AA$133)/1000000000</f>
        <v>63.664387451215624</v>
      </c>
      <c r="F20">
        <f>84*SUM('2030 Projection'!W$96:W$133)/1000000000</f>
        <v>8.9637792816658113</v>
      </c>
      <c r="G20" s="126">
        <f t="shared" ref="G20:G25" si="6">SUM(C20:F20)</f>
        <v>5960.1842862243193</v>
      </c>
      <c r="T20" t="s">
        <v>143</v>
      </c>
      <c r="U20">
        <v>2175.9301332117052</v>
      </c>
      <c r="V20">
        <v>1.7440399300592402</v>
      </c>
      <c r="W20">
        <v>10.435401124819027</v>
      </c>
      <c r="Y20">
        <v>2188.1095742665839</v>
      </c>
      <c r="Z20">
        <f t="shared" si="3"/>
        <v>2.2523561898802273</v>
      </c>
      <c r="AC20" t="s">
        <v>143</v>
      </c>
      <c r="AD20">
        <f t="shared" si="4"/>
        <v>2180</v>
      </c>
      <c r="AE20">
        <f t="shared" si="2"/>
        <v>0</v>
      </c>
      <c r="AF20">
        <f t="shared" si="2"/>
        <v>10</v>
      </c>
      <c r="AG20">
        <f t="shared" si="2"/>
        <v>0</v>
      </c>
      <c r="AH20">
        <f t="shared" si="2"/>
        <v>2190</v>
      </c>
      <c r="AI20" s="134">
        <f t="shared" si="5"/>
        <v>2.3000000000000003</v>
      </c>
      <c r="AM20" t="s">
        <v>143</v>
      </c>
      <c r="AN20">
        <v>2188.1095742665839</v>
      </c>
      <c r="AO20">
        <v>2758.8613533932566</v>
      </c>
      <c r="AP20">
        <v>2800.962693352722</v>
      </c>
    </row>
    <row r="21" spans="1:42">
      <c r="B21" s="65" t="s">
        <v>323</v>
      </c>
      <c r="C21">
        <f>SUM('2030 Projection'!T$135:T$165)/1000</f>
        <v>363.23611304773266</v>
      </c>
      <c r="D21">
        <f>SUM('2030 Projection'!V$135:V$165)/1000</f>
        <v>0.62700048523217167</v>
      </c>
      <c r="E21">
        <f>298*SUM('2030 Projection'!AA$135:AA$165)/1000000000</f>
        <v>4.1623853537625504</v>
      </c>
      <c r="F21">
        <f>84*SUM('2030 Projection'!W$135:W$165)/1000000000</f>
        <v>5.2242580952724514E-2</v>
      </c>
      <c r="G21" s="126">
        <f t="shared" si="6"/>
        <v>368.07774146768008</v>
      </c>
      <c r="T21" t="s">
        <v>34</v>
      </c>
      <c r="U21">
        <v>1387.5421763169406</v>
      </c>
      <c r="V21">
        <v>23.556254050442217</v>
      </c>
      <c r="W21">
        <v>7.6982538794586457</v>
      </c>
      <c r="Y21">
        <v>1418.7966842468416</v>
      </c>
      <c r="Z21">
        <f t="shared" si="3"/>
        <v>1.4604549660251986</v>
      </c>
      <c r="AC21" t="s">
        <v>34</v>
      </c>
      <c r="AD21">
        <f t="shared" si="4"/>
        <v>1390</v>
      </c>
      <c r="AE21">
        <f t="shared" si="2"/>
        <v>20</v>
      </c>
      <c r="AF21">
        <f t="shared" si="2"/>
        <v>10</v>
      </c>
      <c r="AG21">
        <f t="shared" si="2"/>
        <v>0</v>
      </c>
      <c r="AH21">
        <f t="shared" si="2"/>
        <v>1420</v>
      </c>
      <c r="AI21" s="134">
        <f t="shared" si="5"/>
        <v>1.5</v>
      </c>
      <c r="AM21" t="s">
        <v>34</v>
      </c>
      <c r="AN21">
        <v>1418.7966842468416</v>
      </c>
      <c r="AO21">
        <v>1264.0894082876375</v>
      </c>
      <c r="AP21">
        <v>1458.2177635172868</v>
      </c>
    </row>
    <row r="22" spans="1:42">
      <c r="B22" s="65" t="s">
        <v>340</v>
      </c>
      <c r="C22">
        <f>SUM('2030 Projection'!T$167:T$267)/1000</f>
        <v>10086.148634467247</v>
      </c>
      <c r="D22">
        <f>SUM('2030 Projection'!V$167:V$267)/1000</f>
        <v>10.285745470652779</v>
      </c>
      <c r="E22">
        <f>298*SUM('2030 Projection'!AA$167:AA$267)/1000000000</f>
        <v>138.16838685610085</v>
      </c>
      <c r="F22">
        <f>84*SUM('2030 Projection'!W$167:W$267)/1000000000</f>
        <v>207.71969789362228</v>
      </c>
      <c r="G22" s="126">
        <f t="shared" si="6"/>
        <v>10442.322464687624</v>
      </c>
      <c r="T22" t="s">
        <v>111</v>
      </c>
      <c r="U22">
        <v>95461.334415598976</v>
      </c>
      <c r="V22">
        <v>248.65818644180123</v>
      </c>
      <c r="W22">
        <v>1437.5892989790782</v>
      </c>
      <c r="Y22">
        <v>97147.581901019847</v>
      </c>
      <c r="AC22" t="s">
        <v>111</v>
      </c>
      <c r="AD22">
        <f t="shared" si="4"/>
        <v>95460</v>
      </c>
      <c r="AE22">
        <f t="shared" si="2"/>
        <v>250</v>
      </c>
      <c r="AF22">
        <f t="shared" si="2"/>
        <v>1440</v>
      </c>
      <c r="AG22">
        <f t="shared" si="2"/>
        <v>0</v>
      </c>
      <c r="AH22">
        <f t="shared" si="2"/>
        <v>97150</v>
      </c>
      <c r="AI22" s="134"/>
    </row>
    <row r="23" spans="1:42">
      <c r="B23" s="65" t="s">
        <v>143</v>
      </c>
      <c r="C23">
        <f>SUM('2030 Projection'!T$269:T$317)/1000</f>
        <v>2206.9232628580307</v>
      </c>
      <c r="D23">
        <f>SUM('2030 Projection'!V$269:V$317)/1000</f>
        <v>3.2959155643751661</v>
      </c>
      <c r="E23">
        <f>298*SUM('2030 Projection'!AA$269:AA$317)/1000000000</f>
        <v>24.354122245786822</v>
      </c>
      <c r="F23">
        <f>84*SUM('2030 Projection'!W$269:W$317)/1000000000</f>
        <v>30.047937320564792</v>
      </c>
      <c r="G23" s="126">
        <f t="shared" si="6"/>
        <v>2264.6212379887579</v>
      </c>
      <c r="AI23" s="134"/>
    </row>
    <row r="24" spans="1:42">
      <c r="B24" s="65" t="s">
        <v>34</v>
      </c>
      <c r="C24">
        <f>SUM('2030 Projection'!T$319:T$348)/1000</f>
        <v>1479.4871125890938</v>
      </c>
      <c r="D24">
        <f>SUM('2030 Projection'!V$319:V$348)/1000</f>
        <v>12.069833731873436</v>
      </c>
      <c r="E24">
        <f>298*SUM('2030 Projection'!AA$319:AA$348)/1000000000</f>
        <v>8.8123003529983475</v>
      </c>
      <c r="F24">
        <f>84*SUM('2030 Projection'!W$319:W$348)/1000000000</f>
        <v>228.66530931480222</v>
      </c>
      <c r="G24" s="126">
        <f t="shared" si="6"/>
        <v>1729.0345559887678</v>
      </c>
      <c r="S24" t="s">
        <v>325</v>
      </c>
      <c r="T24" t="s">
        <v>321</v>
      </c>
      <c r="U24">
        <v>62046.799918842065</v>
      </c>
      <c r="V24">
        <v>130.06174108497569</v>
      </c>
      <c r="W24">
        <v>174.8386179404645</v>
      </c>
      <c r="Y24">
        <v>62351.700277867501</v>
      </c>
      <c r="Z24">
        <f>100*Y24/Y$30</f>
        <v>74.082479962260251</v>
      </c>
      <c r="AB24" t="s">
        <v>325</v>
      </c>
      <c r="AC24" t="s">
        <v>321</v>
      </c>
      <c r="AD24">
        <f t="shared" si="4"/>
        <v>62050</v>
      </c>
      <c r="AE24">
        <f t="shared" si="2"/>
        <v>130</v>
      </c>
      <c r="AF24">
        <f t="shared" si="2"/>
        <v>170</v>
      </c>
      <c r="AG24">
        <f t="shared" si="2"/>
        <v>0</v>
      </c>
      <c r="AH24">
        <f t="shared" si="2"/>
        <v>62350</v>
      </c>
      <c r="AI24" s="134">
        <f t="shared" si="5"/>
        <v>74.100000000000009</v>
      </c>
    </row>
    <row r="25" spans="1:42">
      <c r="B25" s="65" t="s">
        <v>111</v>
      </c>
      <c r="C25">
        <f>SUM(C19:C24)</f>
        <v>95737.69773508294</v>
      </c>
      <c r="D25">
        <f>SUM(D19:D24)</f>
        <v>193.16228327539693</v>
      </c>
      <c r="E25">
        <f>SUM(E19:E24)</f>
        <v>584.18895329076611</v>
      </c>
      <c r="F25">
        <f>SUM(F19:F24)</f>
        <v>601.0233271578935</v>
      </c>
      <c r="G25" s="126">
        <f t="shared" si="6"/>
        <v>97116.07229880699</v>
      </c>
      <c r="T25" t="s">
        <v>322</v>
      </c>
      <c r="U25">
        <v>7608.6802172305743</v>
      </c>
      <c r="V25">
        <v>12.809514298960034</v>
      </c>
      <c r="W25">
        <v>54.689406042494106</v>
      </c>
      <c r="Y25">
        <v>7676.1791375720277</v>
      </c>
      <c r="Z25">
        <f t="shared" ref="Z25:Z29" si="7">100*Y25/Y$30</f>
        <v>9.1203669605102409</v>
      </c>
      <c r="AC25" t="s">
        <v>322</v>
      </c>
      <c r="AD25">
        <f t="shared" si="4"/>
        <v>7610</v>
      </c>
      <c r="AE25">
        <f t="shared" si="2"/>
        <v>10</v>
      </c>
      <c r="AF25">
        <f t="shared" si="2"/>
        <v>50</v>
      </c>
      <c r="AG25">
        <f t="shared" si="2"/>
        <v>0</v>
      </c>
      <c r="AH25">
        <f t="shared" si="2"/>
        <v>7680</v>
      </c>
      <c r="AI25" s="134">
        <f t="shared" si="5"/>
        <v>9.1</v>
      </c>
    </row>
    <row r="26" spans="1:42">
      <c r="G26" s="126"/>
      <c r="T26" t="s">
        <v>323</v>
      </c>
      <c r="U26">
        <v>463.36919288196947</v>
      </c>
      <c r="V26">
        <v>0.73793147871653686</v>
      </c>
      <c r="W26">
        <v>2.7222913343256754</v>
      </c>
      <c r="Y26">
        <v>466.82941569501168</v>
      </c>
      <c r="Z26">
        <f t="shared" si="7"/>
        <v>0.55465818381692689</v>
      </c>
      <c r="AC26" t="s">
        <v>323</v>
      </c>
      <c r="AD26">
        <f t="shared" si="4"/>
        <v>460</v>
      </c>
      <c r="AE26">
        <f t="shared" si="2"/>
        <v>0</v>
      </c>
      <c r="AF26">
        <f t="shared" si="2"/>
        <v>0</v>
      </c>
      <c r="AG26">
        <f t="shared" si="2"/>
        <v>0</v>
      </c>
      <c r="AH26">
        <f t="shared" si="2"/>
        <v>470</v>
      </c>
      <c r="AI26" s="134">
        <f t="shared" si="5"/>
        <v>0.60000000000000009</v>
      </c>
    </row>
    <row r="27" spans="1:42">
      <c r="A27" s="137" t="s">
        <v>328</v>
      </c>
      <c r="B27" s="138"/>
      <c r="C27" s="138"/>
      <c r="D27" s="138"/>
      <c r="E27" s="138"/>
      <c r="F27" s="138"/>
      <c r="G27" s="138"/>
      <c r="T27" t="s">
        <v>324</v>
      </c>
      <c r="U27">
        <v>9584.9098544347471</v>
      </c>
      <c r="V27">
        <v>8.6121032559213084</v>
      </c>
      <c r="W27">
        <v>54.062795567672325</v>
      </c>
      <c r="Y27">
        <v>9647.5847532583412</v>
      </c>
      <c r="Z27">
        <f t="shared" si="7"/>
        <v>11.462670640613887</v>
      </c>
      <c r="AC27" t="s">
        <v>324</v>
      </c>
      <c r="AD27">
        <f t="shared" si="4"/>
        <v>9580</v>
      </c>
      <c r="AE27">
        <f t="shared" si="2"/>
        <v>10</v>
      </c>
      <c r="AF27">
        <f t="shared" si="2"/>
        <v>50</v>
      </c>
      <c r="AG27">
        <f t="shared" si="2"/>
        <v>0</v>
      </c>
      <c r="AH27">
        <f t="shared" si="2"/>
        <v>9650</v>
      </c>
      <c r="AI27" s="134">
        <f t="shared" si="5"/>
        <v>11.5</v>
      </c>
    </row>
    <row r="28" spans="1:42">
      <c r="B28" s="65" t="s">
        <v>104</v>
      </c>
      <c r="C28" s="65" t="s">
        <v>257</v>
      </c>
      <c r="D28" s="65" t="s">
        <v>258</v>
      </c>
      <c r="E28" s="65" t="s">
        <v>41</v>
      </c>
      <c r="F28" s="65"/>
      <c r="G28" s="65" t="s">
        <v>111</v>
      </c>
      <c r="T28" t="s">
        <v>143</v>
      </c>
      <c r="U28">
        <v>2729.0307883348805</v>
      </c>
      <c r="V28">
        <v>0.79655713883568635</v>
      </c>
      <c r="W28">
        <v>29.034007919540336</v>
      </c>
      <c r="Y28">
        <v>2758.8613533932566</v>
      </c>
      <c r="Z28">
        <f t="shared" si="7"/>
        <v>3.2779104662837635</v>
      </c>
      <c r="AC28" t="s">
        <v>143</v>
      </c>
      <c r="AD28">
        <f t="shared" si="4"/>
        <v>2730</v>
      </c>
      <c r="AE28">
        <f t="shared" si="2"/>
        <v>0</v>
      </c>
      <c r="AF28">
        <f t="shared" si="2"/>
        <v>30</v>
      </c>
      <c r="AG28">
        <f t="shared" si="2"/>
        <v>0</v>
      </c>
      <c r="AH28">
        <f t="shared" si="2"/>
        <v>2760</v>
      </c>
      <c r="AI28" s="134">
        <f t="shared" si="5"/>
        <v>3.3000000000000003</v>
      </c>
    </row>
    <row r="29" spans="1:42">
      <c r="A29" s="65" t="s">
        <v>320</v>
      </c>
      <c r="B29" s="65" t="s">
        <v>321</v>
      </c>
      <c r="C29">
        <f>C3*(1-$C54/100)</f>
        <v>85842.449603810775</v>
      </c>
      <c r="D29">
        <f>D3*(1-$C54/100)</f>
        <v>239.33063189378026</v>
      </c>
      <c r="E29">
        <f>E3*(1-$C54/100)</f>
        <v>1591.9819840238633</v>
      </c>
      <c r="G29" s="125">
        <f>SUM(C29:E29)</f>
        <v>87673.762219728422</v>
      </c>
      <c r="T29" t="s">
        <v>34</v>
      </c>
      <c r="U29">
        <v>1247.5714375198272</v>
      </c>
      <c r="V29">
        <v>10.297104915929634</v>
      </c>
      <c r="W29">
        <v>6.2208658518806494</v>
      </c>
      <c r="Y29">
        <v>1264.0894082876375</v>
      </c>
      <c r="Z29">
        <f t="shared" si="7"/>
        <v>1.5019137865149033</v>
      </c>
      <c r="AC29" t="s">
        <v>34</v>
      </c>
      <c r="AD29">
        <f t="shared" si="4"/>
        <v>1250</v>
      </c>
      <c r="AE29">
        <f t="shared" si="2"/>
        <v>10</v>
      </c>
      <c r="AF29">
        <f t="shared" si="2"/>
        <v>10</v>
      </c>
      <c r="AG29">
        <f t="shared" si="2"/>
        <v>0</v>
      </c>
      <c r="AH29">
        <f t="shared" si="2"/>
        <v>1260</v>
      </c>
      <c r="AI29" s="134">
        <f t="shared" si="5"/>
        <v>1.5</v>
      </c>
    </row>
    <row r="30" spans="1:42">
      <c r="B30" s="65" t="s">
        <v>322</v>
      </c>
      <c r="C30">
        <f t="shared" ref="C30:E34" si="8">C4*(1-$C55/100)</f>
        <v>5977.9842820784124</v>
      </c>
      <c r="D30">
        <f t="shared" si="8"/>
        <v>12.04425861772028</v>
      </c>
      <c r="E30">
        <f t="shared" si="8"/>
        <v>36.875334799419917</v>
      </c>
      <c r="G30" s="125">
        <f t="shared" ref="G30:G35" si="9">SUM(C30:E30)</f>
        <v>6026.9038754955527</v>
      </c>
      <c r="T30" t="s">
        <v>111</v>
      </c>
      <c r="U30">
        <v>83680.361409244084</v>
      </c>
      <c r="V30">
        <v>163.3149521733389</v>
      </c>
      <c r="W30">
        <v>321.56798465637763</v>
      </c>
      <c r="Y30">
        <v>84165.2443460738</v>
      </c>
      <c r="AC30" t="s">
        <v>111</v>
      </c>
      <c r="AD30">
        <f t="shared" si="4"/>
        <v>83680</v>
      </c>
      <c r="AE30">
        <f t="shared" si="2"/>
        <v>160</v>
      </c>
      <c r="AF30">
        <f t="shared" si="2"/>
        <v>320</v>
      </c>
      <c r="AG30">
        <f t="shared" si="2"/>
        <v>0</v>
      </c>
      <c r="AH30">
        <f t="shared" si="2"/>
        <v>84170</v>
      </c>
      <c r="AI30" s="134"/>
    </row>
    <row r="31" spans="1:42">
      <c r="B31" s="65" t="s">
        <v>323</v>
      </c>
      <c r="C31">
        <f t="shared" si="8"/>
        <v>363.21573742826399</v>
      </c>
      <c r="D31">
        <f t="shared" si="8"/>
        <v>0.73467144262768191</v>
      </c>
      <c r="E31">
        <f t="shared" si="8"/>
        <v>1.9141042927288148</v>
      </c>
      <c r="G31" s="125">
        <f t="shared" si="9"/>
        <v>365.86451316362053</v>
      </c>
      <c r="AI31" s="134"/>
    </row>
    <row r="32" spans="1:42">
      <c r="B32" s="65" t="s">
        <v>324</v>
      </c>
      <c r="C32">
        <f t="shared" si="8"/>
        <v>16087.616038897311</v>
      </c>
      <c r="D32">
        <f t="shared" si="8"/>
        <v>12.891677559829285</v>
      </c>
      <c r="E32">
        <f t="shared" si="8"/>
        <v>77.921492024592354</v>
      </c>
      <c r="G32" s="125">
        <f t="shared" si="9"/>
        <v>16178.429208481733</v>
      </c>
      <c r="S32" t="s">
        <v>326</v>
      </c>
      <c r="T32" t="s">
        <v>321</v>
      </c>
      <c r="U32">
        <v>62056.062312729977</v>
      </c>
      <c r="V32">
        <v>128.24612789600417</v>
      </c>
      <c r="W32">
        <v>282.74829468749829</v>
      </c>
      <c r="X32">
        <v>102.90759326441921</v>
      </c>
      <c r="Y32">
        <v>62569.964328577895</v>
      </c>
      <c r="Z32">
        <f>100*Y32/Y$38</f>
        <v>74.773586354557651</v>
      </c>
      <c r="AB32" t="s">
        <v>326</v>
      </c>
      <c r="AC32" t="s">
        <v>321</v>
      </c>
      <c r="AD32">
        <f t="shared" si="4"/>
        <v>62060</v>
      </c>
      <c r="AE32">
        <f t="shared" ref="AE32:AE38" si="10">MROUND(V32,10)</f>
        <v>130</v>
      </c>
      <c r="AF32">
        <f t="shared" ref="AF32:AF38" si="11">MROUND(W32,10)</f>
        <v>280</v>
      </c>
      <c r="AG32">
        <f t="shared" ref="AG32:AG38" si="12">MROUND(X32,10)</f>
        <v>100</v>
      </c>
      <c r="AH32">
        <f t="shared" ref="AH32:AH38" si="13">MROUND(Y32,10)</f>
        <v>62570</v>
      </c>
      <c r="AI32" s="134">
        <f t="shared" si="5"/>
        <v>74.8</v>
      </c>
    </row>
    <row r="33" spans="1:38">
      <c r="B33" s="65" t="s">
        <v>143</v>
      </c>
      <c r="C33">
        <f t="shared" si="8"/>
        <v>1759.3742905463455</v>
      </c>
      <c r="D33">
        <f t="shared" si="8"/>
        <v>1.410164309873057</v>
      </c>
      <c r="E33">
        <f t="shared" si="8"/>
        <v>8.4376681816735104</v>
      </c>
      <c r="G33" s="125">
        <f t="shared" si="9"/>
        <v>1769.2221230378921</v>
      </c>
      <c r="T33" t="s">
        <v>322</v>
      </c>
      <c r="U33">
        <v>7609.8215582115845</v>
      </c>
      <c r="V33">
        <v>13.452756884639314</v>
      </c>
      <c r="W33">
        <v>82.43336960074852</v>
      </c>
      <c r="X33">
        <v>11.606402890647479</v>
      </c>
      <c r="Y33">
        <v>7717.3140875876206</v>
      </c>
      <c r="Z33">
        <f t="shared" ref="Z33:Z37" si="14">100*Y33/Y$38</f>
        <v>9.2224960897079775</v>
      </c>
      <c r="AC33" t="s">
        <v>322</v>
      </c>
      <c r="AD33">
        <f t="shared" si="4"/>
        <v>7610</v>
      </c>
      <c r="AE33">
        <f t="shared" si="10"/>
        <v>10</v>
      </c>
      <c r="AF33">
        <f t="shared" si="11"/>
        <v>80</v>
      </c>
      <c r="AG33">
        <f t="shared" si="12"/>
        <v>10</v>
      </c>
      <c r="AH33">
        <f t="shared" si="13"/>
        <v>7720</v>
      </c>
      <c r="AI33" s="134">
        <f t="shared" si="5"/>
        <v>9.2000000000000011</v>
      </c>
    </row>
    <row r="34" spans="1:38">
      <c r="B34" s="65" t="s">
        <v>34</v>
      </c>
      <c r="C34">
        <f t="shared" si="8"/>
        <v>1645.2480098265139</v>
      </c>
      <c r="D34">
        <f t="shared" si="8"/>
        <v>27.931316796676057</v>
      </c>
      <c r="E34">
        <f t="shared" si="8"/>
        <v>9.1280373962668868</v>
      </c>
      <c r="G34" s="125">
        <f t="shared" si="9"/>
        <v>1682.3073640194568</v>
      </c>
      <c r="T34" t="s">
        <v>323</v>
      </c>
      <c r="U34">
        <v>463.43917871607266</v>
      </c>
      <c r="V34">
        <v>0.79996613633070157</v>
      </c>
      <c r="W34">
        <v>5.3106295892832538</v>
      </c>
      <c r="X34">
        <v>6.6654327422441623E-2</v>
      </c>
      <c r="Y34">
        <v>469.61642876910906</v>
      </c>
      <c r="Z34">
        <f t="shared" si="14"/>
        <v>0.561210238281177</v>
      </c>
      <c r="AC34" t="s">
        <v>323</v>
      </c>
      <c r="AD34">
        <f t="shared" si="4"/>
        <v>460</v>
      </c>
      <c r="AE34">
        <f t="shared" si="10"/>
        <v>0</v>
      </c>
      <c r="AF34">
        <f t="shared" si="11"/>
        <v>10</v>
      </c>
      <c r="AG34">
        <f t="shared" si="12"/>
        <v>0</v>
      </c>
      <c r="AH34">
        <f t="shared" si="13"/>
        <v>470</v>
      </c>
      <c r="AI34" s="134">
        <f t="shared" si="5"/>
        <v>0.60000000000000009</v>
      </c>
    </row>
    <row r="35" spans="1:38">
      <c r="B35" s="65" t="s">
        <v>111</v>
      </c>
      <c r="C35">
        <f>SUM(C29:C34)</f>
        <v>111675.88796258761</v>
      </c>
      <c r="D35">
        <f>SUM(D29:D34)</f>
        <v>294.34272062050661</v>
      </c>
      <c r="E35">
        <f>SUM(E29:E34)</f>
        <v>1726.2586207185448</v>
      </c>
      <c r="G35" s="125">
        <f t="shared" si="9"/>
        <v>113696.48930392666</v>
      </c>
      <c r="T35" t="s">
        <v>324</v>
      </c>
      <c r="U35">
        <v>8367.6698369826518</v>
      </c>
      <c r="V35">
        <v>8.5332593485232149</v>
      </c>
      <c r="W35">
        <v>114.62724623841659</v>
      </c>
      <c r="X35">
        <v>172.32839943206147</v>
      </c>
      <c r="Y35">
        <v>8663.1587420016531</v>
      </c>
      <c r="Z35">
        <f t="shared" si="14"/>
        <v>10.352817925492086</v>
      </c>
      <c r="AC35" t="s">
        <v>324</v>
      </c>
      <c r="AD35">
        <f t="shared" si="4"/>
        <v>8370</v>
      </c>
      <c r="AE35">
        <f t="shared" si="10"/>
        <v>10</v>
      </c>
      <c r="AF35">
        <f t="shared" si="11"/>
        <v>110</v>
      </c>
      <c r="AG35">
        <f t="shared" si="12"/>
        <v>170</v>
      </c>
      <c r="AH35">
        <f t="shared" si="13"/>
        <v>8660</v>
      </c>
      <c r="AI35" s="134">
        <f t="shared" si="5"/>
        <v>10.4</v>
      </c>
    </row>
    <row r="36" spans="1:38">
      <c r="C36" s="65" t="s">
        <v>257</v>
      </c>
      <c r="D36" s="65" t="s">
        <v>258</v>
      </c>
      <c r="E36" s="65" t="s">
        <v>41</v>
      </c>
      <c r="G36" s="126"/>
      <c r="T36" t="s">
        <v>143</v>
      </c>
      <c r="U36">
        <v>2729.4429726124481</v>
      </c>
      <c r="V36">
        <v>4.0387012907990556</v>
      </c>
      <c r="W36">
        <v>30.13971880433656</v>
      </c>
      <c r="X36">
        <v>37.341300645138311</v>
      </c>
      <c r="Y36">
        <v>2800.962693352722</v>
      </c>
      <c r="Z36">
        <f t="shared" si="14"/>
        <v>3.347261390904237</v>
      </c>
      <c r="AC36" t="s">
        <v>143</v>
      </c>
      <c r="AD36">
        <f t="shared" si="4"/>
        <v>2730</v>
      </c>
      <c r="AE36">
        <f t="shared" si="10"/>
        <v>0</v>
      </c>
      <c r="AF36">
        <f t="shared" si="11"/>
        <v>30</v>
      </c>
      <c r="AG36">
        <f t="shared" si="12"/>
        <v>40</v>
      </c>
      <c r="AH36">
        <f t="shared" si="13"/>
        <v>2800</v>
      </c>
      <c r="AI36" s="134">
        <f t="shared" si="5"/>
        <v>3.3000000000000003</v>
      </c>
    </row>
    <row r="37" spans="1:38">
      <c r="A37" s="65" t="s">
        <v>325</v>
      </c>
      <c r="B37" s="65" t="s">
        <v>321</v>
      </c>
      <c r="C37">
        <f>C11*(1-$C54/100)</f>
        <v>75713.433676192537</v>
      </c>
      <c r="D37">
        <f>D11*(1-$C54/100)</f>
        <v>158.7095711676989</v>
      </c>
      <c r="E37">
        <f>E11*(1-$C54/100)</f>
        <v>213.34915129849591</v>
      </c>
      <c r="G37" s="126">
        <f>SUM(C37:E37)</f>
        <v>76085.492398658724</v>
      </c>
      <c r="T37" t="s">
        <v>34</v>
      </c>
      <c r="U37">
        <v>1247.7598668090404</v>
      </c>
      <c r="V37">
        <v>10.17827443008523</v>
      </c>
      <c r="W37">
        <v>7.4320533851686257</v>
      </c>
      <c r="X37">
        <v>192.84756889299251</v>
      </c>
      <c r="Y37">
        <v>1458.2177635172868</v>
      </c>
      <c r="Z37">
        <f t="shared" si="14"/>
        <v>1.7426280010568767</v>
      </c>
      <c r="AC37" t="s">
        <v>34</v>
      </c>
      <c r="AD37">
        <f t="shared" si="4"/>
        <v>1250</v>
      </c>
      <c r="AE37">
        <f t="shared" si="10"/>
        <v>10</v>
      </c>
      <c r="AF37">
        <f t="shared" si="11"/>
        <v>10</v>
      </c>
      <c r="AG37">
        <f t="shared" si="12"/>
        <v>190</v>
      </c>
      <c r="AH37">
        <f t="shared" si="13"/>
        <v>1460</v>
      </c>
      <c r="AI37" s="134">
        <f t="shared" si="5"/>
        <v>1.7000000000000002</v>
      </c>
    </row>
    <row r="38" spans="1:38">
      <c r="B38" s="65" t="s">
        <v>322</v>
      </c>
      <c r="C38">
        <f t="shared" ref="C38:E42" si="15">C12*(1-$C55/100)</f>
        <v>5876.2849036534853</v>
      </c>
      <c r="D38">
        <f t="shared" si="15"/>
        <v>9.892958219961848</v>
      </c>
      <c r="E38">
        <f t="shared" si="15"/>
        <v>42.237355486370674</v>
      </c>
      <c r="G38" s="126">
        <f t="shared" ref="G38:G43" si="16">SUM(C38:E38)</f>
        <v>5928.4152173598177</v>
      </c>
      <c r="T38" t="s">
        <v>111</v>
      </c>
      <c r="U38">
        <v>82474.195726061764</v>
      </c>
      <c r="V38">
        <v>165.24908598638169</v>
      </c>
      <c r="W38">
        <v>522.6913123054519</v>
      </c>
      <c r="X38">
        <v>517.09791945268137</v>
      </c>
      <c r="Y38">
        <v>83679.234043806282</v>
      </c>
      <c r="AC38" t="s">
        <v>111</v>
      </c>
      <c r="AD38">
        <f t="shared" si="4"/>
        <v>82470</v>
      </c>
      <c r="AE38">
        <f t="shared" si="10"/>
        <v>170</v>
      </c>
      <c r="AF38">
        <f t="shared" si="11"/>
        <v>520</v>
      </c>
      <c r="AG38">
        <f t="shared" si="12"/>
        <v>520</v>
      </c>
      <c r="AH38">
        <f t="shared" si="13"/>
        <v>83680</v>
      </c>
      <c r="AI38" s="134"/>
    </row>
    <row r="39" spans="1:38">
      <c r="B39" s="65" t="s">
        <v>323</v>
      </c>
      <c r="C39">
        <f t="shared" si="15"/>
        <v>363.18125928586795</v>
      </c>
      <c r="D39">
        <f t="shared" si="15"/>
        <v>0.57837872656161016</v>
      </c>
      <c r="E39">
        <f t="shared" si="15"/>
        <v>2.1336878025795833</v>
      </c>
      <c r="G39" s="126">
        <f t="shared" si="16"/>
        <v>365.89332581500912</v>
      </c>
    </row>
    <row r="40" spans="1:38">
      <c r="B40" s="65" t="s">
        <v>324</v>
      </c>
      <c r="C40">
        <f t="shared" si="15"/>
        <v>11553.374753449789</v>
      </c>
      <c r="D40">
        <f t="shared" si="15"/>
        <v>10.380781649712409</v>
      </c>
      <c r="E40">
        <f t="shared" si="15"/>
        <v>65.165739365140553</v>
      </c>
      <c r="G40" s="126">
        <f t="shared" si="16"/>
        <v>11628.921274464641</v>
      </c>
    </row>
    <row r="41" spans="1:38">
      <c r="B41" s="65" t="s">
        <v>143</v>
      </c>
      <c r="C41">
        <f t="shared" si="15"/>
        <v>2206.589986405701</v>
      </c>
      <c r="D41">
        <f t="shared" si="15"/>
        <v>0.64373697902097915</v>
      </c>
      <c r="E41">
        <f t="shared" si="15"/>
        <v>23.460794000516689</v>
      </c>
      <c r="G41" s="126">
        <f t="shared" si="16"/>
        <v>2230.6945173852387</v>
      </c>
    </row>
    <row r="42" spans="1:38">
      <c r="B42" s="65" t="s">
        <v>34</v>
      </c>
      <c r="C42">
        <f t="shared" si="15"/>
        <v>1479.2636892266012</v>
      </c>
      <c r="D42">
        <f t="shared" si="15"/>
        <v>12.210732844785692</v>
      </c>
      <c r="E42">
        <f t="shared" si="15"/>
        <v>7.3761585310525808</v>
      </c>
      <c r="G42" s="126">
        <f t="shared" si="16"/>
        <v>1498.8505806024395</v>
      </c>
    </row>
    <row r="43" spans="1:38">
      <c r="B43" s="65" t="s">
        <v>111</v>
      </c>
      <c r="C43">
        <f>SUM(C37:C42)</f>
        <v>97192.128268213972</v>
      </c>
      <c r="D43">
        <f>SUM(D37:D42)</f>
        <v>192.41615958774148</v>
      </c>
      <c r="E43">
        <f>SUM(E37:E42)</f>
        <v>353.72288648415594</v>
      </c>
      <c r="G43" s="126">
        <f t="shared" si="16"/>
        <v>97738.267314285869</v>
      </c>
    </row>
    <row r="44" spans="1:38">
      <c r="C44" s="65" t="s">
        <v>257</v>
      </c>
      <c r="D44" s="65" t="s">
        <v>258</v>
      </c>
      <c r="E44" s="65" t="s">
        <v>41</v>
      </c>
      <c r="F44" s="65" t="s">
        <v>40</v>
      </c>
      <c r="G44" s="126"/>
    </row>
    <row r="45" spans="1:38">
      <c r="A45" s="65" t="s">
        <v>326</v>
      </c>
      <c r="B45" s="65" t="s">
        <v>321</v>
      </c>
      <c r="C45">
        <f>C19*(1-$C54/100)</f>
        <v>75724.736235651406</v>
      </c>
      <c r="D45">
        <f>D19*(1-$C54/100)</f>
        <v>156.49404500124683</v>
      </c>
      <c r="E45">
        <f>E19*(1-$C54/100)</f>
        <v>345.02737103090186</v>
      </c>
      <c r="F45">
        <f>F19*(1-$C54/100)</f>
        <v>125.57436076628566</v>
      </c>
      <c r="G45" s="126">
        <f>SUM(C45:F45)</f>
        <v>76351.832012449842</v>
      </c>
      <c r="AK45" s="65" t="s">
        <v>351</v>
      </c>
      <c r="AL45" s="151">
        <v>106311</v>
      </c>
    </row>
    <row r="46" spans="1:38">
      <c r="B46" s="65" t="s">
        <v>322</v>
      </c>
      <c r="C46">
        <f t="shared" ref="C46:F50" si="17">C20*(1-$C55/100)</f>
        <v>5877.1663764694213</v>
      </c>
      <c r="D46">
        <f t="shared" si="17"/>
        <v>10.389743022016519</v>
      </c>
      <c r="E46">
        <f t="shared" si="17"/>
        <v>63.664387451215624</v>
      </c>
      <c r="F46">
        <f t="shared" si="17"/>
        <v>8.9637792816658113</v>
      </c>
      <c r="G46" s="126">
        <f t="shared" ref="G46:G51" si="18">SUM(C46:F46)</f>
        <v>5960.1842862243193</v>
      </c>
      <c r="AK46" s="65" t="s">
        <v>352</v>
      </c>
      <c r="AL46" s="68">
        <v>78469</v>
      </c>
    </row>
    <row r="47" spans="1:38">
      <c r="B47" s="65" t="s">
        <v>323</v>
      </c>
      <c r="C47">
        <f t="shared" si="17"/>
        <v>363.23611304773266</v>
      </c>
      <c r="D47">
        <f t="shared" si="17"/>
        <v>0.62700048523217167</v>
      </c>
      <c r="E47">
        <f t="shared" si="17"/>
        <v>4.1623853537625504</v>
      </c>
      <c r="F47">
        <f t="shared" si="17"/>
        <v>5.2242580952724514E-2</v>
      </c>
      <c r="G47" s="126">
        <f t="shared" si="18"/>
        <v>368.07774146768008</v>
      </c>
      <c r="AK47" s="65" t="s">
        <v>353</v>
      </c>
      <c r="AL47" s="68">
        <v>72936</v>
      </c>
    </row>
    <row r="48" spans="1:38">
      <c r="B48" s="65" t="s">
        <v>324</v>
      </c>
      <c r="C48">
        <f t="shared" si="17"/>
        <v>10086.148634467247</v>
      </c>
      <c r="D48">
        <f t="shared" si="17"/>
        <v>10.285745470652779</v>
      </c>
      <c r="E48">
        <f t="shared" si="17"/>
        <v>138.16838685610085</v>
      </c>
      <c r="F48">
        <f t="shared" si="17"/>
        <v>207.71969789362228</v>
      </c>
      <c r="G48" s="126">
        <f t="shared" si="18"/>
        <v>10442.322464687624</v>
      </c>
      <c r="AK48" s="65" t="s">
        <v>354</v>
      </c>
      <c r="AL48">
        <v>97147.581901019847</v>
      </c>
    </row>
    <row r="49" spans="2:38">
      <c r="B49" s="65" t="s">
        <v>143</v>
      </c>
      <c r="C49">
        <f t="shared" si="17"/>
        <v>2206.9232628580307</v>
      </c>
      <c r="D49">
        <f t="shared" si="17"/>
        <v>3.2959155643751661</v>
      </c>
      <c r="E49">
        <f t="shared" si="17"/>
        <v>24.354122245786822</v>
      </c>
      <c r="F49">
        <f t="shared" si="17"/>
        <v>30.047937320564792</v>
      </c>
      <c r="G49" s="126">
        <f t="shared" si="18"/>
        <v>2264.6212379887579</v>
      </c>
      <c r="AK49" s="65" t="s">
        <v>355</v>
      </c>
      <c r="AL49">
        <v>84165.2443460738</v>
      </c>
    </row>
    <row r="50" spans="2:38">
      <c r="B50" s="65" t="s">
        <v>34</v>
      </c>
      <c r="C50">
        <f t="shared" si="17"/>
        <v>1479.4871125890938</v>
      </c>
      <c r="D50">
        <f t="shared" si="17"/>
        <v>12.069833731873436</v>
      </c>
      <c r="E50">
        <f t="shared" si="17"/>
        <v>8.8123003529983475</v>
      </c>
      <c r="F50">
        <f t="shared" si="17"/>
        <v>228.66530931480222</v>
      </c>
      <c r="G50" s="126">
        <f t="shared" si="18"/>
        <v>1729.0345559887678</v>
      </c>
      <c r="AK50" s="65" t="s">
        <v>356</v>
      </c>
      <c r="AL50">
        <v>83679.234043806282</v>
      </c>
    </row>
    <row r="51" spans="2:38">
      <c r="B51" s="65" t="s">
        <v>111</v>
      </c>
      <c r="C51">
        <f>SUM(C45:C50)</f>
        <v>95737.69773508294</v>
      </c>
      <c r="D51">
        <f>SUM(D45:D50)</f>
        <v>193.16228327539693</v>
      </c>
      <c r="E51">
        <f>SUM(E45:E50)</f>
        <v>584.18895329076611</v>
      </c>
      <c r="F51">
        <f>SUM(F45:F50)</f>
        <v>601.0233271578935</v>
      </c>
      <c r="G51" s="126">
        <f t="shared" si="18"/>
        <v>97116.07229880699</v>
      </c>
    </row>
    <row r="53" spans="2:38">
      <c r="C53" s="65" t="s">
        <v>329</v>
      </c>
    </row>
    <row r="54" spans="2:38">
      <c r="B54" s="65" t="s">
        <v>116</v>
      </c>
      <c r="C54" s="65">
        <v>0</v>
      </c>
    </row>
    <row r="55" spans="2:38">
      <c r="B55" s="65" t="s">
        <v>322</v>
      </c>
      <c r="C55">
        <v>0</v>
      </c>
    </row>
    <row r="56" spans="2:38">
      <c r="B56" s="65" t="s">
        <v>323</v>
      </c>
      <c r="C56">
        <v>0</v>
      </c>
    </row>
    <row r="57" spans="2:38">
      <c r="B57" s="65" t="s">
        <v>324</v>
      </c>
      <c r="C57">
        <v>0</v>
      </c>
    </row>
    <row r="58" spans="2:38">
      <c r="B58" s="65" t="s">
        <v>143</v>
      </c>
      <c r="C58">
        <v>0</v>
      </c>
    </row>
    <row r="59" spans="2:38">
      <c r="B59" s="65" t="s">
        <v>34</v>
      </c>
      <c r="C59">
        <v>0</v>
      </c>
    </row>
    <row r="60" spans="2:38">
      <c r="B60" s="65" t="s">
        <v>111</v>
      </c>
      <c r="C60">
        <v>0</v>
      </c>
    </row>
    <row r="68" spans="8:16">
      <c r="I68" s="65" t="s">
        <v>104</v>
      </c>
      <c r="J68">
        <v>2022</v>
      </c>
      <c r="K68">
        <v>2030</v>
      </c>
      <c r="L68" s="65" t="s">
        <v>330</v>
      </c>
      <c r="M68" s="65" t="s">
        <v>331</v>
      </c>
      <c r="N68" s="65" t="s">
        <v>332</v>
      </c>
      <c r="O68" s="65" t="s">
        <v>333</v>
      </c>
      <c r="P68" s="65" t="s">
        <v>334</v>
      </c>
    </row>
    <row r="69" spans="8:16">
      <c r="H69" s="65" t="s">
        <v>320</v>
      </c>
      <c r="I69" s="65" t="s">
        <v>321</v>
      </c>
      <c r="J69" s="65">
        <v>71848.232452970173</v>
      </c>
      <c r="K69">
        <v>87673.762219728422</v>
      </c>
      <c r="L69">
        <v>61371.633553809894</v>
      </c>
      <c r="M69" s="125">
        <v>52604.257331837049</v>
      </c>
      <c r="N69" s="125">
        <v>43836.881109864211</v>
      </c>
      <c r="O69" s="125">
        <v>21918.440554932105</v>
      </c>
      <c r="P69">
        <v>0</v>
      </c>
    </row>
    <row r="70" spans="8:16">
      <c r="I70" s="65" t="s">
        <v>322</v>
      </c>
      <c r="J70" s="65">
        <v>7803.7033670921182</v>
      </c>
      <c r="K70">
        <v>6026.9038754955527</v>
      </c>
      <c r="L70">
        <v>6026.9038754955527</v>
      </c>
      <c r="M70" s="125">
        <v>6026.9038754955527</v>
      </c>
      <c r="N70" s="125">
        <v>6026.9038754955527</v>
      </c>
      <c r="O70" s="125">
        <v>6026.9038754955527</v>
      </c>
      <c r="P70">
        <v>6026.9038754955527</v>
      </c>
    </row>
    <row r="71" spans="8:16">
      <c r="I71" s="65" t="s">
        <v>323</v>
      </c>
      <c r="J71" s="65">
        <v>466.79265472599855</v>
      </c>
      <c r="K71">
        <v>365.86451316362053</v>
      </c>
      <c r="L71">
        <v>365.86451316362053</v>
      </c>
      <c r="M71" s="125">
        <v>365.86451316362053</v>
      </c>
      <c r="N71" s="125">
        <v>365.86451316362053</v>
      </c>
      <c r="O71" s="125">
        <v>365.86451316362053</v>
      </c>
      <c r="P71">
        <v>365.86451316362053</v>
      </c>
    </row>
    <row r="72" spans="8:16">
      <c r="I72" s="65" t="s">
        <v>324</v>
      </c>
      <c r="J72" s="65">
        <v>13421.947167718125</v>
      </c>
      <c r="K72">
        <v>16178.429208481733</v>
      </c>
      <c r="L72">
        <v>16178.429208481733</v>
      </c>
      <c r="M72" s="125">
        <v>16178.429208481733</v>
      </c>
      <c r="N72" s="125">
        <v>16178.429208481733</v>
      </c>
      <c r="O72" s="125">
        <v>16178.429208481733</v>
      </c>
      <c r="P72">
        <v>16178.429208481733</v>
      </c>
    </row>
    <row r="73" spans="8:16">
      <c r="I73" s="65" t="s">
        <v>143</v>
      </c>
      <c r="J73" s="65">
        <v>2188.1095742665839</v>
      </c>
      <c r="K73">
        <v>1769.2221230378921</v>
      </c>
      <c r="L73">
        <v>1769.2221230378921</v>
      </c>
      <c r="M73" s="125">
        <v>1769.2221230378921</v>
      </c>
      <c r="N73" s="125">
        <v>1769.2221230378921</v>
      </c>
      <c r="O73" s="125">
        <v>1769.2221230378921</v>
      </c>
      <c r="P73">
        <v>1769.2221230378921</v>
      </c>
    </row>
    <row r="74" spans="8:16">
      <c r="I74" s="65" t="s">
        <v>34</v>
      </c>
      <c r="J74" s="65">
        <v>1418.7966842468416</v>
      </c>
      <c r="K74">
        <v>1682.3073640194568</v>
      </c>
      <c r="L74">
        <v>1682.3073640194568</v>
      </c>
      <c r="M74" s="125">
        <v>1682.3073640194568</v>
      </c>
      <c r="N74" s="125">
        <v>1682.3073640194568</v>
      </c>
      <c r="O74" s="125">
        <v>1682.3073640194568</v>
      </c>
      <c r="P74">
        <v>1682.3073640194568</v>
      </c>
    </row>
    <row r="75" spans="8:16">
      <c r="I75" s="65" t="s">
        <v>111</v>
      </c>
      <c r="J75" s="65">
        <v>97147.581901019847</v>
      </c>
      <c r="K75">
        <v>113696.48930392666</v>
      </c>
      <c r="L75">
        <v>87394.360638008147</v>
      </c>
      <c r="M75" s="125">
        <v>78626.984416035295</v>
      </c>
      <c r="N75" s="125">
        <v>69859.608194062443</v>
      </c>
      <c r="O75" s="125">
        <v>47941.167639130355</v>
      </c>
      <c r="P75">
        <v>26022.727084198254</v>
      </c>
    </row>
    <row r="76" spans="8:16">
      <c r="I76" s="65" t="s">
        <v>104</v>
      </c>
      <c r="J76">
        <v>2022</v>
      </c>
      <c r="K76">
        <v>2030</v>
      </c>
      <c r="L76" s="65" t="s">
        <v>330</v>
      </c>
      <c r="M76" s="65" t="s">
        <v>331</v>
      </c>
      <c r="N76" s="65" t="s">
        <v>332</v>
      </c>
      <c r="O76" s="65" t="s">
        <v>333</v>
      </c>
      <c r="P76" s="65" t="s">
        <v>334</v>
      </c>
    </row>
    <row r="77" spans="8:16">
      <c r="H77" s="65" t="s">
        <v>325</v>
      </c>
      <c r="I77" s="65" t="s">
        <v>321</v>
      </c>
      <c r="J77" s="65">
        <v>62351.700277867501</v>
      </c>
      <c r="K77">
        <v>76085.492398658724</v>
      </c>
      <c r="L77">
        <v>53259.844679061105</v>
      </c>
      <c r="M77" s="126">
        <v>45651.295439195237</v>
      </c>
      <c r="N77" s="126">
        <v>38042.746199329362</v>
      </c>
      <c r="O77" s="126">
        <v>19021.373099664681</v>
      </c>
      <c r="P77">
        <v>0</v>
      </c>
    </row>
    <row r="78" spans="8:16">
      <c r="I78" s="65" t="s">
        <v>322</v>
      </c>
      <c r="J78" s="65">
        <v>7676.1791375720277</v>
      </c>
      <c r="K78">
        <v>5928.4152173598177</v>
      </c>
      <c r="L78">
        <v>5928.4152173598177</v>
      </c>
      <c r="M78" s="126">
        <v>5928.4152173598177</v>
      </c>
      <c r="N78" s="126">
        <v>5928.4152173598177</v>
      </c>
      <c r="O78" s="126">
        <v>5928.4152173598177</v>
      </c>
      <c r="P78">
        <v>5928.4152173598177</v>
      </c>
    </row>
    <row r="79" spans="8:16">
      <c r="I79" s="65" t="s">
        <v>323</v>
      </c>
      <c r="J79" s="65">
        <v>466.82941569501168</v>
      </c>
      <c r="K79">
        <v>365.89332581500912</v>
      </c>
      <c r="L79">
        <v>365.89332581500912</v>
      </c>
      <c r="M79" s="126">
        <v>365.89332581500912</v>
      </c>
      <c r="N79" s="126">
        <v>365.89332581500912</v>
      </c>
      <c r="O79" s="126">
        <v>365.89332581500912</v>
      </c>
      <c r="P79">
        <v>365.89332581500912</v>
      </c>
    </row>
    <row r="80" spans="8:16">
      <c r="I80" s="65" t="s">
        <v>324</v>
      </c>
      <c r="J80" s="65">
        <v>9647.5847532583412</v>
      </c>
      <c r="K80">
        <v>11628.921274464641</v>
      </c>
      <c r="L80">
        <v>11628.921274464641</v>
      </c>
      <c r="M80" s="126">
        <v>11628.921274464641</v>
      </c>
      <c r="N80" s="126">
        <v>11628.921274464641</v>
      </c>
      <c r="O80" s="126">
        <v>11628.921274464641</v>
      </c>
      <c r="P80">
        <v>11628.921274464641</v>
      </c>
    </row>
    <row r="81" spans="8:16">
      <c r="I81" s="65" t="s">
        <v>143</v>
      </c>
      <c r="J81" s="65">
        <v>2758.8613533932566</v>
      </c>
      <c r="K81">
        <v>2230.6945173852387</v>
      </c>
      <c r="L81">
        <v>2230.6945173852387</v>
      </c>
      <c r="M81" s="126">
        <v>2230.6945173852387</v>
      </c>
      <c r="N81" s="126">
        <v>2230.6945173852387</v>
      </c>
      <c r="O81" s="126">
        <v>2230.6945173852387</v>
      </c>
      <c r="P81">
        <v>2230.6945173852387</v>
      </c>
    </row>
    <row r="82" spans="8:16">
      <c r="I82" s="65" t="s">
        <v>34</v>
      </c>
      <c r="J82" s="65">
        <v>1264.0894082876375</v>
      </c>
      <c r="K82">
        <v>1498.8505806024395</v>
      </c>
      <c r="L82">
        <v>1498.8505806024395</v>
      </c>
      <c r="M82" s="126">
        <v>1498.8505806024395</v>
      </c>
      <c r="N82" s="126">
        <v>1498.8505806024395</v>
      </c>
      <c r="O82" s="126">
        <v>1498.8505806024395</v>
      </c>
      <c r="P82">
        <v>1498.8505806024395</v>
      </c>
    </row>
    <row r="83" spans="8:16">
      <c r="I83" s="65" t="s">
        <v>111</v>
      </c>
      <c r="J83" s="65">
        <v>84165.2443460738</v>
      </c>
      <c r="K83">
        <v>97738.267314285869</v>
      </c>
      <c r="L83">
        <v>74912.619594688236</v>
      </c>
      <c r="M83" s="126">
        <v>67304.070354822383</v>
      </c>
      <c r="N83" s="126">
        <v>59695.521114956508</v>
      </c>
      <c r="O83" s="126">
        <v>40674.148015291838</v>
      </c>
      <c r="P83">
        <v>21652.774915627146</v>
      </c>
    </row>
    <row r="84" spans="8:16">
      <c r="I84" s="65" t="s">
        <v>104</v>
      </c>
      <c r="J84">
        <v>2022</v>
      </c>
      <c r="K84">
        <v>2030</v>
      </c>
      <c r="L84" s="65" t="s">
        <v>330</v>
      </c>
      <c r="M84" s="65" t="s">
        <v>331</v>
      </c>
      <c r="N84" s="65" t="s">
        <v>332</v>
      </c>
      <c r="O84" s="65" t="s">
        <v>333</v>
      </c>
      <c r="P84" s="65" t="s">
        <v>334</v>
      </c>
    </row>
    <row r="85" spans="8:16">
      <c r="H85" s="65" t="s">
        <v>326</v>
      </c>
      <c r="I85" s="65" t="s">
        <v>321</v>
      </c>
      <c r="J85" s="65">
        <v>62569.964328577895</v>
      </c>
      <c r="K85">
        <v>76351.832012449842</v>
      </c>
      <c r="L85">
        <v>53446.282408714891</v>
      </c>
      <c r="M85" s="126">
        <v>45811.099207469902</v>
      </c>
      <c r="N85" s="126">
        <v>38175.916006224921</v>
      </c>
      <c r="O85" s="126">
        <v>19087.958003112461</v>
      </c>
      <c r="P85">
        <v>0</v>
      </c>
    </row>
    <row r="86" spans="8:16">
      <c r="I86" s="65" t="s">
        <v>322</v>
      </c>
      <c r="J86" s="65">
        <v>7717.3140875876206</v>
      </c>
      <c r="K86">
        <v>5960.1842862243193</v>
      </c>
      <c r="L86">
        <v>5960.1842862243193</v>
      </c>
      <c r="M86" s="126">
        <v>5960.1842862243193</v>
      </c>
      <c r="N86" s="126">
        <v>5960.1842862243193</v>
      </c>
      <c r="O86" s="126">
        <v>5960.1842862243193</v>
      </c>
      <c r="P86">
        <v>5960.1842862243193</v>
      </c>
    </row>
    <row r="87" spans="8:16">
      <c r="I87" s="65" t="s">
        <v>323</v>
      </c>
      <c r="J87" s="65">
        <v>469.61642876910906</v>
      </c>
      <c r="K87">
        <v>368.07774146768008</v>
      </c>
      <c r="L87">
        <v>368.07774146768008</v>
      </c>
      <c r="M87" s="126">
        <v>368.07774146768008</v>
      </c>
      <c r="N87" s="126">
        <v>368.07774146768008</v>
      </c>
      <c r="O87" s="126">
        <v>368.07774146768008</v>
      </c>
      <c r="P87">
        <v>368.07774146768008</v>
      </c>
    </row>
    <row r="88" spans="8:16">
      <c r="I88" s="65" t="s">
        <v>324</v>
      </c>
      <c r="J88" s="65">
        <v>8663.1587420016531</v>
      </c>
      <c r="K88">
        <v>10442.322464687624</v>
      </c>
      <c r="L88">
        <v>10442.322464687624</v>
      </c>
      <c r="M88" s="126">
        <v>10442.322464687624</v>
      </c>
      <c r="N88" s="126">
        <v>10442.322464687624</v>
      </c>
      <c r="O88" s="126">
        <v>10442.322464687624</v>
      </c>
      <c r="P88">
        <v>10442.322464687624</v>
      </c>
    </row>
    <row r="89" spans="8:16">
      <c r="I89" s="65" t="s">
        <v>143</v>
      </c>
      <c r="J89" s="65">
        <v>2800.962693352722</v>
      </c>
      <c r="K89">
        <v>2264.6212379887579</v>
      </c>
      <c r="L89">
        <v>2264.6212379887579</v>
      </c>
      <c r="M89" s="126">
        <v>2264.6212379887579</v>
      </c>
      <c r="N89" s="126">
        <v>2264.6212379887579</v>
      </c>
      <c r="O89" s="126">
        <v>2264.6212379887579</v>
      </c>
      <c r="P89">
        <v>2264.6212379887579</v>
      </c>
    </row>
    <row r="90" spans="8:16">
      <c r="I90" s="65" t="s">
        <v>34</v>
      </c>
      <c r="J90" s="65">
        <v>1458.2177635172868</v>
      </c>
      <c r="K90">
        <v>1729.0345559887678</v>
      </c>
      <c r="L90">
        <v>1729.0345559887678</v>
      </c>
      <c r="M90" s="126">
        <v>1729.0345559887678</v>
      </c>
      <c r="N90" s="126">
        <v>1729.0345559887678</v>
      </c>
      <c r="O90" s="126">
        <v>1729.0345559887678</v>
      </c>
      <c r="P90">
        <v>1729.0345559887678</v>
      </c>
    </row>
    <row r="91" spans="8:16">
      <c r="I91" s="65" t="s">
        <v>111</v>
      </c>
      <c r="J91" s="65">
        <v>83679.234043806282</v>
      </c>
      <c r="K91">
        <v>97116.07229880699</v>
      </c>
      <c r="L91">
        <v>74210.522695072053</v>
      </c>
      <c r="M91" s="126">
        <v>66575.339493827021</v>
      </c>
      <c r="N91" s="126">
        <v>58940.156292582069</v>
      </c>
      <c r="O91" s="126">
        <v>39852.198289469605</v>
      </c>
      <c r="P91">
        <v>20764.240286357148</v>
      </c>
    </row>
    <row r="98" spans="8:16">
      <c r="I98" s="65" t="s">
        <v>104</v>
      </c>
      <c r="J98">
        <v>2022</v>
      </c>
      <c r="K98">
        <v>2030</v>
      </c>
      <c r="L98" s="65" t="s">
        <v>330</v>
      </c>
      <c r="M98" s="65" t="s">
        <v>331</v>
      </c>
      <c r="N98" s="65" t="s">
        <v>332</v>
      </c>
      <c r="O98" s="65" t="s">
        <v>333</v>
      </c>
      <c r="P98" s="65" t="s">
        <v>334</v>
      </c>
    </row>
    <row r="99" spans="8:16">
      <c r="H99" s="65" t="s">
        <v>320</v>
      </c>
      <c r="I99" s="65" t="s">
        <v>321</v>
      </c>
      <c r="J99" s="65">
        <f>MROUND(J69,10)</f>
        <v>71850</v>
      </c>
      <c r="K99" s="65">
        <f t="shared" ref="K99:P99" si="19">MROUND(K69,10)</f>
        <v>87670</v>
      </c>
      <c r="L99" s="65">
        <f t="shared" si="19"/>
        <v>61370</v>
      </c>
      <c r="M99" s="65">
        <f t="shared" si="19"/>
        <v>52600</v>
      </c>
      <c r="N99" s="65">
        <f t="shared" si="19"/>
        <v>43840</v>
      </c>
      <c r="O99" s="65">
        <f t="shared" si="19"/>
        <v>21920</v>
      </c>
      <c r="P99" s="65">
        <f t="shared" si="19"/>
        <v>0</v>
      </c>
    </row>
    <row r="100" spans="8:16">
      <c r="I100" s="65" t="s">
        <v>322</v>
      </c>
      <c r="J100" s="65">
        <f t="shared" ref="J100:P121" si="20">MROUND(J70,10)</f>
        <v>7800</v>
      </c>
      <c r="K100" s="65">
        <f t="shared" si="20"/>
        <v>6030</v>
      </c>
      <c r="L100" s="65">
        <f t="shared" si="20"/>
        <v>6030</v>
      </c>
      <c r="M100" s="65">
        <f t="shared" si="20"/>
        <v>6030</v>
      </c>
      <c r="N100" s="65">
        <f t="shared" si="20"/>
        <v>6030</v>
      </c>
      <c r="O100" s="65">
        <f t="shared" si="20"/>
        <v>6030</v>
      </c>
      <c r="P100" s="65">
        <f t="shared" si="20"/>
        <v>6030</v>
      </c>
    </row>
    <row r="101" spans="8:16">
      <c r="I101" s="65" t="s">
        <v>323</v>
      </c>
      <c r="J101" s="65">
        <f t="shared" si="20"/>
        <v>470</v>
      </c>
      <c r="K101" s="65">
        <f t="shared" si="20"/>
        <v>370</v>
      </c>
      <c r="L101" s="65">
        <f t="shared" si="20"/>
        <v>370</v>
      </c>
      <c r="M101" s="65">
        <f t="shared" si="20"/>
        <v>370</v>
      </c>
      <c r="N101" s="65">
        <f t="shared" si="20"/>
        <v>370</v>
      </c>
      <c r="O101" s="65">
        <f t="shared" si="20"/>
        <v>370</v>
      </c>
      <c r="P101" s="65">
        <f t="shared" si="20"/>
        <v>370</v>
      </c>
    </row>
    <row r="102" spans="8:16">
      <c r="I102" s="65" t="s">
        <v>324</v>
      </c>
      <c r="J102" s="65">
        <f t="shared" si="20"/>
        <v>13420</v>
      </c>
      <c r="K102" s="65">
        <f t="shared" si="20"/>
        <v>16180</v>
      </c>
      <c r="L102" s="65">
        <f t="shared" si="20"/>
        <v>16180</v>
      </c>
      <c r="M102" s="65">
        <f t="shared" si="20"/>
        <v>16180</v>
      </c>
      <c r="N102" s="65">
        <f t="shared" si="20"/>
        <v>16180</v>
      </c>
      <c r="O102" s="65">
        <f t="shared" si="20"/>
        <v>16180</v>
      </c>
      <c r="P102" s="65">
        <f t="shared" si="20"/>
        <v>16180</v>
      </c>
    </row>
    <row r="103" spans="8:16">
      <c r="I103" s="65" t="s">
        <v>143</v>
      </c>
      <c r="J103" s="65">
        <f t="shared" si="20"/>
        <v>2190</v>
      </c>
      <c r="K103" s="65">
        <f t="shared" si="20"/>
        <v>1770</v>
      </c>
      <c r="L103" s="65">
        <f t="shared" si="20"/>
        <v>1770</v>
      </c>
      <c r="M103" s="65">
        <f t="shared" si="20"/>
        <v>1770</v>
      </c>
      <c r="N103" s="65">
        <f t="shared" si="20"/>
        <v>1770</v>
      </c>
      <c r="O103" s="65">
        <f t="shared" si="20"/>
        <v>1770</v>
      </c>
      <c r="P103" s="65">
        <f t="shared" si="20"/>
        <v>1770</v>
      </c>
    </row>
    <row r="104" spans="8:16">
      <c r="I104" s="65" t="s">
        <v>34</v>
      </c>
      <c r="J104" s="65">
        <f t="shared" si="20"/>
        <v>1420</v>
      </c>
      <c r="K104" s="65">
        <f t="shared" si="20"/>
        <v>1680</v>
      </c>
      <c r="L104" s="65">
        <f t="shared" si="20"/>
        <v>1680</v>
      </c>
      <c r="M104" s="65">
        <f t="shared" si="20"/>
        <v>1680</v>
      </c>
      <c r="N104" s="65">
        <f t="shared" si="20"/>
        <v>1680</v>
      </c>
      <c r="O104" s="65">
        <f t="shared" si="20"/>
        <v>1680</v>
      </c>
      <c r="P104" s="65">
        <f t="shared" si="20"/>
        <v>1680</v>
      </c>
    </row>
    <row r="105" spans="8:16">
      <c r="I105" s="65" t="s">
        <v>111</v>
      </c>
      <c r="J105" s="65">
        <f t="shared" si="20"/>
        <v>97150</v>
      </c>
      <c r="K105" s="65">
        <f t="shared" si="20"/>
        <v>113700</v>
      </c>
      <c r="L105" s="65">
        <f t="shared" si="20"/>
        <v>87390</v>
      </c>
      <c r="M105" s="65">
        <f t="shared" si="20"/>
        <v>78630</v>
      </c>
      <c r="N105" s="65">
        <f t="shared" si="20"/>
        <v>69860</v>
      </c>
      <c r="O105" s="65">
        <f t="shared" si="20"/>
        <v>47940</v>
      </c>
      <c r="P105" s="65">
        <f t="shared" si="20"/>
        <v>26020</v>
      </c>
    </row>
    <row r="106" spans="8:16">
      <c r="I106" s="65"/>
      <c r="J106" s="65"/>
      <c r="K106" s="65"/>
      <c r="L106" s="65"/>
      <c r="M106" s="65"/>
      <c r="N106" s="65"/>
      <c r="O106" s="65"/>
      <c r="P106" s="65"/>
    </row>
    <row r="107" spans="8:16">
      <c r="H107" s="65" t="s">
        <v>325</v>
      </c>
      <c r="I107" s="65" t="s">
        <v>321</v>
      </c>
      <c r="J107" s="65">
        <f t="shared" si="20"/>
        <v>62350</v>
      </c>
      <c r="K107" s="65">
        <f t="shared" si="20"/>
        <v>76090</v>
      </c>
      <c r="L107" s="65">
        <f t="shared" si="20"/>
        <v>53260</v>
      </c>
      <c r="M107" s="65">
        <f t="shared" si="20"/>
        <v>45650</v>
      </c>
      <c r="N107" s="65">
        <f t="shared" si="20"/>
        <v>38040</v>
      </c>
      <c r="O107" s="65">
        <f t="shared" si="20"/>
        <v>19020</v>
      </c>
      <c r="P107" s="65">
        <f t="shared" si="20"/>
        <v>0</v>
      </c>
    </row>
    <row r="108" spans="8:16">
      <c r="I108" s="65" t="s">
        <v>322</v>
      </c>
      <c r="J108" s="65">
        <f t="shared" si="20"/>
        <v>7680</v>
      </c>
      <c r="K108" s="65">
        <f t="shared" si="20"/>
        <v>5930</v>
      </c>
      <c r="L108" s="65">
        <f t="shared" si="20"/>
        <v>5930</v>
      </c>
      <c r="M108" s="65">
        <f t="shared" si="20"/>
        <v>5930</v>
      </c>
      <c r="N108" s="65">
        <f t="shared" si="20"/>
        <v>5930</v>
      </c>
      <c r="O108" s="65">
        <f t="shared" si="20"/>
        <v>5930</v>
      </c>
      <c r="P108" s="65">
        <f t="shared" si="20"/>
        <v>5930</v>
      </c>
    </row>
    <row r="109" spans="8:16">
      <c r="I109" s="65" t="s">
        <v>323</v>
      </c>
      <c r="J109" s="65">
        <f t="shared" si="20"/>
        <v>470</v>
      </c>
      <c r="K109" s="65">
        <f t="shared" si="20"/>
        <v>370</v>
      </c>
      <c r="L109" s="65">
        <f t="shared" si="20"/>
        <v>370</v>
      </c>
      <c r="M109" s="65">
        <f t="shared" si="20"/>
        <v>370</v>
      </c>
      <c r="N109" s="65">
        <f t="shared" si="20"/>
        <v>370</v>
      </c>
      <c r="O109" s="65">
        <f t="shared" si="20"/>
        <v>370</v>
      </c>
      <c r="P109" s="65">
        <f t="shared" si="20"/>
        <v>370</v>
      </c>
    </row>
    <row r="110" spans="8:16">
      <c r="I110" s="65" t="s">
        <v>324</v>
      </c>
      <c r="J110" s="65">
        <f t="shared" si="20"/>
        <v>9650</v>
      </c>
      <c r="K110" s="65">
        <f t="shared" si="20"/>
        <v>11630</v>
      </c>
      <c r="L110" s="65">
        <f t="shared" si="20"/>
        <v>11630</v>
      </c>
      <c r="M110" s="65">
        <f t="shared" si="20"/>
        <v>11630</v>
      </c>
      <c r="N110" s="65">
        <f t="shared" si="20"/>
        <v>11630</v>
      </c>
      <c r="O110" s="65">
        <f t="shared" si="20"/>
        <v>11630</v>
      </c>
      <c r="P110" s="65">
        <f t="shared" si="20"/>
        <v>11630</v>
      </c>
    </row>
    <row r="111" spans="8:16">
      <c r="I111" s="65" t="s">
        <v>143</v>
      </c>
      <c r="J111" s="65">
        <f t="shared" si="20"/>
        <v>2760</v>
      </c>
      <c r="K111" s="65">
        <f t="shared" si="20"/>
        <v>2230</v>
      </c>
      <c r="L111" s="65">
        <f t="shared" si="20"/>
        <v>2230</v>
      </c>
      <c r="M111" s="65">
        <f t="shared" si="20"/>
        <v>2230</v>
      </c>
      <c r="N111" s="65">
        <f t="shared" si="20"/>
        <v>2230</v>
      </c>
      <c r="O111" s="65">
        <f t="shared" si="20"/>
        <v>2230</v>
      </c>
      <c r="P111" s="65">
        <f t="shared" si="20"/>
        <v>2230</v>
      </c>
    </row>
    <row r="112" spans="8:16">
      <c r="I112" s="65" t="s">
        <v>34</v>
      </c>
      <c r="J112" s="65">
        <f t="shared" si="20"/>
        <v>1260</v>
      </c>
      <c r="K112" s="65">
        <f t="shared" si="20"/>
        <v>1500</v>
      </c>
      <c r="L112" s="65">
        <f t="shared" si="20"/>
        <v>1500</v>
      </c>
      <c r="M112" s="65">
        <f t="shared" si="20"/>
        <v>1500</v>
      </c>
      <c r="N112" s="65">
        <f t="shared" si="20"/>
        <v>1500</v>
      </c>
      <c r="O112" s="65">
        <f t="shared" si="20"/>
        <v>1500</v>
      </c>
      <c r="P112" s="65">
        <f t="shared" si="20"/>
        <v>1500</v>
      </c>
    </row>
    <row r="113" spans="8:16">
      <c r="I113" s="65" t="s">
        <v>111</v>
      </c>
      <c r="J113" s="65">
        <f t="shared" si="20"/>
        <v>84170</v>
      </c>
      <c r="K113" s="65">
        <f t="shared" si="20"/>
        <v>97740</v>
      </c>
      <c r="L113" s="65">
        <f t="shared" si="20"/>
        <v>74910</v>
      </c>
      <c r="M113" s="65">
        <f t="shared" si="20"/>
        <v>67300</v>
      </c>
      <c r="N113" s="65">
        <f t="shared" si="20"/>
        <v>59700</v>
      </c>
      <c r="O113" s="65">
        <f t="shared" si="20"/>
        <v>40670</v>
      </c>
      <c r="P113" s="65">
        <f t="shared" si="20"/>
        <v>21650</v>
      </c>
    </row>
    <row r="114" spans="8:16">
      <c r="I114" s="65"/>
      <c r="J114" s="65"/>
      <c r="K114" s="65"/>
      <c r="L114" s="65"/>
      <c r="M114" s="65"/>
      <c r="N114" s="65"/>
      <c r="O114" s="65"/>
      <c r="P114" s="65"/>
    </row>
    <row r="115" spans="8:16">
      <c r="H115" s="65" t="s">
        <v>326</v>
      </c>
      <c r="I115" s="65" t="s">
        <v>321</v>
      </c>
      <c r="J115" s="65">
        <f t="shared" si="20"/>
        <v>62570</v>
      </c>
      <c r="K115" s="65">
        <f t="shared" si="20"/>
        <v>76350</v>
      </c>
      <c r="L115" s="65">
        <f t="shared" si="20"/>
        <v>53450</v>
      </c>
      <c r="M115" s="65">
        <f t="shared" si="20"/>
        <v>45810</v>
      </c>
      <c r="N115" s="65">
        <f t="shared" si="20"/>
        <v>38180</v>
      </c>
      <c r="O115" s="65">
        <f t="shared" si="20"/>
        <v>19090</v>
      </c>
      <c r="P115" s="65">
        <f t="shared" si="20"/>
        <v>0</v>
      </c>
    </row>
    <row r="116" spans="8:16">
      <c r="I116" s="65" t="s">
        <v>322</v>
      </c>
      <c r="J116" s="65">
        <f t="shared" si="20"/>
        <v>7720</v>
      </c>
      <c r="K116" s="65">
        <f t="shared" si="20"/>
        <v>5960</v>
      </c>
      <c r="L116" s="65">
        <f t="shared" si="20"/>
        <v>5960</v>
      </c>
      <c r="M116" s="65">
        <f t="shared" si="20"/>
        <v>5960</v>
      </c>
      <c r="N116" s="65">
        <f t="shared" si="20"/>
        <v>5960</v>
      </c>
      <c r="O116" s="65">
        <f t="shared" si="20"/>
        <v>5960</v>
      </c>
      <c r="P116" s="65">
        <f t="shared" si="20"/>
        <v>5960</v>
      </c>
    </row>
    <row r="117" spans="8:16">
      <c r="I117" s="65" t="s">
        <v>323</v>
      </c>
      <c r="J117" s="65">
        <f t="shared" si="20"/>
        <v>470</v>
      </c>
      <c r="K117" s="65">
        <f t="shared" si="20"/>
        <v>370</v>
      </c>
      <c r="L117" s="65">
        <f t="shared" si="20"/>
        <v>370</v>
      </c>
      <c r="M117" s="65">
        <f t="shared" si="20"/>
        <v>370</v>
      </c>
      <c r="N117" s="65">
        <f t="shared" si="20"/>
        <v>370</v>
      </c>
      <c r="O117" s="65">
        <f t="shared" si="20"/>
        <v>370</v>
      </c>
      <c r="P117" s="65">
        <f t="shared" si="20"/>
        <v>370</v>
      </c>
    </row>
    <row r="118" spans="8:16">
      <c r="I118" s="65" t="s">
        <v>324</v>
      </c>
      <c r="J118" s="65">
        <f t="shared" si="20"/>
        <v>8660</v>
      </c>
      <c r="K118" s="65">
        <f t="shared" si="20"/>
        <v>10440</v>
      </c>
      <c r="L118" s="65">
        <f t="shared" si="20"/>
        <v>10440</v>
      </c>
      <c r="M118" s="65">
        <f t="shared" si="20"/>
        <v>10440</v>
      </c>
      <c r="N118" s="65">
        <f t="shared" si="20"/>
        <v>10440</v>
      </c>
      <c r="O118" s="65">
        <f t="shared" si="20"/>
        <v>10440</v>
      </c>
      <c r="P118" s="65">
        <f t="shared" si="20"/>
        <v>10440</v>
      </c>
    </row>
    <row r="119" spans="8:16">
      <c r="I119" s="65" t="s">
        <v>143</v>
      </c>
      <c r="J119" s="65">
        <f t="shared" si="20"/>
        <v>2800</v>
      </c>
      <c r="K119" s="65">
        <f t="shared" si="20"/>
        <v>2260</v>
      </c>
      <c r="L119" s="65">
        <f t="shared" si="20"/>
        <v>2260</v>
      </c>
      <c r="M119" s="65">
        <f t="shared" si="20"/>
        <v>2260</v>
      </c>
      <c r="N119" s="65">
        <f t="shared" si="20"/>
        <v>2260</v>
      </c>
      <c r="O119" s="65">
        <f t="shared" si="20"/>
        <v>2260</v>
      </c>
      <c r="P119" s="65">
        <f t="shared" si="20"/>
        <v>2260</v>
      </c>
    </row>
    <row r="120" spans="8:16">
      <c r="I120" s="65" t="s">
        <v>34</v>
      </c>
      <c r="J120" s="65">
        <f t="shared" si="20"/>
        <v>1460</v>
      </c>
      <c r="K120" s="65">
        <f t="shared" si="20"/>
        <v>1730</v>
      </c>
      <c r="L120" s="65">
        <f t="shared" si="20"/>
        <v>1730</v>
      </c>
      <c r="M120" s="65">
        <f t="shared" si="20"/>
        <v>1730</v>
      </c>
      <c r="N120" s="65">
        <f t="shared" si="20"/>
        <v>1730</v>
      </c>
      <c r="O120" s="65">
        <f t="shared" si="20"/>
        <v>1730</v>
      </c>
      <c r="P120" s="65">
        <f t="shared" si="20"/>
        <v>1730</v>
      </c>
    </row>
    <row r="121" spans="8:16">
      <c r="I121" s="65" t="s">
        <v>111</v>
      </c>
      <c r="J121" s="65">
        <f t="shared" si="20"/>
        <v>83680</v>
      </c>
      <c r="K121" s="65">
        <f t="shared" si="20"/>
        <v>97120</v>
      </c>
      <c r="L121" s="65">
        <f t="shared" si="20"/>
        <v>74210</v>
      </c>
      <c r="M121" s="65">
        <f t="shared" si="20"/>
        <v>66580</v>
      </c>
      <c r="N121" s="65">
        <f t="shared" si="20"/>
        <v>58940</v>
      </c>
      <c r="O121" s="65">
        <f t="shared" si="20"/>
        <v>39850</v>
      </c>
      <c r="P121" s="65">
        <f t="shared" si="20"/>
        <v>20760</v>
      </c>
    </row>
    <row r="123" spans="8:16">
      <c r="K123" s="65" t="s">
        <v>368</v>
      </c>
      <c r="L123" s="65" t="s">
        <v>330</v>
      </c>
      <c r="M123" s="65" t="s">
        <v>331</v>
      </c>
      <c r="N123" s="65" t="s">
        <v>332</v>
      </c>
      <c r="O123" s="65" t="s">
        <v>333</v>
      </c>
      <c r="P123" s="65" t="s">
        <v>334</v>
      </c>
    </row>
    <row r="124" spans="8:16">
      <c r="K124">
        <v>2022</v>
      </c>
      <c r="L124">
        <f>MROUND(100*L113/$J113, 1)</f>
        <v>89</v>
      </c>
      <c r="M124">
        <f t="shared" ref="M124:P124" si="21">MROUND(100*M113/$J113, 1)</f>
        <v>80</v>
      </c>
      <c r="N124">
        <f t="shared" si="21"/>
        <v>71</v>
      </c>
      <c r="O124">
        <f t="shared" si="21"/>
        <v>48</v>
      </c>
      <c r="P124">
        <f t="shared" si="21"/>
        <v>26</v>
      </c>
    </row>
    <row r="125" spans="8:16">
      <c r="K125">
        <v>2030</v>
      </c>
      <c r="L125">
        <f>MROUND(100*L113/$K113,1)</f>
        <v>77</v>
      </c>
      <c r="M125">
        <f t="shared" ref="M125:P125" si="22">MROUND(100*M113/$K113,1)</f>
        <v>69</v>
      </c>
      <c r="N125">
        <f t="shared" si="22"/>
        <v>61</v>
      </c>
      <c r="O125">
        <f t="shared" si="22"/>
        <v>42</v>
      </c>
      <c r="P125">
        <f t="shared" si="22"/>
        <v>22</v>
      </c>
    </row>
    <row r="139" spans="14:18">
      <c r="N139" s="161"/>
      <c r="O139" s="161"/>
      <c r="P139" s="161"/>
      <c r="Q139" s="161"/>
      <c r="R139" s="161"/>
    </row>
    <row r="140" spans="14:18" ht="16" customHeight="1">
      <c r="N140" s="217"/>
      <c r="O140" s="217"/>
      <c r="P140" s="217"/>
      <c r="Q140" s="217"/>
    </row>
    <row r="141" spans="14:18" ht="15.5">
      <c r="N141" s="218"/>
      <c r="O141" s="218"/>
      <c r="P141" s="218"/>
      <c r="Q141" s="218"/>
    </row>
    <row r="142" spans="14:18" ht="16" customHeight="1">
      <c r="N142" s="217"/>
      <c r="O142" s="217"/>
      <c r="P142" s="217"/>
      <c r="Q142" s="217"/>
    </row>
    <row r="143" spans="14:18" ht="16" customHeight="1">
      <c r="N143" s="217"/>
      <c r="O143" s="217"/>
      <c r="P143" s="217"/>
      <c r="Q143" s="217"/>
    </row>
    <row r="144" spans="14:18" ht="16" customHeight="1">
      <c r="N144" s="217"/>
      <c r="O144" s="217"/>
      <c r="P144" s="217"/>
      <c r="Q144" s="217"/>
    </row>
    <row r="145" spans="14:18" ht="16" customHeight="1">
      <c r="N145" s="217"/>
      <c r="O145" s="217"/>
      <c r="P145" s="217"/>
      <c r="Q145" s="217"/>
    </row>
    <row r="146" spans="14:18" ht="16" customHeight="1">
      <c r="N146" s="217"/>
      <c r="O146" s="217"/>
      <c r="P146" s="217"/>
      <c r="Q146" s="217"/>
    </row>
    <row r="147" spans="14:18" ht="16" customHeight="1">
      <c r="N147" s="217"/>
      <c r="O147" s="217"/>
      <c r="P147" s="217"/>
      <c r="Q147" s="217"/>
    </row>
    <row r="148" spans="14:18">
      <c r="O148" s="161"/>
      <c r="P148" s="161"/>
      <c r="Q148" s="161"/>
      <c r="R148" s="161"/>
    </row>
    <row r="149" spans="14:18">
      <c r="O149" s="161"/>
      <c r="P149" s="161"/>
      <c r="Q149" s="161"/>
      <c r="R149" s="161"/>
    </row>
  </sheetData>
  <mergeCells count="4">
    <mergeCell ref="A1:G1"/>
    <mergeCell ref="A27:G27"/>
    <mergeCell ref="S14:Y14"/>
    <mergeCell ref="AB14:AH14"/>
  </mergeCells>
  <pageMargins left="0.7" right="0.7" top="0.75" bottom="0.75" header="0.3" footer="0.3"/>
  <pageSetup orientation="portrait" horizontalDpi="4294967293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5BFB-794A-4A0D-8A31-F016EE9B2516}">
  <dimension ref="A1:H20"/>
  <sheetViews>
    <sheetView workbookViewId="0">
      <selection activeCell="A2" sqref="A2:C5"/>
    </sheetView>
  </sheetViews>
  <sheetFormatPr defaultRowHeight="12.5"/>
  <cols>
    <col min="1" max="1" width="12.26953125" bestFit="1" customWidth="1"/>
    <col min="2" max="2" width="28.36328125" customWidth="1"/>
    <col min="3" max="3" width="26.54296875" customWidth="1"/>
    <col min="4" max="4" width="27.6328125" bestFit="1" customWidth="1"/>
    <col min="5" max="5" width="14.08984375" bestFit="1" customWidth="1"/>
    <col min="6" max="6" width="8" bestFit="1" customWidth="1"/>
    <col min="7" max="7" width="6.36328125" customWidth="1"/>
    <col min="8" max="8" width="29.26953125" customWidth="1"/>
  </cols>
  <sheetData>
    <row r="1" spans="1:8" ht="15.5">
      <c r="A1" s="65" t="s">
        <v>259</v>
      </c>
      <c r="E1" s="120" t="s">
        <v>258</v>
      </c>
    </row>
    <row r="2" spans="1:8" ht="16" thickBot="1">
      <c r="A2" s="184" t="s">
        <v>14</v>
      </c>
      <c r="B2" s="185" t="s">
        <v>255</v>
      </c>
      <c r="C2" s="186" t="s">
        <v>256</v>
      </c>
      <c r="E2" s="179" t="s">
        <v>13</v>
      </c>
      <c r="F2" s="131" t="s">
        <v>14</v>
      </c>
      <c r="G2" s="131" t="s">
        <v>169</v>
      </c>
      <c r="H2" s="181" t="s">
        <v>170</v>
      </c>
    </row>
    <row r="3" spans="1:8" ht="16" thickBot="1">
      <c r="A3" s="183" t="s">
        <v>20</v>
      </c>
      <c r="B3" s="117">
        <v>1.86</v>
      </c>
      <c r="C3" s="174">
        <v>0</v>
      </c>
      <c r="E3" s="178" t="s">
        <v>21</v>
      </c>
      <c r="F3" s="119" t="s">
        <v>20</v>
      </c>
      <c r="G3" s="119" t="s">
        <v>171</v>
      </c>
      <c r="H3" s="180">
        <v>1.45</v>
      </c>
    </row>
    <row r="4" spans="1:8" ht="16" thickBot="1">
      <c r="A4" s="183" t="s">
        <v>22</v>
      </c>
      <c r="B4" s="117">
        <v>1.86</v>
      </c>
      <c r="C4" s="174">
        <v>0</v>
      </c>
      <c r="E4" s="178" t="s">
        <v>21</v>
      </c>
      <c r="F4" s="119" t="s">
        <v>20</v>
      </c>
      <c r="G4" s="119" t="s">
        <v>172</v>
      </c>
      <c r="H4" s="180">
        <v>1.28</v>
      </c>
    </row>
    <row r="5" spans="1:8" ht="15.5">
      <c r="A5" s="187" t="s">
        <v>23</v>
      </c>
      <c r="B5" s="175">
        <v>2.5249999999999999</v>
      </c>
      <c r="C5" s="176">
        <v>0</v>
      </c>
      <c r="E5" s="178" t="s">
        <v>21</v>
      </c>
      <c r="F5" s="119" t="s">
        <v>22</v>
      </c>
      <c r="G5" s="119" t="s">
        <v>171</v>
      </c>
      <c r="H5" s="180">
        <v>1.49</v>
      </c>
    </row>
    <row r="6" spans="1:8" ht="15.5">
      <c r="A6" s="120" t="s">
        <v>260</v>
      </c>
      <c r="B6" s="118">
        <v>2.08</v>
      </c>
      <c r="C6" s="118">
        <v>0</v>
      </c>
      <c r="E6" s="178" t="s">
        <v>21</v>
      </c>
      <c r="F6" s="119" t="s">
        <v>22</v>
      </c>
      <c r="G6" s="119" t="s">
        <v>172</v>
      </c>
      <c r="H6" s="180">
        <v>1.28</v>
      </c>
    </row>
    <row r="7" spans="1:8" ht="15.5">
      <c r="E7" s="178" t="s">
        <v>29</v>
      </c>
      <c r="F7" s="119" t="s">
        <v>20</v>
      </c>
      <c r="G7" s="119" t="s">
        <v>171</v>
      </c>
      <c r="H7" s="180">
        <v>1.45</v>
      </c>
    </row>
    <row r="8" spans="1:8" ht="15.5">
      <c r="E8" s="178" t="s">
        <v>29</v>
      </c>
      <c r="F8" s="119" t="s">
        <v>20</v>
      </c>
      <c r="G8" s="119" t="s">
        <v>172</v>
      </c>
      <c r="H8" s="180">
        <v>1.28</v>
      </c>
    </row>
    <row r="9" spans="1:8" ht="15.5">
      <c r="E9" s="178" t="s">
        <v>29</v>
      </c>
      <c r="F9" s="119" t="s">
        <v>22</v>
      </c>
      <c r="G9" s="119" t="s">
        <v>171</v>
      </c>
      <c r="H9" s="180">
        <v>1.49</v>
      </c>
    </row>
    <row r="10" spans="1:8" ht="15.5">
      <c r="E10" s="178" t="s">
        <v>29</v>
      </c>
      <c r="F10" s="119" t="s">
        <v>22</v>
      </c>
      <c r="G10" s="119" t="s">
        <v>172</v>
      </c>
      <c r="H10" s="180">
        <v>1.28</v>
      </c>
    </row>
    <row r="11" spans="1:8" ht="15.5">
      <c r="E11" s="178" t="s">
        <v>173</v>
      </c>
      <c r="F11" s="119" t="s">
        <v>22</v>
      </c>
      <c r="G11" s="119" t="s">
        <v>171</v>
      </c>
      <c r="H11" s="180">
        <v>8.5</v>
      </c>
    </row>
    <row r="12" spans="1:8" ht="15.5">
      <c r="E12" s="178" t="s">
        <v>173</v>
      </c>
      <c r="F12" s="119" t="s">
        <v>22</v>
      </c>
      <c r="G12" s="119" t="s">
        <v>172</v>
      </c>
      <c r="H12" s="180">
        <v>0.85</v>
      </c>
    </row>
    <row r="13" spans="1:8" ht="15.5">
      <c r="E13" s="178" t="s">
        <v>174</v>
      </c>
      <c r="F13" s="119" t="s">
        <v>22</v>
      </c>
      <c r="G13" s="119" t="s">
        <v>171</v>
      </c>
      <c r="H13" s="180">
        <v>1.91</v>
      </c>
    </row>
    <row r="14" spans="1:8" ht="15.5">
      <c r="E14" s="178" t="s">
        <v>174</v>
      </c>
      <c r="F14" s="119" t="s">
        <v>22</v>
      </c>
      <c r="G14" s="119" t="s">
        <v>172</v>
      </c>
      <c r="H14" s="180">
        <v>1.7</v>
      </c>
    </row>
    <row r="15" spans="1:8" ht="15.5">
      <c r="E15" s="177" t="s">
        <v>31</v>
      </c>
      <c r="F15" s="119" t="s">
        <v>22</v>
      </c>
      <c r="G15" s="119" t="s">
        <v>175</v>
      </c>
      <c r="H15" s="180">
        <v>1.56</v>
      </c>
    </row>
    <row r="16" spans="1:8" ht="15.5">
      <c r="E16" s="178" t="s">
        <v>176</v>
      </c>
      <c r="F16" s="119" t="s">
        <v>128</v>
      </c>
      <c r="G16" s="119" t="s">
        <v>171</v>
      </c>
      <c r="H16" s="180">
        <v>10.199999999999999</v>
      </c>
    </row>
    <row r="17" spans="5:8" ht="15.5" customHeight="1">
      <c r="E17" s="178" t="s">
        <v>176</v>
      </c>
      <c r="F17" s="119" t="s">
        <v>128</v>
      </c>
      <c r="G17" s="119" t="s">
        <v>172</v>
      </c>
      <c r="H17" s="180">
        <v>6.8</v>
      </c>
    </row>
    <row r="18" spans="5:8" ht="15.5">
      <c r="E18" s="177" t="s">
        <v>177</v>
      </c>
      <c r="F18" s="119" t="s">
        <v>178</v>
      </c>
      <c r="G18" s="119" t="s">
        <v>175</v>
      </c>
      <c r="H18" s="180">
        <v>0.43</v>
      </c>
    </row>
    <row r="19" spans="5:8" ht="15.5">
      <c r="E19" s="177" t="s">
        <v>179</v>
      </c>
      <c r="F19" s="119" t="s">
        <v>22</v>
      </c>
      <c r="G19" s="119" t="s">
        <v>175</v>
      </c>
      <c r="H19" s="180">
        <v>1.28</v>
      </c>
    </row>
    <row r="20" spans="5:8" ht="15.5">
      <c r="E20" s="178" t="s">
        <v>164</v>
      </c>
      <c r="F20" s="130" t="s">
        <v>20</v>
      </c>
      <c r="G20" s="130" t="s">
        <v>175</v>
      </c>
      <c r="H20" s="182">
        <v>0.43</v>
      </c>
    </row>
  </sheetData>
  <pageMargins left="0.7" right="0.7" top="0.75" bottom="0.75" header="0.3" footer="0.3"/>
  <pageSetup orientation="portrait" horizontalDpi="4294967293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CBCE0-AA2E-48D6-892D-2A91B47BE077}">
  <dimension ref="A1:J77"/>
  <sheetViews>
    <sheetView workbookViewId="0">
      <selection activeCell="B66" sqref="B66"/>
    </sheetView>
  </sheetViews>
  <sheetFormatPr defaultRowHeight="12.5"/>
  <cols>
    <col min="1" max="1" width="21.36328125" bestFit="1" customWidth="1"/>
    <col min="2" max="2" width="30" style="191" bestFit="1" customWidth="1"/>
    <col min="3" max="3" width="19.36328125" bestFit="1" customWidth="1"/>
    <col min="4" max="4" width="10.90625" customWidth="1"/>
    <col min="5" max="5" width="16.36328125" hidden="1" customWidth="1"/>
    <col min="6" max="6" width="17.54296875" hidden="1" customWidth="1"/>
    <col min="7" max="7" width="12.26953125" hidden="1" customWidth="1"/>
    <col min="8" max="8" width="13.26953125" hidden="1" customWidth="1"/>
    <col min="9" max="11" width="0" hidden="1" customWidth="1"/>
  </cols>
  <sheetData>
    <row r="1" spans="1:10" ht="13" thickBot="1">
      <c r="A1" s="163" t="s">
        <v>112</v>
      </c>
      <c r="B1" s="133" t="s">
        <v>113</v>
      </c>
      <c r="C1" s="156" t="s">
        <v>114</v>
      </c>
      <c r="D1" s="157" t="s">
        <v>115</v>
      </c>
      <c r="E1" s="75" t="s">
        <v>50</v>
      </c>
      <c r="F1" s="75" t="s">
        <v>165</v>
      </c>
      <c r="G1" s="75" t="s">
        <v>166</v>
      </c>
      <c r="H1" s="75" t="s">
        <v>109</v>
      </c>
      <c r="I1" s="75" t="s">
        <v>110</v>
      </c>
      <c r="J1" s="75" t="s">
        <v>229</v>
      </c>
    </row>
    <row r="2" spans="1:10" ht="13" thickBot="1">
      <c r="A2" s="162" t="s">
        <v>116</v>
      </c>
      <c r="B2" s="189" t="s">
        <v>117</v>
      </c>
      <c r="C2" s="72" t="s">
        <v>118</v>
      </c>
      <c r="D2" s="188">
        <v>49</v>
      </c>
      <c r="F2">
        <f>E2*'Eilat Car Data'!$F$15</f>
        <v>0</v>
      </c>
      <c r="G2">
        <f>E2*F2</f>
        <v>0</v>
      </c>
      <c r="H2">
        <f>G2*D2</f>
        <v>0</v>
      </c>
      <c r="I2">
        <f>H2/1000</f>
        <v>0</v>
      </c>
      <c r="J2">
        <f>I2*'Tier 1 Coefficients'!$D$3</f>
        <v>0</v>
      </c>
    </row>
    <row r="3" spans="1:10" ht="13" thickBot="1">
      <c r="A3" s="162" t="s">
        <v>116</v>
      </c>
      <c r="B3" s="132" t="s">
        <v>119</v>
      </c>
      <c r="C3" s="72" t="s">
        <v>120</v>
      </c>
      <c r="D3" s="154">
        <v>65</v>
      </c>
      <c r="E3">
        <f>'2030 Projection'!G3</f>
        <v>21.702785803886897</v>
      </c>
      <c r="F3">
        <f>E3*'Eilat Car Data'!$F$15</f>
        <v>318282.51120718603</v>
      </c>
      <c r="G3">
        <f t="shared" ref="G3:G66" si="0">E3*F3</f>
        <v>6907617.1658527888</v>
      </c>
      <c r="H3">
        <f t="shared" ref="H3:H66" si="1">G3*D3</f>
        <v>448995115.78043127</v>
      </c>
      <c r="I3">
        <f t="shared" ref="I3:I66" si="2">H3/1000</f>
        <v>448995.11578043125</v>
      </c>
      <c r="J3">
        <f>I3*'Tier 1 Coefficients'!$D$3</f>
        <v>1422865.5219081866</v>
      </c>
    </row>
    <row r="4" spans="1:10" ht="13" thickBot="1">
      <c r="A4" s="162" t="s">
        <v>116</v>
      </c>
      <c r="B4" s="132" t="s">
        <v>119</v>
      </c>
      <c r="C4" s="72" t="s">
        <v>121</v>
      </c>
      <c r="D4" s="154">
        <v>56</v>
      </c>
      <c r="E4">
        <f>SUM('2030 Projection'!G4:G9)</f>
        <v>8098.2828572574017</v>
      </c>
      <c r="F4">
        <f>E4*'Eilat Car Data'!$F$15</f>
        <v>118765481.42553949</v>
      </c>
      <c r="G4">
        <f t="shared" si="0"/>
        <v>961796462262.3689</v>
      </c>
      <c r="H4">
        <f t="shared" si="1"/>
        <v>53860601886692.656</v>
      </c>
      <c r="I4">
        <f t="shared" si="2"/>
        <v>53860601886.692657</v>
      </c>
      <c r="J4">
        <f>I4*'Tier 1 Coefficients'!$D$3</f>
        <v>170684247378.92905</v>
      </c>
    </row>
    <row r="5" spans="1:10" ht="13" thickBot="1">
      <c r="A5" s="162" t="s">
        <v>116</v>
      </c>
      <c r="B5" s="132" t="s">
        <v>122</v>
      </c>
      <c r="C5" s="72" t="s">
        <v>120</v>
      </c>
      <c r="D5" s="154">
        <v>77</v>
      </c>
      <c r="E5">
        <f>'2030 Projection'!G10</f>
        <v>31.056227373005584</v>
      </c>
      <c r="F5">
        <f>E5*'Eilat Car Data'!$F$15</f>
        <v>455455.54041874467</v>
      </c>
      <c r="G5">
        <f t="shared" si="0"/>
        <v>14144730.821539668</v>
      </c>
      <c r="H5">
        <f t="shared" si="1"/>
        <v>1089144273.2585545</v>
      </c>
      <c r="I5">
        <f t="shared" si="2"/>
        <v>1089144.2732585545</v>
      </c>
      <c r="J5">
        <f>I5*'Tier 1 Coefficients'!$D$3</f>
        <v>3451498.2019563592</v>
      </c>
    </row>
    <row r="6" spans="1:10" ht="13" thickBot="1">
      <c r="A6" s="162" t="s">
        <v>116</v>
      </c>
      <c r="B6" s="132" t="s">
        <v>122</v>
      </c>
      <c r="C6" s="72" t="s">
        <v>121</v>
      </c>
      <c r="D6" s="154">
        <v>66</v>
      </c>
      <c r="E6">
        <f>SUM('2030 Projection'!G11:G16)</f>
        <v>12815.670102415928</v>
      </c>
      <c r="F6">
        <f>E6*'Eilat Car Data'!$F$15</f>
        <v>187948390.58261639</v>
      </c>
      <c r="G6">
        <f t="shared" si="0"/>
        <v>2408684569986.8281</v>
      </c>
      <c r="H6">
        <f t="shared" si="1"/>
        <v>158973181619130.66</v>
      </c>
      <c r="I6">
        <f t="shared" si="2"/>
        <v>158973181619.13065</v>
      </c>
      <c r="J6">
        <f>I6*'Tier 1 Coefficients'!$D$3</f>
        <v>503786012551.02502</v>
      </c>
    </row>
    <row r="7" spans="1:10" ht="13" thickBot="1">
      <c r="A7" s="162" t="s">
        <v>116</v>
      </c>
      <c r="B7" s="132" t="s">
        <v>123</v>
      </c>
      <c r="C7" s="72" t="s">
        <v>120</v>
      </c>
      <c r="D7" s="154">
        <v>95</v>
      </c>
      <c r="E7">
        <f>'2030 Projection'!G17</f>
        <v>36.090900164369806</v>
      </c>
      <c r="F7">
        <f>E7*'Eilat Car Data'!$F$15</f>
        <v>529291.60522729589</v>
      </c>
      <c r="G7">
        <f t="shared" si="0"/>
        <v>19102610.482097372</v>
      </c>
      <c r="H7">
        <f t="shared" si="1"/>
        <v>1814747995.7992504</v>
      </c>
      <c r="I7">
        <f t="shared" si="2"/>
        <v>1814747.9957992504</v>
      </c>
      <c r="J7">
        <f>I7*'Tier 1 Coefficients'!$D$3</f>
        <v>5750936.3986878246</v>
      </c>
    </row>
    <row r="8" spans="1:10" ht="13" thickBot="1">
      <c r="A8" s="162" t="s">
        <v>116</v>
      </c>
      <c r="B8" s="132" t="s">
        <v>123</v>
      </c>
      <c r="C8" s="72" t="s">
        <v>121</v>
      </c>
      <c r="D8" s="154">
        <v>86</v>
      </c>
      <c r="E8">
        <f>SUM('2030 Projection'!G18:G23)</f>
        <v>1313.0769028753969</v>
      </c>
      <c r="F8">
        <f>E8*'Eilat Car Data'!$F$15</f>
        <v>19256947.832959116</v>
      </c>
      <c r="G8">
        <f t="shared" si="0"/>
        <v>25285853419.335041</v>
      </c>
      <c r="H8">
        <f t="shared" si="1"/>
        <v>2174583394062.8135</v>
      </c>
      <c r="I8">
        <f t="shared" si="2"/>
        <v>2174583394.0628133</v>
      </c>
      <c r="J8">
        <f>I8*'Tier 1 Coefficients'!$D$3</f>
        <v>6891254775.7850552</v>
      </c>
    </row>
    <row r="9" spans="1:10" ht="13" thickBot="1">
      <c r="A9" s="162" t="s">
        <v>116</v>
      </c>
      <c r="B9" s="189" t="s">
        <v>124</v>
      </c>
      <c r="C9" s="72" t="s">
        <v>118</v>
      </c>
      <c r="D9" s="154">
        <v>38</v>
      </c>
      <c r="E9">
        <f>SUM('2030 Projection'!G28:G30)</f>
        <v>21.648314846329626</v>
      </c>
      <c r="F9">
        <f>E9*'Eilat Car Data'!$F$15</f>
        <v>317483.66661111196</v>
      </c>
      <c r="G9">
        <f t="shared" si="0"/>
        <v>6872986.3733645007</v>
      </c>
      <c r="H9">
        <f t="shared" si="1"/>
        <v>261173482.18785101</v>
      </c>
      <c r="I9">
        <f t="shared" si="2"/>
        <v>261173.48218785101</v>
      </c>
    </row>
    <row r="10" spans="1:10" ht="13" thickBot="1">
      <c r="A10" s="162" t="s">
        <v>116</v>
      </c>
      <c r="B10" s="190" t="s">
        <v>125</v>
      </c>
      <c r="C10" s="72" t="s">
        <v>126</v>
      </c>
      <c r="D10" s="154">
        <v>63</v>
      </c>
      <c r="E10">
        <f>'2030 Projection'!G31</f>
        <v>5.4470957557263625E-2</v>
      </c>
      <c r="F10">
        <f>E10*'Eilat Car Data'!$F$15</f>
        <v>798.8445960739698</v>
      </c>
      <c r="G10">
        <f t="shared" si="0"/>
        <v>43.513830087594613</v>
      </c>
      <c r="H10">
        <f t="shared" si="1"/>
        <v>2741.3712955184606</v>
      </c>
      <c r="I10">
        <f t="shared" si="2"/>
        <v>2.7413712955184604</v>
      </c>
    </row>
    <row r="11" spans="1:10" ht="13" thickBot="1">
      <c r="A11" s="162" t="s">
        <v>116</v>
      </c>
      <c r="B11" s="190" t="s">
        <v>125</v>
      </c>
      <c r="C11" s="72" t="s">
        <v>121</v>
      </c>
      <c r="D11" s="154">
        <v>55</v>
      </c>
      <c r="E11">
        <f>SUM('2030 Projection'!G32:G37)</f>
        <v>1444.2040608464611</v>
      </c>
      <c r="F11">
        <f>E11*'Eilat Car Data'!$F$15</f>
        <v>21179995.017022323</v>
      </c>
      <c r="G11">
        <f t="shared" si="0"/>
        <v>30588234812.291451</v>
      </c>
      <c r="H11">
        <f t="shared" si="1"/>
        <v>1682352914676.0298</v>
      </c>
      <c r="I11">
        <f t="shared" si="2"/>
        <v>1682352914.6760297</v>
      </c>
    </row>
    <row r="12" spans="1:10" ht="13" thickBot="1">
      <c r="A12" s="162" t="s">
        <v>116</v>
      </c>
      <c r="B12" s="190" t="s">
        <v>127</v>
      </c>
      <c r="C12" s="72" t="s">
        <v>126</v>
      </c>
      <c r="D12" s="154">
        <v>75</v>
      </c>
      <c r="E12">
        <f>'2030 Projection'!G38</f>
        <v>0.6925593175137803</v>
      </c>
      <c r="F12">
        <f>E12*'Eilat Car Data'!$F$15</f>
        <v>10156.738435797615</v>
      </c>
      <c r="G12">
        <f t="shared" si="0"/>
        <v>7034.1438392619766</v>
      </c>
      <c r="H12">
        <f t="shared" si="1"/>
        <v>527560.7879446483</v>
      </c>
      <c r="I12">
        <f t="shared" si="2"/>
        <v>527.56078794464827</v>
      </c>
    </row>
    <row r="13" spans="1:10" ht="13" thickBot="1">
      <c r="A13" s="162" t="s">
        <v>116</v>
      </c>
      <c r="B13" s="190" t="s">
        <v>127</v>
      </c>
      <c r="C13" s="72" t="s">
        <v>121</v>
      </c>
      <c r="D13" s="154">
        <v>73</v>
      </c>
      <c r="E13">
        <f>SUM('2030 Projection'!G39:G44)</f>
        <v>640.73409218072663</v>
      </c>
      <c r="F13">
        <f>E13*'Eilat Car Data'!$F$15</f>
        <v>9396694.8629615232</v>
      </c>
      <c r="G13">
        <f t="shared" si="0"/>
        <v>6020782752.5189495</v>
      </c>
      <c r="H13">
        <f t="shared" si="1"/>
        <v>439517140933.8833</v>
      </c>
      <c r="I13">
        <f t="shared" si="2"/>
        <v>439517140.93388331</v>
      </c>
    </row>
    <row r="14" spans="1:10" ht="13" thickBot="1">
      <c r="A14" s="162" t="s">
        <v>116</v>
      </c>
      <c r="B14" s="190" t="s">
        <v>23</v>
      </c>
      <c r="C14" s="72" t="s">
        <v>126</v>
      </c>
      <c r="D14" s="154">
        <v>59</v>
      </c>
      <c r="E14">
        <f>SUM('2030 Projection'!G45,'2030 Projection'!G58)</f>
        <v>0.20232069949840772</v>
      </c>
      <c r="F14">
        <f>E14*'Eilat Car Data'!$F$15</f>
        <v>2967.1370711318873</v>
      </c>
      <c r="G14">
        <f t="shared" si="0"/>
        <v>600.31324773906022</v>
      </c>
      <c r="H14">
        <f t="shared" si="1"/>
        <v>35418.481616604549</v>
      </c>
      <c r="I14">
        <f t="shared" si="2"/>
        <v>35.418481616604552</v>
      </c>
    </row>
    <row r="15" spans="1:10" ht="13" thickBot="1">
      <c r="A15" s="162" t="s">
        <v>116</v>
      </c>
      <c r="B15" s="190" t="s">
        <v>23</v>
      </c>
      <c r="C15" s="72" t="s">
        <v>121</v>
      </c>
      <c r="D15" s="154">
        <v>57</v>
      </c>
      <c r="E15">
        <f>SUM('2030 Projection'!G46:G57,'2030 Projection'!G59:G64)</f>
        <v>170.04276636304638</v>
      </c>
      <c r="F15">
        <f>E15*'Eilat Car Data'!$F$15</f>
        <v>2493764.5876297695</v>
      </c>
      <c r="G15">
        <f t="shared" si="0"/>
        <v>424046629.1387676</v>
      </c>
      <c r="H15">
        <f t="shared" si="1"/>
        <v>24170657860.909752</v>
      </c>
      <c r="I15">
        <f t="shared" si="2"/>
        <v>24170657.860909753</v>
      </c>
    </row>
    <row r="16" spans="1:10" ht="13" thickBot="1">
      <c r="A16" s="162" t="s">
        <v>116</v>
      </c>
      <c r="B16" s="189" t="s">
        <v>128</v>
      </c>
      <c r="C16" s="72" t="s">
        <v>126</v>
      </c>
      <c r="D16" s="154">
        <v>82</v>
      </c>
      <c r="F16">
        <f>E16*'Eilat Car Data'!$F$15</f>
        <v>0</v>
      </c>
      <c r="G16">
        <f t="shared" si="0"/>
        <v>0</v>
      </c>
      <c r="H16">
        <f t="shared" si="1"/>
        <v>0</v>
      </c>
      <c r="I16">
        <f t="shared" si="2"/>
        <v>0</v>
      </c>
      <c r="J16">
        <f>I16*'Tier 1 Coefficients'!$D$3</f>
        <v>0</v>
      </c>
    </row>
    <row r="17" spans="1:10" ht="13" thickBot="1">
      <c r="A17" s="162" t="s">
        <v>116</v>
      </c>
      <c r="B17" s="189" t="s">
        <v>129</v>
      </c>
      <c r="C17" s="72" t="s">
        <v>118</v>
      </c>
      <c r="D17" s="154">
        <v>34</v>
      </c>
      <c r="E17">
        <f>SUM('2030 Projection'!G66:G68)</f>
        <v>118.2875751182806</v>
      </c>
      <c r="F17">
        <f>E17*'Eilat Car Data'!$F$15</f>
        <v>1734748.100702916</v>
      </c>
      <c r="G17">
        <f t="shared" si="0"/>
        <v>205199146.27319077</v>
      </c>
      <c r="H17">
        <f t="shared" si="1"/>
        <v>6976770973.2884865</v>
      </c>
      <c r="I17">
        <f t="shared" si="2"/>
        <v>6976770.9732884867</v>
      </c>
      <c r="J17">
        <f>I17*'Tier 1 Coefficients'!$D$3</f>
        <v>22109387.214351214</v>
      </c>
    </row>
    <row r="18" spans="1:10" ht="13" thickBot="1">
      <c r="A18" s="162" t="s">
        <v>116</v>
      </c>
      <c r="B18" s="189" t="s">
        <v>130</v>
      </c>
      <c r="C18" s="72" t="s">
        <v>118</v>
      </c>
      <c r="D18" s="154">
        <v>34</v>
      </c>
      <c r="E18">
        <f>SUM('2030 Projection'!G70:G72)</f>
        <v>1743.148457486089</v>
      </c>
      <c r="F18">
        <f>E18*'Eilat Car Data'!$F$15</f>
        <v>25564168.280932847</v>
      </c>
      <c r="G18">
        <f t="shared" si="0"/>
        <v>44562140505.822899</v>
      </c>
      <c r="H18">
        <f t="shared" si="1"/>
        <v>1515112777197.9785</v>
      </c>
      <c r="I18">
        <f t="shared" si="2"/>
        <v>1515112777.1979785</v>
      </c>
      <c r="J18">
        <f>I18*'Tier 1 Coefficients'!$D$3</f>
        <v>4801392390.9403934</v>
      </c>
    </row>
    <row r="19" spans="1:10" ht="13" thickBot="1">
      <c r="A19" s="162" t="s">
        <v>116</v>
      </c>
      <c r="B19" s="189" t="s">
        <v>131</v>
      </c>
      <c r="C19" s="72" t="s">
        <v>118</v>
      </c>
      <c r="D19" s="154">
        <v>34</v>
      </c>
      <c r="E19">
        <f>SUM('2030 Projection'!G73:G75)</f>
        <v>252.8230587193564</v>
      </c>
      <c r="F19">
        <f>E19*'Eilat Car Data'!$F$15</f>
        <v>3707780.132349039</v>
      </c>
      <c r="G19">
        <f t="shared" si="0"/>
        <v>937412314.11934412</v>
      </c>
      <c r="H19">
        <f t="shared" si="1"/>
        <v>31872018680.057701</v>
      </c>
      <c r="I19">
        <f t="shared" si="2"/>
        <v>31872018.680057701</v>
      </c>
      <c r="J19">
        <f>I19*'Tier 1 Coefficients'!$D$3</f>
        <v>101002427.19710286</v>
      </c>
    </row>
    <row r="20" spans="1:10" ht="13" thickBot="1">
      <c r="A20" s="162" t="s">
        <v>116</v>
      </c>
      <c r="B20" s="189" t="s">
        <v>132</v>
      </c>
      <c r="C20" s="72" t="s">
        <v>133</v>
      </c>
      <c r="D20" s="154">
        <v>34</v>
      </c>
      <c r="F20">
        <f>E20*'Eilat Car Data'!$F$15</f>
        <v>0</v>
      </c>
      <c r="G20">
        <f t="shared" si="0"/>
        <v>0</v>
      </c>
      <c r="H20">
        <f t="shared" si="1"/>
        <v>0</v>
      </c>
      <c r="I20">
        <f t="shared" si="2"/>
        <v>0</v>
      </c>
      <c r="J20">
        <f>I20*'Tier 1 Coefficients'!$D$3</f>
        <v>0</v>
      </c>
    </row>
    <row r="21" spans="1:10" ht="13" thickBot="1">
      <c r="A21" s="162" t="s">
        <v>116</v>
      </c>
      <c r="B21" s="189" t="s">
        <v>134</v>
      </c>
      <c r="C21" s="72" t="s">
        <v>133</v>
      </c>
      <c r="D21" s="154">
        <v>34</v>
      </c>
      <c r="F21">
        <f>E21*'Eilat Car Data'!$F$15</f>
        <v>0</v>
      </c>
      <c r="G21">
        <f t="shared" si="0"/>
        <v>0</v>
      </c>
      <c r="H21">
        <f t="shared" si="1"/>
        <v>0</v>
      </c>
      <c r="I21">
        <f t="shared" si="2"/>
        <v>0</v>
      </c>
      <c r="J21">
        <f>I21*'Tier 1 Coefficients'!$D$3</f>
        <v>0</v>
      </c>
    </row>
    <row r="22" spans="1:10" ht="13" thickBot="1">
      <c r="A22" s="162" t="s">
        <v>116</v>
      </c>
      <c r="B22" s="189" t="s">
        <v>135</v>
      </c>
      <c r="C22" s="72" t="s">
        <v>133</v>
      </c>
      <c r="D22" s="154">
        <v>34</v>
      </c>
      <c r="F22">
        <f>E22*'Eilat Car Data'!$F$15</f>
        <v>0</v>
      </c>
      <c r="G22">
        <f t="shared" si="0"/>
        <v>0</v>
      </c>
      <c r="H22">
        <f t="shared" si="1"/>
        <v>0</v>
      </c>
      <c r="I22">
        <f t="shared" si="2"/>
        <v>0</v>
      </c>
      <c r="J22">
        <f>I22*'Tier 1 Coefficients'!$D$3</f>
        <v>0</v>
      </c>
    </row>
    <row r="23" spans="1:10" ht="13" thickBot="1">
      <c r="A23" s="162" t="s">
        <v>116</v>
      </c>
      <c r="B23" s="189" t="s">
        <v>136</v>
      </c>
      <c r="C23" s="72" t="s">
        <v>137</v>
      </c>
      <c r="D23" s="154">
        <v>73</v>
      </c>
      <c r="F23">
        <f>E23*'Eilat Car Data'!$F$15</f>
        <v>0</v>
      </c>
      <c r="G23">
        <f t="shared" si="0"/>
        <v>0</v>
      </c>
      <c r="H23">
        <f t="shared" si="1"/>
        <v>0</v>
      </c>
      <c r="I23">
        <f t="shared" si="2"/>
        <v>0</v>
      </c>
      <c r="J23">
        <f>I23*'Tier 1 Coefficients'!$D$3</f>
        <v>0</v>
      </c>
    </row>
    <row r="24" spans="1:10" ht="13" thickBot="1">
      <c r="A24" s="162" t="s">
        <v>116</v>
      </c>
      <c r="B24" s="189" t="s">
        <v>25</v>
      </c>
      <c r="C24" s="72" t="s">
        <v>118</v>
      </c>
      <c r="D24" s="154">
        <v>87</v>
      </c>
      <c r="F24">
        <f>E24*'Eilat Car Data'!$F$15</f>
        <v>0</v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10" ht="13" thickBot="1">
      <c r="A25" s="162" t="s">
        <v>116</v>
      </c>
      <c r="B25" s="189" t="s">
        <v>27</v>
      </c>
      <c r="C25" s="72" t="s">
        <v>118</v>
      </c>
      <c r="D25" s="154">
        <v>63</v>
      </c>
      <c r="F25">
        <f>E25*'Eilat Car Data'!$F$15</f>
        <v>0</v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10" ht="13" thickBot="1">
      <c r="A26" s="162" t="s">
        <v>322</v>
      </c>
      <c r="B26" s="132" t="s">
        <v>20</v>
      </c>
      <c r="C26" s="72" t="s">
        <v>126</v>
      </c>
      <c r="D26" s="154">
        <v>85</v>
      </c>
      <c r="E26">
        <f>SUM('2030 Projection'!G96,'2030 Projection'!G98,'2030 Projection'!G105,)</f>
        <v>18.156606851549753</v>
      </c>
      <c r="F26">
        <f>E26*'Eilat Car Data'!$F$16</f>
        <v>497540.63594790467</v>
      </c>
      <c r="G26">
        <f t="shared" si="0"/>
        <v>9033649.7195761483</v>
      </c>
      <c r="H26">
        <f t="shared" si="1"/>
        <v>767860226.16397262</v>
      </c>
      <c r="I26">
        <f t="shared" si="2"/>
        <v>767860.22616397263</v>
      </c>
      <c r="J26">
        <f>I26*'Tier 1 Coefficients'!$D$3</f>
        <v>2433349.0567136295</v>
      </c>
    </row>
    <row r="27" spans="1:10" ht="13" thickBot="1">
      <c r="A27" s="162" t="s">
        <v>322</v>
      </c>
      <c r="B27" s="132" t="s">
        <v>20</v>
      </c>
      <c r="C27" s="72" t="s">
        <v>121</v>
      </c>
      <c r="D27" s="154">
        <v>70</v>
      </c>
      <c r="E27">
        <f>SUM('2030 Projection'!G97,'2030 Projection'!G99:G104,'2030 Projection'!G106:G111,'2030 Projection'!G135:G138,'2030 Projection'!G155:G157)</f>
        <v>32.622725922896791</v>
      </c>
      <c r="F27">
        <f>E27*'Eilat Car Data'!$F$16</f>
        <v>893951.82341830898</v>
      </c>
      <c r="G27">
        <f t="shared" si="0"/>
        <v>29163145.323649324</v>
      </c>
      <c r="H27">
        <f t="shared" si="1"/>
        <v>2041420172.6554527</v>
      </c>
      <c r="I27">
        <f t="shared" si="2"/>
        <v>2041420.1726554527</v>
      </c>
      <c r="J27">
        <f>I27*'Tier 1 Coefficients'!$D$3</f>
        <v>6469260.5271451296</v>
      </c>
    </row>
    <row r="28" spans="1:10" ht="13" thickBot="1">
      <c r="A28" s="162" t="s">
        <v>322</v>
      </c>
      <c r="B28" s="132" t="s">
        <v>22</v>
      </c>
      <c r="C28" s="72" t="s">
        <v>126</v>
      </c>
      <c r="D28" s="154">
        <v>89</v>
      </c>
      <c r="E28">
        <f>SUM('2030 Projection'!G118,'2030 Projection'!G148)</f>
        <v>2.5006901744259005</v>
      </c>
      <c r="F28">
        <f>E28*'Eilat Car Data'!$F$16</f>
        <v>68525.743266085046</v>
      </c>
      <c r="G28">
        <f t="shared" si="0"/>
        <v>171361.65288073069</v>
      </c>
      <c r="H28">
        <f t="shared" si="1"/>
        <v>15251187.106385032</v>
      </c>
      <c r="I28">
        <f t="shared" si="2"/>
        <v>15251.187106385032</v>
      </c>
    </row>
    <row r="29" spans="1:10" ht="13" thickBot="1">
      <c r="A29" s="162" t="s">
        <v>322</v>
      </c>
      <c r="B29" s="132" t="s">
        <v>22</v>
      </c>
      <c r="C29" s="72" t="s">
        <v>121</v>
      </c>
      <c r="D29" s="154">
        <v>80</v>
      </c>
      <c r="E29">
        <f>SUM('2030 Projection'!G112:G117,'2030 Projection'!G119:G124,'2030 Projection'!G141:G147,'2030 Projection'!G149:G154,'2030 Projection'!G160:G165)</f>
        <v>821.41215925717574</v>
      </c>
      <c r="F29">
        <f>E29*'Eilat Car Data'!$F$16</f>
        <v>22508937.45916371</v>
      </c>
      <c r="G29">
        <f t="shared" si="0"/>
        <v>18489114920.916389</v>
      </c>
      <c r="H29">
        <f t="shared" si="1"/>
        <v>1479129193673.311</v>
      </c>
      <c r="I29">
        <f t="shared" si="2"/>
        <v>1479129193.673311</v>
      </c>
    </row>
    <row r="30" spans="1:10" ht="13" thickBot="1">
      <c r="A30" s="162" t="s">
        <v>357</v>
      </c>
      <c r="B30" s="189" t="s">
        <v>138</v>
      </c>
      <c r="C30" s="72" t="s">
        <v>126</v>
      </c>
      <c r="D30" s="154">
        <v>177</v>
      </c>
      <c r="E30">
        <f>SUM('2030 Projection'!G167:G173)</f>
        <v>2.612992135730849</v>
      </c>
      <c r="F30">
        <f>E30*'Eilat Car Data'!$F$6</f>
        <v>72379.88215974452</v>
      </c>
      <c r="G30">
        <f t="shared" si="0"/>
        <v>189128.06286853802</v>
      </c>
      <c r="H30">
        <f t="shared" si="1"/>
        <v>33475667.12773123</v>
      </c>
      <c r="I30">
        <f t="shared" si="2"/>
        <v>33475.667127731227</v>
      </c>
      <c r="J30">
        <f>I30*'Tier 1 Coefficients'!$D$3</f>
        <v>106084.38912778026</v>
      </c>
    </row>
    <row r="31" spans="1:10" ht="13" thickBot="1">
      <c r="A31" s="162" t="s">
        <v>357</v>
      </c>
      <c r="B31" s="132" t="s">
        <v>139</v>
      </c>
      <c r="C31" s="72" t="s">
        <v>126</v>
      </c>
      <c r="D31" s="154">
        <v>125</v>
      </c>
      <c r="F31">
        <f>E31*'Eilat Car Data'!$F$6</f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10" ht="13" thickBot="1">
      <c r="A32" s="162" t="s">
        <v>357</v>
      </c>
      <c r="B32" s="132" t="s">
        <v>139</v>
      </c>
      <c r="C32" s="72" t="s">
        <v>121</v>
      </c>
      <c r="D32" s="154">
        <v>101</v>
      </c>
      <c r="F32">
        <f>E32*'Eilat Car Data'!$F$6</f>
        <v>0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9" ht="13" thickBot="1">
      <c r="A33" s="162" t="s">
        <v>357</v>
      </c>
      <c r="B33" s="132" t="s">
        <v>140</v>
      </c>
      <c r="C33" s="72" t="s">
        <v>126</v>
      </c>
      <c r="D33" s="154">
        <v>182</v>
      </c>
      <c r="F33">
        <f>E33*'Eilat Car Data'!$F$6</f>
        <v>0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9" ht="13" thickBot="1">
      <c r="A34" s="162" t="s">
        <v>357</v>
      </c>
      <c r="B34" s="132" t="s">
        <v>140</v>
      </c>
      <c r="C34" s="72" t="s">
        <v>121</v>
      </c>
      <c r="D34" s="154">
        <v>155</v>
      </c>
      <c r="F34">
        <f>E34*'Eilat Car Data'!$F$6</f>
        <v>0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9" ht="13" thickBot="1">
      <c r="A35" s="162" t="s">
        <v>357</v>
      </c>
      <c r="B35" s="132" t="s">
        <v>141</v>
      </c>
      <c r="C35" s="72" t="s">
        <v>126</v>
      </c>
      <c r="D35" s="154">
        <v>251</v>
      </c>
      <c r="F35">
        <f>E35*'Eilat Car Data'!$F$6</f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9" ht="13" thickBot="1">
      <c r="A36" s="162" t="s">
        <v>357</v>
      </c>
      <c r="B36" s="132" t="s">
        <v>141</v>
      </c>
      <c r="C36" s="72" t="s">
        <v>121</v>
      </c>
      <c r="D36" s="154">
        <v>210</v>
      </c>
      <c r="F36">
        <f>E36*'Eilat Car Data'!$F$6</f>
        <v>0</v>
      </c>
      <c r="G36">
        <f t="shared" si="0"/>
        <v>0</v>
      </c>
      <c r="H36">
        <f t="shared" si="1"/>
        <v>0</v>
      </c>
      <c r="I36">
        <f t="shared" si="2"/>
        <v>0</v>
      </c>
    </row>
    <row r="37" spans="1:9" ht="13" thickBot="1">
      <c r="A37" s="162" t="s">
        <v>357</v>
      </c>
      <c r="B37" s="132" t="s">
        <v>142</v>
      </c>
      <c r="C37" s="72" t="s">
        <v>126</v>
      </c>
      <c r="D37" s="154">
        <v>297</v>
      </c>
      <c r="F37">
        <f>E37*'Eilat Car Data'!$F$6</f>
        <v>0</v>
      </c>
      <c r="G37">
        <f t="shared" si="0"/>
        <v>0</v>
      </c>
      <c r="H37">
        <f t="shared" si="1"/>
        <v>0</v>
      </c>
      <c r="I37">
        <f t="shared" si="2"/>
        <v>0</v>
      </c>
    </row>
    <row r="38" spans="1:9" ht="13" thickBot="1">
      <c r="A38" s="162" t="s">
        <v>357</v>
      </c>
      <c r="B38" s="132" t="s">
        <v>142</v>
      </c>
      <c r="C38" s="72" t="s">
        <v>121</v>
      </c>
      <c r="D38" s="154">
        <v>251</v>
      </c>
      <c r="F38">
        <f>E38*'Eilat Car Data'!$F$6</f>
        <v>0</v>
      </c>
      <c r="G38">
        <f t="shared" si="0"/>
        <v>0</v>
      </c>
      <c r="H38">
        <f t="shared" si="1"/>
        <v>0</v>
      </c>
      <c r="I38">
        <f t="shared" si="2"/>
        <v>0</v>
      </c>
    </row>
    <row r="39" spans="1:9" ht="13" thickBot="1">
      <c r="A39" s="162" t="s">
        <v>143</v>
      </c>
      <c r="B39" s="132" t="s">
        <v>144</v>
      </c>
      <c r="C39" s="72" t="s">
        <v>145</v>
      </c>
      <c r="D39" s="154">
        <v>555</v>
      </c>
      <c r="F39">
        <f>E39*'Eilat Car Data'!$F$8</f>
        <v>0</v>
      </c>
      <c r="G39">
        <f t="shared" si="0"/>
        <v>0</v>
      </c>
      <c r="H39">
        <f t="shared" si="1"/>
        <v>0</v>
      </c>
      <c r="I39">
        <f t="shared" si="2"/>
        <v>0</v>
      </c>
    </row>
    <row r="40" spans="1:9" ht="13" thickBot="1">
      <c r="A40" s="162" t="s">
        <v>143</v>
      </c>
      <c r="B40" s="132" t="s">
        <v>144</v>
      </c>
      <c r="C40" s="72" t="s">
        <v>146</v>
      </c>
      <c r="D40" s="154">
        <v>515</v>
      </c>
      <c r="F40">
        <f>E40*'Eilat Car Data'!$F$8</f>
        <v>0</v>
      </c>
      <c r="G40">
        <f t="shared" si="0"/>
        <v>0</v>
      </c>
      <c r="H40">
        <f t="shared" si="1"/>
        <v>0</v>
      </c>
      <c r="I40">
        <f t="shared" si="2"/>
        <v>0</v>
      </c>
    </row>
    <row r="41" spans="1:9" ht="13" thickBot="1">
      <c r="A41" s="162" t="s">
        <v>143</v>
      </c>
      <c r="B41" s="132" t="s">
        <v>144</v>
      </c>
      <c r="C41" s="72" t="s">
        <v>147</v>
      </c>
      <c r="D41" s="154">
        <v>455</v>
      </c>
      <c r="F41">
        <f>E41*'Eilat Car Data'!$F$8</f>
        <v>0</v>
      </c>
      <c r="G41">
        <f t="shared" si="0"/>
        <v>0</v>
      </c>
      <c r="H41">
        <f t="shared" si="1"/>
        <v>0</v>
      </c>
      <c r="I41">
        <f t="shared" si="2"/>
        <v>0</v>
      </c>
    </row>
    <row r="42" spans="1:9" ht="13" thickBot="1">
      <c r="A42" s="162" t="s">
        <v>143</v>
      </c>
      <c r="B42" s="132" t="s">
        <v>144</v>
      </c>
      <c r="C42" s="72" t="s">
        <v>148</v>
      </c>
      <c r="D42" s="154">
        <v>455</v>
      </c>
      <c r="F42">
        <f>E42*'Eilat Car Data'!$F$8</f>
        <v>0</v>
      </c>
      <c r="G42">
        <f t="shared" si="0"/>
        <v>0</v>
      </c>
      <c r="H42">
        <f t="shared" si="1"/>
        <v>0</v>
      </c>
      <c r="I42">
        <f t="shared" si="2"/>
        <v>0</v>
      </c>
    </row>
    <row r="43" spans="1:9" ht="13" thickBot="1">
      <c r="A43" s="162" t="s">
        <v>143</v>
      </c>
      <c r="B43" s="132" t="s">
        <v>149</v>
      </c>
      <c r="C43" s="72" t="s">
        <v>150</v>
      </c>
      <c r="D43" s="154">
        <v>366</v>
      </c>
      <c r="F43">
        <f>E43*'Eilat Car Data'!$F$8</f>
        <v>0</v>
      </c>
      <c r="G43">
        <f t="shared" si="0"/>
        <v>0</v>
      </c>
      <c r="H43">
        <f t="shared" si="1"/>
        <v>0</v>
      </c>
      <c r="I43">
        <f t="shared" si="2"/>
        <v>0</v>
      </c>
    </row>
    <row r="44" spans="1:9" ht="13" thickBot="1">
      <c r="A44" s="162" t="s">
        <v>143</v>
      </c>
      <c r="B44" s="132" t="s">
        <v>149</v>
      </c>
      <c r="C44" s="72" t="s">
        <v>151</v>
      </c>
      <c r="D44" s="154">
        <v>301</v>
      </c>
      <c r="F44">
        <f>E44*'Eilat Car Data'!$F$8</f>
        <v>0</v>
      </c>
      <c r="G44">
        <f t="shared" si="0"/>
        <v>0</v>
      </c>
      <c r="H44">
        <f t="shared" si="1"/>
        <v>0</v>
      </c>
      <c r="I44">
        <f t="shared" si="2"/>
        <v>0</v>
      </c>
    </row>
    <row r="45" spans="1:9" ht="13" thickBot="1">
      <c r="A45" s="162" t="s">
        <v>143</v>
      </c>
      <c r="B45" s="132" t="s">
        <v>152</v>
      </c>
      <c r="C45" s="72" t="s">
        <v>126</v>
      </c>
      <c r="D45" s="154">
        <v>263</v>
      </c>
      <c r="F45">
        <f>E45*'Eilat Car Data'!$F$8</f>
        <v>0</v>
      </c>
      <c r="G45">
        <f t="shared" si="0"/>
        <v>0</v>
      </c>
      <c r="H45">
        <f t="shared" si="1"/>
        <v>0</v>
      </c>
      <c r="I45">
        <f t="shared" si="2"/>
        <v>0</v>
      </c>
    </row>
    <row r="46" spans="1:9" ht="13" thickBot="1">
      <c r="A46" s="162" t="s">
        <v>143</v>
      </c>
      <c r="B46" s="132" t="s">
        <v>152</v>
      </c>
      <c r="C46" s="72" t="s">
        <v>151</v>
      </c>
      <c r="D46" s="154">
        <v>247</v>
      </c>
      <c r="F46">
        <f>E46*'Eilat Car Data'!$F$8</f>
        <v>0</v>
      </c>
      <c r="G46">
        <f t="shared" si="0"/>
        <v>0</v>
      </c>
      <c r="H46">
        <f t="shared" si="1"/>
        <v>0</v>
      </c>
      <c r="I46">
        <f t="shared" si="2"/>
        <v>0</v>
      </c>
    </row>
    <row r="47" spans="1:9" ht="13" thickBot="1">
      <c r="A47" s="162" t="s">
        <v>143</v>
      </c>
      <c r="B47" s="189" t="s">
        <v>153</v>
      </c>
      <c r="C47" s="72" t="s">
        <v>154</v>
      </c>
      <c r="D47" s="154">
        <v>225</v>
      </c>
      <c r="F47">
        <f>E47*'Eilat Car Data'!$F$8</f>
        <v>0</v>
      </c>
      <c r="G47">
        <f t="shared" si="0"/>
        <v>0</v>
      </c>
      <c r="H47">
        <f t="shared" si="1"/>
        <v>0</v>
      </c>
      <c r="I47">
        <f t="shared" si="2"/>
        <v>0</v>
      </c>
    </row>
    <row r="48" spans="1:9" ht="13" thickBot="1">
      <c r="A48" s="162" t="s">
        <v>155</v>
      </c>
      <c r="B48" s="132" t="s">
        <v>156</v>
      </c>
      <c r="C48" s="72" t="s">
        <v>126</v>
      </c>
      <c r="D48" s="154">
        <v>25</v>
      </c>
      <c r="F48">
        <f>E48*'Eilat Car Data'!$F$10</f>
        <v>0</v>
      </c>
      <c r="G48">
        <f t="shared" si="0"/>
        <v>0</v>
      </c>
      <c r="H48">
        <f t="shared" si="1"/>
        <v>0</v>
      </c>
      <c r="I48">
        <f t="shared" si="2"/>
        <v>0</v>
      </c>
    </row>
    <row r="49" spans="1:9" ht="13" thickBot="1">
      <c r="A49" s="162" t="s">
        <v>155</v>
      </c>
      <c r="B49" s="132" t="s">
        <v>367</v>
      </c>
      <c r="C49" s="72" t="s">
        <v>55</v>
      </c>
      <c r="D49" s="154">
        <v>20</v>
      </c>
      <c r="F49">
        <f>E49*'Eilat Car Data'!$F$10</f>
        <v>0</v>
      </c>
      <c r="G49">
        <f t="shared" si="0"/>
        <v>0</v>
      </c>
      <c r="H49">
        <f t="shared" si="1"/>
        <v>0</v>
      </c>
      <c r="I49">
        <f t="shared" si="2"/>
        <v>0</v>
      </c>
    </row>
    <row r="50" spans="1:9" ht="13" thickBot="1">
      <c r="A50" s="162" t="s">
        <v>155</v>
      </c>
      <c r="B50" s="190" t="s">
        <v>156</v>
      </c>
      <c r="C50" s="72" t="s">
        <v>56</v>
      </c>
      <c r="D50" s="154">
        <v>20</v>
      </c>
      <c r="F50">
        <f>E50*'Eilat Car Data'!$F$10</f>
        <v>0</v>
      </c>
      <c r="G50">
        <f t="shared" si="0"/>
        <v>0</v>
      </c>
      <c r="H50">
        <f t="shared" si="1"/>
        <v>0</v>
      </c>
      <c r="I50">
        <f t="shared" si="2"/>
        <v>0</v>
      </c>
    </row>
    <row r="51" spans="1:9" ht="13" thickBot="1">
      <c r="A51" s="162" t="s">
        <v>155</v>
      </c>
      <c r="B51" s="190" t="s">
        <v>367</v>
      </c>
      <c r="C51" s="72" t="s">
        <v>157</v>
      </c>
      <c r="D51" s="154">
        <v>20</v>
      </c>
      <c r="F51">
        <f>E51*'Eilat Car Data'!$F$10</f>
        <v>0</v>
      </c>
      <c r="G51">
        <f t="shared" si="0"/>
        <v>0</v>
      </c>
      <c r="H51">
        <f t="shared" si="1"/>
        <v>0</v>
      </c>
      <c r="I51">
        <f t="shared" si="2"/>
        <v>0</v>
      </c>
    </row>
    <row r="52" spans="1:9" ht="13" thickBot="1">
      <c r="A52" s="162" t="s">
        <v>155</v>
      </c>
      <c r="B52" s="190" t="s">
        <v>158</v>
      </c>
      <c r="C52" s="72" t="s">
        <v>126</v>
      </c>
      <c r="D52" s="154">
        <v>25</v>
      </c>
      <c r="F52">
        <f>E52*'Eilat Car Data'!$F$10</f>
        <v>0</v>
      </c>
      <c r="G52">
        <f t="shared" si="0"/>
        <v>0</v>
      </c>
      <c r="H52">
        <f t="shared" si="1"/>
        <v>0</v>
      </c>
      <c r="I52">
        <f t="shared" si="2"/>
        <v>0</v>
      </c>
    </row>
    <row r="53" spans="1:9" ht="13" thickBot="1">
      <c r="A53" s="162" t="s">
        <v>155</v>
      </c>
      <c r="B53" s="190" t="s">
        <v>364</v>
      </c>
      <c r="C53" s="72" t="s">
        <v>55</v>
      </c>
      <c r="D53" s="154">
        <v>20</v>
      </c>
      <c r="F53">
        <f>E53*'Eilat Car Data'!$F$10</f>
        <v>0</v>
      </c>
      <c r="G53">
        <f t="shared" si="0"/>
        <v>0</v>
      </c>
      <c r="H53">
        <f t="shared" si="1"/>
        <v>0</v>
      </c>
      <c r="I53">
        <f t="shared" si="2"/>
        <v>0</v>
      </c>
    </row>
    <row r="54" spans="1:9" ht="13" thickBot="1">
      <c r="A54" s="162" t="s">
        <v>155</v>
      </c>
      <c r="B54" s="190" t="s">
        <v>365</v>
      </c>
      <c r="C54" s="72" t="s">
        <v>56</v>
      </c>
      <c r="D54" s="154">
        <v>20</v>
      </c>
      <c r="F54">
        <f>E54*'Eilat Car Data'!$F$10</f>
        <v>0</v>
      </c>
      <c r="G54">
        <f t="shared" si="0"/>
        <v>0</v>
      </c>
      <c r="H54">
        <f t="shared" si="1"/>
        <v>0</v>
      </c>
      <c r="I54">
        <f t="shared" si="2"/>
        <v>0</v>
      </c>
    </row>
    <row r="55" spans="1:9" ht="13" thickBot="1">
      <c r="A55" s="162" t="s">
        <v>155</v>
      </c>
      <c r="B55" s="190" t="s">
        <v>366</v>
      </c>
      <c r="C55" s="72" t="s">
        <v>157</v>
      </c>
      <c r="D55" s="154">
        <v>20</v>
      </c>
      <c r="F55">
        <f>E55*'Eilat Car Data'!$F$10</f>
        <v>0</v>
      </c>
      <c r="G55">
        <f t="shared" si="0"/>
        <v>0</v>
      </c>
      <c r="H55">
        <f t="shared" si="1"/>
        <v>0</v>
      </c>
      <c r="I55">
        <f t="shared" si="2"/>
        <v>0</v>
      </c>
    </row>
    <row r="56" spans="1:9" ht="13" thickBot="1">
      <c r="A56" s="162" t="s">
        <v>155</v>
      </c>
      <c r="B56" s="190" t="s">
        <v>159</v>
      </c>
      <c r="C56" s="72" t="s">
        <v>126</v>
      </c>
      <c r="D56" s="154">
        <v>33</v>
      </c>
      <c r="F56">
        <f>E56*'Eilat Car Data'!$F$10</f>
        <v>0</v>
      </c>
      <c r="G56">
        <f t="shared" si="0"/>
        <v>0</v>
      </c>
      <c r="H56">
        <f t="shared" si="1"/>
        <v>0</v>
      </c>
      <c r="I56">
        <f t="shared" si="2"/>
        <v>0</v>
      </c>
    </row>
    <row r="57" spans="1:9" ht="13" thickBot="1">
      <c r="A57" s="162" t="s">
        <v>155</v>
      </c>
      <c r="B57" s="190" t="s">
        <v>361</v>
      </c>
      <c r="C57" s="72" t="s">
        <v>55</v>
      </c>
      <c r="D57" s="154">
        <v>25</v>
      </c>
      <c r="F57">
        <f>E57*'Eilat Car Data'!$F$10</f>
        <v>0</v>
      </c>
      <c r="G57">
        <f t="shared" si="0"/>
        <v>0</v>
      </c>
      <c r="H57">
        <f t="shared" si="1"/>
        <v>0</v>
      </c>
      <c r="I57">
        <f t="shared" si="2"/>
        <v>0</v>
      </c>
    </row>
    <row r="58" spans="1:9" ht="13" thickBot="1">
      <c r="A58" s="162" t="s">
        <v>155</v>
      </c>
      <c r="B58" s="190" t="s">
        <v>362</v>
      </c>
      <c r="C58" s="72" t="s">
        <v>56</v>
      </c>
      <c r="D58" s="154">
        <v>23</v>
      </c>
      <c r="F58">
        <f>E58*'Eilat Car Data'!$F$10</f>
        <v>0</v>
      </c>
      <c r="G58">
        <f t="shared" si="0"/>
        <v>0</v>
      </c>
      <c r="H58">
        <f t="shared" si="1"/>
        <v>0</v>
      </c>
      <c r="I58">
        <f t="shared" si="2"/>
        <v>0</v>
      </c>
    </row>
    <row r="59" spans="1:9" ht="13" thickBot="1">
      <c r="A59" s="162" t="s">
        <v>155</v>
      </c>
      <c r="B59" s="190" t="s">
        <v>363</v>
      </c>
      <c r="C59" s="72" t="s">
        <v>157</v>
      </c>
      <c r="D59" s="154">
        <v>17</v>
      </c>
      <c r="F59">
        <f>E59*'Eilat Car Data'!$F$10</f>
        <v>0</v>
      </c>
      <c r="G59">
        <f t="shared" si="0"/>
        <v>0</v>
      </c>
      <c r="H59">
        <f t="shared" si="1"/>
        <v>0</v>
      </c>
      <c r="I59">
        <f t="shared" si="2"/>
        <v>0</v>
      </c>
    </row>
    <row r="60" spans="1:9" ht="13" thickBot="1">
      <c r="A60" s="162" t="s">
        <v>155</v>
      </c>
      <c r="B60" s="190" t="s">
        <v>160</v>
      </c>
      <c r="C60" s="72" t="s">
        <v>126</v>
      </c>
      <c r="D60" s="154">
        <v>32</v>
      </c>
      <c r="F60">
        <f>E60*'Eilat Car Data'!$F$10</f>
        <v>0</v>
      </c>
      <c r="G60">
        <f t="shared" si="0"/>
        <v>0</v>
      </c>
      <c r="H60">
        <f t="shared" si="1"/>
        <v>0</v>
      </c>
      <c r="I60">
        <f t="shared" si="2"/>
        <v>0</v>
      </c>
    </row>
    <row r="61" spans="1:9" ht="13" thickBot="1">
      <c r="A61" s="162" t="s">
        <v>155</v>
      </c>
      <c r="B61" s="190" t="s">
        <v>360</v>
      </c>
      <c r="C61" s="72" t="s">
        <v>121</v>
      </c>
      <c r="D61" s="154">
        <v>36</v>
      </c>
      <c r="F61">
        <f>E61*'Eilat Car Data'!$F$10</f>
        <v>0</v>
      </c>
      <c r="G61">
        <f t="shared" si="0"/>
        <v>0</v>
      </c>
      <c r="H61">
        <f t="shared" si="1"/>
        <v>0</v>
      </c>
      <c r="I61">
        <f t="shared" si="2"/>
        <v>0</v>
      </c>
    </row>
    <row r="62" spans="1:9" ht="13" thickBot="1">
      <c r="A62" s="162" t="s">
        <v>155</v>
      </c>
      <c r="B62" s="190" t="s">
        <v>161</v>
      </c>
      <c r="C62" s="72" t="s">
        <v>126</v>
      </c>
      <c r="D62" s="154">
        <v>37</v>
      </c>
      <c r="F62">
        <f>E62*'Eilat Car Data'!$F$10</f>
        <v>0</v>
      </c>
      <c r="G62">
        <f t="shared" si="0"/>
        <v>0</v>
      </c>
      <c r="H62">
        <f t="shared" si="1"/>
        <v>0</v>
      </c>
      <c r="I62">
        <f t="shared" si="2"/>
        <v>0</v>
      </c>
    </row>
    <row r="63" spans="1:9" ht="13" thickBot="1">
      <c r="A63" s="162" t="s">
        <v>155</v>
      </c>
      <c r="B63" s="190" t="s">
        <v>359</v>
      </c>
      <c r="C63" s="72" t="s">
        <v>121</v>
      </c>
      <c r="D63" s="154">
        <v>36</v>
      </c>
      <c r="F63">
        <f>E63*'Eilat Car Data'!$F$10</f>
        <v>0</v>
      </c>
      <c r="G63">
        <f t="shared" si="0"/>
        <v>0</v>
      </c>
      <c r="H63">
        <f t="shared" si="1"/>
        <v>0</v>
      </c>
      <c r="I63">
        <f t="shared" si="2"/>
        <v>0</v>
      </c>
    </row>
    <row r="64" spans="1:9" ht="13" thickBot="1">
      <c r="A64" s="162" t="s">
        <v>155</v>
      </c>
      <c r="B64" s="190" t="s">
        <v>162</v>
      </c>
      <c r="C64" s="72" t="s">
        <v>126</v>
      </c>
      <c r="D64" s="154">
        <v>45</v>
      </c>
      <c r="F64">
        <f>E64*'Eilat Car Data'!$F$10</f>
        <v>0</v>
      </c>
      <c r="G64">
        <f t="shared" si="0"/>
        <v>0</v>
      </c>
      <c r="H64">
        <f t="shared" si="1"/>
        <v>0</v>
      </c>
      <c r="I64">
        <f t="shared" si="2"/>
        <v>0</v>
      </c>
    </row>
    <row r="65" spans="1:9" ht="13" thickBot="1">
      <c r="A65" s="162" t="s">
        <v>155</v>
      </c>
      <c r="B65" s="190" t="s">
        <v>358</v>
      </c>
      <c r="C65" s="72" t="s">
        <v>121</v>
      </c>
      <c r="D65" s="154">
        <v>46</v>
      </c>
      <c r="F65">
        <f>E65*'Eilat Car Data'!$F$10</f>
        <v>0</v>
      </c>
      <c r="G65">
        <f t="shared" si="0"/>
        <v>0</v>
      </c>
      <c r="H65">
        <f t="shared" si="1"/>
        <v>0</v>
      </c>
      <c r="I65">
        <f t="shared" si="2"/>
        <v>0</v>
      </c>
    </row>
    <row r="66" spans="1:9" ht="13" thickBot="1">
      <c r="A66" s="162" t="s">
        <v>155</v>
      </c>
      <c r="B66" s="132" t="s">
        <v>163</v>
      </c>
      <c r="C66" s="72" t="s">
        <v>126</v>
      </c>
      <c r="D66" s="154">
        <v>34</v>
      </c>
      <c r="F66" s="65" t="s">
        <v>228</v>
      </c>
      <c r="G66" t="e">
        <f t="shared" si="0"/>
        <v>#VALUE!</v>
      </c>
      <c r="H66" t="e">
        <f t="shared" si="1"/>
        <v>#VALUE!</v>
      </c>
      <c r="I66" t="e">
        <f t="shared" si="2"/>
        <v>#VALUE!</v>
      </c>
    </row>
    <row r="67" spans="1:9" ht="13" thickBot="1">
      <c r="A67" s="162" t="s">
        <v>155</v>
      </c>
      <c r="B67" s="132" t="s">
        <v>163</v>
      </c>
      <c r="C67" s="72" t="s">
        <v>55</v>
      </c>
      <c r="D67" s="154">
        <v>30</v>
      </c>
      <c r="F67" s="65" t="s">
        <v>228</v>
      </c>
      <c r="G67" t="e">
        <f t="shared" ref="G67:G77" si="3">E67*F67</f>
        <v>#VALUE!</v>
      </c>
      <c r="H67" t="e">
        <f t="shared" ref="H67:H77" si="4">G67*D67</f>
        <v>#VALUE!</v>
      </c>
      <c r="I67" t="e">
        <f t="shared" ref="I67:I77" si="5">H67/1000</f>
        <v>#VALUE!</v>
      </c>
    </row>
    <row r="68" spans="1:9" ht="13" thickBot="1">
      <c r="A68" s="162" t="s">
        <v>155</v>
      </c>
      <c r="B68" s="132" t="s">
        <v>163</v>
      </c>
      <c r="C68" s="72" t="s">
        <v>56</v>
      </c>
      <c r="D68" s="154">
        <v>30</v>
      </c>
      <c r="F68" s="65" t="s">
        <v>228</v>
      </c>
      <c r="G68" t="e">
        <f t="shared" si="3"/>
        <v>#VALUE!</v>
      </c>
      <c r="H68" t="e">
        <f t="shared" si="4"/>
        <v>#VALUE!</v>
      </c>
      <c r="I68" t="e">
        <f t="shared" si="5"/>
        <v>#VALUE!</v>
      </c>
    </row>
    <row r="69" spans="1:9" ht="13" thickBot="1">
      <c r="A69" s="162" t="s">
        <v>155</v>
      </c>
      <c r="B69" s="132" t="s">
        <v>163</v>
      </c>
      <c r="C69" s="72" t="s">
        <v>57</v>
      </c>
      <c r="D69" s="154">
        <v>30</v>
      </c>
      <c r="F69" s="65" t="s">
        <v>228</v>
      </c>
      <c r="G69" t="e">
        <f t="shared" si="3"/>
        <v>#VALUE!</v>
      </c>
      <c r="H69" t="e">
        <f t="shared" si="4"/>
        <v>#VALUE!</v>
      </c>
      <c r="I69" t="e">
        <f t="shared" si="5"/>
        <v>#VALUE!</v>
      </c>
    </row>
    <row r="70" spans="1:9" ht="13" thickBot="1">
      <c r="A70" s="162" t="s">
        <v>155</v>
      </c>
      <c r="B70" s="132" t="s">
        <v>163</v>
      </c>
      <c r="C70" s="72" t="s">
        <v>58</v>
      </c>
      <c r="D70" s="154">
        <v>27</v>
      </c>
      <c r="F70" s="65" t="s">
        <v>228</v>
      </c>
      <c r="G70" t="e">
        <f t="shared" si="3"/>
        <v>#VALUE!</v>
      </c>
      <c r="H70" t="e">
        <f t="shared" si="4"/>
        <v>#VALUE!</v>
      </c>
      <c r="I70" t="e">
        <f t="shared" si="5"/>
        <v>#VALUE!</v>
      </c>
    </row>
    <row r="71" spans="1:9" ht="13" thickBot="1">
      <c r="A71" s="162" t="s">
        <v>155</v>
      </c>
      <c r="B71" s="132" t="s">
        <v>163</v>
      </c>
      <c r="C71" s="72" t="s">
        <v>59</v>
      </c>
      <c r="D71" s="154">
        <v>27</v>
      </c>
      <c r="F71" s="65" t="s">
        <v>228</v>
      </c>
      <c r="G71" t="e">
        <f t="shared" si="3"/>
        <v>#VALUE!</v>
      </c>
      <c r="H71" t="e">
        <f t="shared" si="4"/>
        <v>#VALUE!</v>
      </c>
      <c r="I71" t="e">
        <f t="shared" si="5"/>
        <v>#VALUE!</v>
      </c>
    </row>
    <row r="72" spans="1:9" ht="13" thickBot="1">
      <c r="A72" s="162" t="s">
        <v>155</v>
      </c>
      <c r="B72" s="132" t="s">
        <v>164</v>
      </c>
      <c r="C72" s="72" t="s">
        <v>126</v>
      </c>
      <c r="D72" s="154">
        <v>47</v>
      </c>
      <c r="F72" s="65" t="s">
        <v>228</v>
      </c>
      <c r="G72" t="e">
        <f t="shared" si="3"/>
        <v>#VALUE!</v>
      </c>
      <c r="H72" t="e">
        <f t="shared" si="4"/>
        <v>#VALUE!</v>
      </c>
      <c r="I72" t="e">
        <f t="shared" si="5"/>
        <v>#VALUE!</v>
      </c>
    </row>
    <row r="73" spans="1:9" ht="13" thickBot="1">
      <c r="A73" s="162" t="s">
        <v>155</v>
      </c>
      <c r="B73" s="132" t="s">
        <v>164</v>
      </c>
      <c r="C73" s="72" t="s">
        <v>55</v>
      </c>
      <c r="D73" s="154">
        <v>41</v>
      </c>
      <c r="F73" s="65" t="s">
        <v>228</v>
      </c>
      <c r="G73" t="e">
        <f t="shared" si="3"/>
        <v>#VALUE!</v>
      </c>
      <c r="H73" t="e">
        <f t="shared" si="4"/>
        <v>#VALUE!</v>
      </c>
      <c r="I73" t="e">
        <f t="shared" si="5"/>
        <v>#VALUE!</v>
      </c>
    </row>
    <row r="74" spans="1:9" ht="13" thickBot="1">
      <c r="A74" s="162" t="s">
        <v>155</v>
      </c>
      <c r="B74" s="132" t="s">
        <v>164</v>
      </c>
      <c r="C74" s="72" t="s">
        <v>56</v>
      </c>
      <c r="D74" s="154">
        <v>41</v>
      </c>
      <c r="F74" s="65" t="s">
        <v>228</v>
      </c>
      <c r="G74" t="e">
        <f t="shared" si="3"/>
        <v>#VALUE!</v>
      </c>
      <c r="H74" t="e">
        <f t="shared" si="4"/>
        <v>#VALUE!</v>
      </c>
      <c r="I74" t="e">
        <f t="shared" si="5"/>
        <v>#VALUE!</v>
      </c>
    </row>
    <row r="75" spans="1:9" ht="13" thickBot="1">
      <c r="A75" s="162" t="s">
        <v>155</v>
      </c>
      <c r="B75" s="132" t="s">
        <v>164</v>
      </c>
      <c r="C75" s="72" t="s">
        <v>57</v>
      </c>
      <c r="D75" s="154">
        <v>41</v>
      </c>
      <c r="F75" s="65" t="s">
        <v>228</v>
      </c>
      <c r="G75" t="e">
        <f t="shared" si="3"/>
        <v>#VALUE!</v>
      </c>
      <c r="H75" t="e">
        <f t="shared" si="4"/>
        <v>#VALUE!</v>
      </c>
      <c r="I75" t="e">
        <f t="shared" si="5"/>
        <v>#VALUE!</v>
      </c>
    </row>
    <row r="76" spans="1:9" ht="13" thickBot="1">
      <c r="A76" s="162" t="s">
        <v>155</v>
      </c>
      <c r="B76" s="132" t="s">
        <v>164</v>
      </c>
      <c r="C76" s="72" t="s">
        <v>58</v>
      </c>
      <c r="D76" s="154">
        <v>40</v>
      </c>
      <c r="F76" s="65" t="s">
        <v>228</v>
      </c>
      <c r="G76" t="e">
        <f t="shared" si="3"/>
        <v>#VALUE!</v>
      </c>
      <c r="H76" t="e">
        <f t="shared" si="4"/>
        <v>#VALUE!</v>
      </c>
      <c r="I76" t="e">
        <f t="shared" si="5"/>
        <v>#VALUE!</v>
      </c>
    </row>
    <row r="77" spans="1:9">
      <c r="A77" s="162" t="s">
        <v>155</v>
      </c>
      <c r="B77" s="132" t="s">
        <v>164</v>
      </c>
      <c r="C77" s="159" t="s">
        <v>59</v>
      </c>
      <c r="D77" s="160">
        <v>40</v>
      </c>
      <c r="F77" s="65" t="s">
        <v>228</v>
      </c>
      <c r="G77" t="e">
        <f t="shared" si="3"/>
        <v>#VALUE!</v>
      </c>
      <c r="H77" t="e">
        <f t="shared" si="4"/>
        <v>#VALUE!</v>
      </c>
      <c r="I77" t="e">
        <f t="shared" si="5"/>
        <v>#VALUE!</v>
      </c>
    </row>
  </sheetData>
  <phoneticPr fontId="15" type="noConversion"/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47"/>
  <sheetViews>
    <sheetView workbookViewId="0">
      <selection activeCell="G41" sqref="G41"/>
    </sheetView>
  </sheetViews>
  <sheetFormatPr defaultColWidth="12.6328125" defaultRowHeight="15.75" customHeight="1"/>
  <cols>
    <col min="7" max="7" width="13.6328125" customWidth="1"/>
    <col min="8" max="10" width="12.6328125" customWidth="1"/>
  </cols>
  <sheetData>
    <row r="1" spans="1:9" ht="15.75" customHeight="1">
      <c r="A1" s="145" t="s">
        <v>13</v>
      </c>
      <c r="B1" s="145" t="s">
        <v>14</v>
      </c>
      <c r="C1" s="148" t="s">
        <v>15</v>
      </c>
      <c r="D1" s="149"/>
      <c r="E1" s="150"/>
      <c r="G1" s="145" t="s">
        <v>13</v>
      </c>
      <c r="H1" s="139" t="s">
        <v>14</v>
      </c>
      <c r="I1" s="12" t="s">
        <v>16</v>
      </c>
    </row>
    <row r="2" spans="1:9" ht="15.75" customHeight="1" thickTop="1" thickBot="1">
      <c r="A2" s="147"/>
      <c r="B2" s="147"/>
      <c r="C2" s="141" t="s">
        <v>17</v>
      </c>
      <c r="D2" s="142"/>
      <c r="E2" s="143"/>
      <c r="G2" s="147"/>
      <c r="H2" s="140"/>
      <c r="I2" s="13" t="s">
        <v>18</v>
      </c>
    </row>
    <row r="3" spans="1:9" ht="15.75" customHeight="1" thickTop="1">
      <c r="A3" s="139" t="s">
        <v>19</v>
      </c>
      <c r="B3" s="14" t="s">
        <v>20</v>
      </c>
      <c r="C3" s="15"/>
      <c r="D3" s="16">
        <v>3.169</v>
      </c>
      <c r="E3" s="17"/>
      <c r="G3" s="139" t="s">
        <v>21</v>
      </c>
      <c r="H3" s="18" t="s">
        <v>20</v>
      </c>
      <c r="I3" s="19">
        <v>70</v>
      </c>
    </row>
    <row r="4" spans="1:9" ht="15.75" customHeight="1">
      <c r="A4" s="144"/>
      <c r="B4" s="20" t="s">
        <v>22</v>
      </c>
      <c r="C4" s="21"/>
      <c r="D4" s="1">
        <v>3.169</v>
      </c>
      <c r="E4" s="22"/>
      <c r="G4" s="144"/>
      <c r="H4" s="23" t="s">
        <v>22</v>
      </c>
      <c r="I4" s="24">
        <v>60</v>
      </c>
    </row>
    <row r="5" spans="1:9" ht="15.75" customHeight="1">
      <c r="A5" s="144"/>
      <c r="B5" s="20" t="s">
        <v>23</v>
      </c>
      <c r="C5" s="21"/>
      <c r="D5" s="1">
        <v>3.024</v>
      </c>
      <c r="E5" s="22"/>
      <c r="G5" s="144"/>
      <c r="H5" s="25" t="s">
        <v>23</v>
      </c>
      <c r="I5" s="24">
        <v>57.5</v>
      </c>
    </row>
    <row r="6" spans="1:9" ht="15.75" customHeight="1">
      <c r="A6" s="144"/>
      <c r="B6" s="20" t="s">
        <v>24</v>
      </c>
      <c r="C6" s="21"/>
      <c r="D6" s="1">
        <v>2.7429999999999999</v>
      </c>
      <c r="E6" s="22"/>
      <c r="G6" s="144"/>
      <c r="H6" s="25" t="s">
        <v>25</v>
      </c>
      <c r="I6" s="24">
        <v>86.5</v>
      </c>
    </row>
    <row r="7" spans="1:9" ht="15.75" customHeight="1" thickBot="1">
      <c r="A7" s="144"/>
      <c r="B7" s="20" t="s">
        <v>26</v>
      </c>
      <c r="C7" s="21"/>
      <c r="D7" s="1">
        <v>3.0630000000000002</v>
      </c>
      <c r="E7" s="22"/>
      <c r="G7" s="140"/>
      <c r="H7" s="26" t="s">
        <v>27</v>
      </c>
      <c r="I7" s="27">
        <v>34.200000000000003</v>
      </c>
    </row>
    <row r="8" spans="1:9" ht="15.75" customHeight="1" thickTop="1">
      <c r="A8" s="144"/>
      <c r="B8" s="20" t="s">
        <v>28</v>
      </c>
      <c r="C8" s="28"/>
      <c r="D8" s="1">
        <v>2964</v>
      </c>
      <c r="E8" s="22"/>
      <c r="G8" s="139" t="s">
        <v>29</v>
      </c>
      <c r="H8" s="18" t="s">
        <v>20</v>
      </c>
      <c r="I8" s="19">
        <v>100</v>
      </c>
    </row>
    <row r="9" spans="1:9" ht="15.75" customHeight="1" thickBot="1">
      <c r="A9" s="144"/>
      <c r="B9" s="20" t="s">
        <v>25</v>
      </c>
      <c r="C9" s="21"/>
      <c r="D9" s="1">
        <v>2.0259999999999998</v>
      </c>
      <c r="E9" s="22"/>
      <c r="G9" s="140"/>
      <c r="H9" s="26" t="s">
        <v>22</v>
      </c>
      <c r="I9" s="27">
        <v>80</v>
      </c>
    </row>
    <row r="10" spans="1:9" ht="15.75" customHeight="1" thickTop="1">
      <c r="A10" s="144"/>
      <c r="B10" s="29" t="s">
        <v>30</v>
      </c>
      <c r="C10" s="30"/>
      <c r="D10" s="31">
        <v>3.0939999999999999</v>
      </c>
      <c r="E10" s="32"/>
      <c r="G10" s="139" t="s">
        <v>31</v>
      </c>
      <c r="H10" s="18" t="s">
        <v>22</v>
      </c>
      <c r="I10" s="19">
        <v>240</v>
      </c>
    </row>
    <row r="11" spans="1:9" ht="15.75" customHeight="1" thickBot="1">
      <c r="A11" s="140"/>
      <c r="B11" s="33" t="s">
        <v>32</v>
      </c>
      <c r="C11" s="34"/>
      <c r="D11" s="35">
        <v>3.0209999999999999</v>
      </c>
      <c r="E11" s="36"/>
      <c r="G11" s="140"/>
      <c r="H11" s="25" t="s">
        <v>33</v>
      </c>
      <c r="I11" s="37">
        <v>500</v>
      </c>
    </row>
    <row r="12" spans="1:9" ht="15.75" customHeight="1" thickTop="1" thickBot="1">
      <c r="G12" s="38" t="s">
        <v>34</v>
      </c>
      <c r="H12" s="39" t="s">
        <v>20</v>
      </c>
      <c r="I12" s="40">
        <v>35</v>
      </c>
    </row>
    <row r="13" spans="1:9" ht="15.75" customHeight="1">
      <c r="A13" s="145" t="s">
        <v>13</v>
      </c>
      <c r="B13" s="145" t="s">
        <v>14</v>
      </c>
      <c r="C13" s="148" t="s">
        <v>35</v>
      </c>
      <c r="D13" s="149"/>
      <c r="E13" s="150"/>
    </row>
    <row r="14" spans="1:9" ht="15.75" customHeight="1">
      <c r="A14" s="146"/>
      <c r="B14" s="146"/>
      <c r="C14" s="148" t="s">
        <v>36</v>
      </c>
      <c r="D14" s="149"/>
      <c r="E14" s="150"/>
    </row>
    <row r="15" spans="1:9" ht="15.75" customHeight="1">
      <c r="A15" s="147"/>
      <c r="B15" s="147"/>
      <c r="C15" s="41" t="s">
        <v>37</v>
      </c>
      <c r="D15" s="41" t="s">
        <v>38</v>
      </c>
      <c r="E15" s="41" t="s">
        <v>39</v>
      </c>
    </row>
    <row r="16" spans="1:9" ht="15.75" customHeight="1">
      <c r="A16" s="139" t="s">
        <v>21</v>
      </c>
      <c r="B16" s="18" t="s">
        <v>20</v>
      </c>
      <c r="C16" s="18">
        <v>8.84</v>
      </c>
      <c r="D16" s="18">
        <v>7.83</v>
      </c>
      <c r="E16" s="19">
        <v>9.89</v>
      </c>
    </row>
    <row r="17" spans="1:5" ht="15.75" customHeight="1">
      <c r="A17" s="144"/>
      <c r="B17" s="23" t="s">
        <v>22</v>
      </c>
      <c r="C17" s="23">
        <v>8.74</v>
      </c>
      <c r="D17" s="23">
        <v>8.01</v>
      </c>
      <c r="E17" s="24">
        <v>11.3</v>
      </c>
    </row>
    <row r="18" spans="1:5" ht="15.75" customHeight="1">
      <c r="A18" s="140"/>
      <c r="B18" s="26" t="s">
        <v>23</v>
      </c>
      <c r="C18" s="26">
        <v>8.84</v>
      </c>
      <c r="D18" s="26">
        <v>7.83</v>
      </c>
      <c r="E18" s="27">
        <v>9.89</v>
      </c>
    </row>
    <row r="19" spans="1:5" ht="15.75" customHeight="1">
      <c r="A19" s="139" t="s">
        <v>29</v>
      </c>
      <c r="B19" s="18" t="s">
        <v>20</v>
      </c>
      <c r="C19" s="18">
        <v>6.07</v>
      </c>
      <c r="D19" s="18">
        <v>4.76</v>
      </c>
      <c r="E19" s="19">
        <v>7.28</v>
      </c>
    </row>
    <row r="20" spans="1:5" ht="15.75" customHeight="1">
      <c r="A20" s="140"/>
      <c r="B20" s="26" t="s">
        <v>22</v>
      </c>
      <c r="C20" s="26">
        <v>6.41</v>
      </c>
      <c r="D20" s="26">
        <v>5.41</v>
      </c>
      <c r="E20" s="27">
        <v>7.72</v>
      </c>
    </row>
    <row r="21" spans="1:5" ht="15.75" customHeight="1">
      <c r="A21" s="139" t="s">
        <v>31</v>
      </c>
      <c r="B21" s="18" t="s">
        <v>22</v>
      </c>
      <c r="C21" s="18">
        <v>2.54</v>
      </c>
      <c r="D21" s="18">
        <v>1.99</v>
      </c>
      <c r="E21" s="19">
        <v>3.32</v>
      </c>
    </row>
    <row r="22" spans="1:5" ht="12.5">
      <c r="A22" s="140"/>
      <c r="B22" s="26" t="s">
        <v>33</v>
      </c>
      <c r="C22" s="26">
        <v>3.31</v>
      </c>
      <c r="D22" s="26">
        <v>3.09</v>
      </c>
      <c r="E22" s="42">
        <v>3.5</v>
      </c>
    </row>
    <row r="23" spans="1:5" ht="12.5">
      <c r="A23" s="43" t="s">
        <v>34</v>
      </c>
      <c r="B23" s="39" t="s">
        <v>20</v>
      </c>
      <c r="C23" s="39">
        <v>53.8</v>
      </c>
      <c r="D23" s="39">
        <v>33.299999999999997</v>
      </c>
      <c r="E23" s="40">
        <v>110</v>
      </c>
    </row>
    <row r="25" spans="1:5" ht="12.5">
      <c r="A25" s="145" t="s">
        <v>13</v>
      </c>
      <c r="B25" s="145" t="s">
        <v>14</v>
      </c>
      <c r="C25" s="148" t="s">
        <v>40</v>
      </c>
      <c r="D25" s="149"/>
      <c r="E25" s="150"/>
    </row>
    <row r="26" spans="1:5" ht="12.5">
      <c r="A26" s="146"/>
      <c r="B26" s="146"/>
      <c r="C26" s="148"/>
      <c r="D26" s="149"/>
      <c r="E26" s="150"/>
    </row>
    <row r="27" spans="1:5" ht="12.5">
      <c r="A27" s="147"/>
      <c r="B27" s="147"/>
      <c r="C27" s="41" t="s">
        <v>37</v>
      </c>
      <c r="D27" s="41" t="s">
        <v>38</v>
      </c>
      <c r="E27" s="41" t="s">
        <v>39</v>
      </c>
    </row>
    <row r="28" spans="1:5" ht="12.5">
      <c r="A28" s="139" t="s">
        <v>21</v>
      </c>
      <c r="B28" s="18" t="s">
        <v>20</v>
      </c>
      <c r="C28" s="18"/>
      <c r="D28" s="18"/>
      <c r="E28" s="19"/>
    </row>
    <row r="29" spans="1:5" ht="12.5">
      <c r="A29" s="144"/>
      <c r="B29" s="23" t="s">
        <v>22</v>
      </c>
      <c r="C29" s="23"/>
      <c r="D29" s="23"/>
      <c r="E29" s="24"/>
    </row>
    <row r="30" spans="1:5" ht="12.5">
      <c r="A30" s="140"/>
      <c r="B30" s="26" t="s">
        <v>23</v>
      </c>
      <c r="C30" s="26"/>
      <c r="D30" s="26"/>
      <c r="E30" s="27"/>
    </row>
    <row r="31" spans="1:5" ht="12.5">
      <c r="A31" s="139" t="s">
        <v>29</v>
      </c>
      <c r="B31" s="18" t="s">
        <v>20</v>
      </c>
      <c r="C31" s="18"/>
      <c r="D31" s="18"/>
      <c r="E31" s="19"/>
    </row>
    <row r="32" spans="1:5" ht="12.5">
      <c r="A32" s="140"/>
      <c r="B32" s="26" t="s">
        <v>22</v>
      </c>
      <c r="C32" s="26"/>
      <c r="D32" s="26"/>
      <c r="E32" s="27"/>
    </row>
    <row r="33" spans="1:5" ht="12.5">
      <c r="A33" s="139" t="s">
        <v>31</v>
      </c>
      <c r="B33" s="18" t="s">
        <v>22</v>
      </c>
      <c r="C33" s="18"/>
      <c r="D33" s="18"/>
      <c r="E33" s="19"/>
    </row>
    <row r="34" spans="1:5" ht="12.5">
      <c r="A34" s="140"/>
      <c r="B34" s="26" t="s">
        <v>33</v>
      </c>
      <c r="C34" s="26"/>
      <c r="D34" s="26"/>
      <c r="E34" s="27"/>
    </row>
    <row r="35" spans="1:5" ht="12.5">
      <c r="A35" s="43" t="s">
        <v>34</v>
      </c>
      <c r="B35" s="39" t="s">
        <v>20</v>
      </c>
      <c r="C35" s="39"/>
      <c r="D35" s="39"/>
      <c r="E35" s="40"/>
    </row>
    <row r="37" spans="1:5" ht="12.5">
      <c r="A37" s="145" t="s">
        <v>13</v>
      </c>
      <c r="B37" s="145" t="s">
        <v>14</v>
      </c>
      <c r="C37" s="148" t="s">
        <v>41</v>
      </c>
      <c r="D37" s="149"/>
      <c r="E37" s="150"/>
    </row>
    <row r="38" spans="1:5" ht="12.5">
      <c r="A38" s="146"/>
      <c r="B38" s="146"/>
      <c r="C38" s="148" t="s">
        <v>42</v>
      </c>
      <c r="D38" s="149"/>
      <c r="E38" s="150"/>
    </row>
    <row r="39" spans="1:5" ht="12.5">
      <c r="A39" s="147"/>
      <c r="B39" s="147"/>
      <c r="C39" s="41" t="s">
        <v>37</v>
      </c>
      <c r="D39" s="41" t="s">
        <v>38</v>
      </c>
      <c r="E39" s="41" t="s">
        <v>39</v>
      </c>
    </row>
    <row r="40" spans="1:5" ht="12.5">
      <c r="A40" s="139" t="s">
        <v>21</v>
      </c>
      <c r="B40" s="18" t="s">
        <v>20</v>
      </c>
      <c r="C40" s="18">
        <v>0.20599999999999999</v>
      </c>
      <c r="D40" s="18">
        <v>0.13300000000000001</v>
      </c>
      <c r="E40" s="44">
        <v>0.32</v>
      </c>
    </row>
    <row r="41" spans="1:5" ht="12.5">
      <c r="A41" s="144"/>
      <c r="B41" s="23" t="s">
        <v>22</v>
      </c>
      <c r="C41" s="23">
        <v>8.6999999999999994E-2</v>
      </c>
      <c r="D41" s="23">
        <v>4.3999999999999997E-2</v>
      </c>
      <c r="E41" s="24">
        <v>0.107</v>
      </c>
    </row>
    <row r="42" spans="1:5" ht="12.5">
      <c r="A42" s="140"/>
      <c r="B42" s="26" t="s">
        <v>23</v>
      </c>
      <c r="C42" s="26">
        <v>8.8999999999999996E-2</v>
      </c>
      <c r="D42" s="26">
        <v>2.4E-2</v>
      </c>
      <c r="E42" s="27">
        <v>0.20200000000000001</v>
      </c>
    </row>
    <row r="43" spans="1:5" ht="12.5">
      <c r="A43" s="139" t="s">
        <v>29</v>
      </c>
      <c r="B43" s="18" t="s">
        <v>20</v>
      </c>
      <c r="C43" s="18">
        <v>0.186</v>
      </c>
      <c r="D43" s="18">
        <v>0.10299999999999999</v>
      </c>
      <c r="E43" s="19">
        <v>0.316</v>
      </c>
    </row>
    <row r="44" spans="1:5" ht="12.5">
      <c r="A44" s="140"/>
      <c r="B44" s="26" t="s">
        <v>22</v>
      </c>
      <c r="C44" s="26">
        <v>5.6000000000000001E-2</v>
      </c>
      <c r="D44" s="26">
        <v>2.5000000000000001E-2</v>
      </c>
      <c r="E44" s="27">
        <v>7.1999999999999995E-2</v>
      </c>
    </row>
    <row r="45" spans="1:5" ht="12.5">
      <c r="A45" s="139" t="s">
        <v>31</v>
      </c>
      <c r="B45" s="18" t="s">
        <v>22</v>
      </c>
      <c r="C45" s="18">
        <v>5.0999999999999997E-2</v>
      </c>
      <c r="D45" s="45">
        <v>0.03</v>
      </c>
      <c r="E45" s="19">
        <v>8.8999999999999996E-2</v>
      </c>
    </row>
    <row r="46" spans="1:5" ht="12.5">
      <c r="A46" s="140"/>
      <c r="B46" s="26" t="s">
        <v>33</v>
      </c>
      <c r="C46" s="26">
        <v>0.24</v>
      </c>
      <c r="D46" s="26">
        <v>0.15</v>
      </c>
      <c r="E46" s="27">
        <v>0.4</v>
      </c>
    </row>
    <row r="47" spans="1:5" ht="12.5">
      <c r="A47" s="43" t="s">
        <v>34</v>
      </c>
      <c r="B47" s="39" t="s">
        <v>20</v>
      </c>
      <c r="C47" s="39">
        <v>5.8999999999999997E-2</v>
      </c>
      <c r="D47" s="39">
        <v>4.8000000000000001E-2</v>
      </c>
      <c r="E47" s="40">
        <v>6.7000000000000004E-2</v>
      </c>
    </row>
  </sheetData>
  <mergeCells count="31">
    <mergeCell ref="A16:A18"/>
    <mergeCell ref="A28:A30"/>
    <mergeCell ref="A31:A32"/>
    <mergeCell ref="A13:A15"/>
    <mergeCell ref="B13:B15"/>
    <mergeCell ref="B1:B2"/>
    <mergeCell ref="C1:E1"/>
    <mergeCell ref="C13:E13"/>
    <mergeCell ref="C14:E14"/>
    <mergeCell ref="A19:A20"/>
    <mergeCell ref="A21:A22"/>
    <mergeCell ref="A25:A27"/>
    <mergeCell ref="B25:B27"/>
    <mergeCell ref="C25:E25"/>
    <mergeCell ref="C26:E26"/>
    <mergeCell ref="H1:H2"/>
    <mergeCell ref="C2:E2"/>
    <mergeCell ref="A3:A11"/>
    <mergeCell ref="A43:A44"/>
    <mergeCell ref="A45:A46"/>
    <mergeCell ref="A37:A39"/>
    <mergeCell ref="B37:B39"/>
    <mergeCell ref="C37:E37"/>
    <mergeCell ref="C38:E38"/>
    <mergeCell ref="A40:A42"/>
    <mergeCell ref="A33:A34"/>
    <mergeCell ref="G1:G2"/>
    <mergeCell ref="G3:G7"/>
    <mergeCell ref="G8:G9"/>
    <mergeCell ref="G10:G11"/>
    <mergeCell ref="A1:A2"/>
  </mergeCells>
  <pageMargins left="0.7" right="0.7" top="0.75" bottom="0.75" header="0.3" footer="0.3"/>
  <pageSetup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O21"/>
  <sheetViews>
    <sheetView workbookViewId="0">
      <selection activeCell="I4" sqref="I4:M10"/>
    </sheetView>
  </sheetViews>
  <sheetFormatPr defaultColWidth="12.6328125" defaultRowHeight="15.75" customHeight="1"/>
  <cols>
    <col min="3" max="3" width="14.36328125" customWidth="1"/>
    <col min="9" max="9" width="14.453125" customWidth="1"/>
    <col min="10" max="10" width="16.90625" customWidth="1"/>
    <col min="11" max="11" width="15.26953125" customWidth="1"/>
    <col min="13" max="13" width="21.81640625" customWidth="1"/>
  </cols>
  <sheetData>
    <row r="1" spans="1:15" ht="15.75" customHeight="1">
      <c r="A1" s="4"/>
    </row>
    <row r="4" spans="1:15" ht="15.5" customHeight="1">
      <c r="C4" s="65" t="s">
        <v>48</v>
      </c>
      <c r="D4" s="65" t="s">
        <v>268</v>
      </c>
      <c r="E4" s="65" t="s">
        <v>269</v>
      </c>
      <c r="F4" s="65" t="s">
        <v>270</v>
      </c>
      <c r="G4" s="65" t="s">
        <v>169</v>
      </c>
      <c r="I4" s="214"/>
      <c r="J4" s="215"/>
      <c r="K4" s="215"/>
      <c r="L4" s="215"/>
      <c r="M4" s="215"/>
      <c r="N4" s="215"/>
      <c r="O4" s="216"/>
    </row>
    <row r="5" spans="1:15" ht="15.75" customHeight="1">
      <c r="C5" s="65" t="s">
        <v>54</v>
      </c>
      <c r="D5">
        <v>1992</v>
      </c>
      <c r="E5">
        <f t="shared" ref="E5:E10" si="0">D6</f>
        <v>1997</v>
      </c>
      <c r="F5">
        <f>ROUND(MEDIAN(D5:E5),0)</f>
        <v>1995</v>
      </c>
      <c r="G5">
        <f>2022-F5</f>
        <v>27</v>
      </c>
      <c r="I5" s="213"/>
      <c r="J5" s="210"/>
      <c r="K5" s="209"/>
      <c r="L5" s="209"/>
      <c r="M5" s="209"/>
      <c r="N5" s="210"/>
      <c r="O5" s="209"/>
    </row>
    <row r="6" spans="1:15" ht="15.75" customHeight="1">
      <c r="C6" s="65" t="s">
        <v>55</v>
      </c>
      <c r="D6">
        <v>1997</v>
      </c>
      <c r="E6">
        <f t="shared" si="0"/>
        <v>2001</v>
      </c>
      <c r="F6">
        <f t="shared" ref="F6:F11" si="1">ROUND(MEDIAN(D6:E6),0)</f>
        <v>1999</v>
      </c>
      <c r="G6">
        <f t="shared" ref="G6:G11" si="2">2022-F6</f>
        <v>23</v>
      </c>
      <c r="I6" s="213"/>
      <c r="J6" s="210"/>
      <c r="K6" s="209"/>
      <c r="L6" s="209"/>
      <c r="M6" s="209"/>
      <c r="N6" s="210"/>
      <c r="O6" s="209"/>
    </row>
    <row r="7" spans="1:15" ht="15.75" customHeight="1">
      <c r="C7" s="65" t="s">
        <v>56</v>
      </c>
      <c r="D7">
        <v>2001</v>
      </c>
      <c r="E7">
        <f t="shared" si="0"/>
        <v>2006</v>
      </c>
      <c r="F7">
        <f t="shared" si="1"/>
        <v>2004</v>
      </c>
      <c r="G7">
        <f t="shared" si="2"/>
        <v>18</v>
      </c>
      <c r="I7" s="213"/>
      <c r="J7" s="209"/>
      <c r="K7" s="209"/>
      <c r="L7" s="209"/>
      <c r="M7" s="209"/>
      <c r="N7" s="209"/>
      <c r="O7" s="209"/>
    </row>
    <row r="8" spans="1:15" ht="15.75" customHeight="1">
      <c r="C8" s="65" t="s">
        <v>57</v>
      </c>
      <c r="D8">
        <v>2006</v>
      </c>
      <c r="E8">
        <f t="shared" si="0"/>
        <v>2006</v>
      </c>
      <c r="F8">
        <f t="shared" si="1"/>
        <v>2006</v>
      </c>
      <c r="G8">
        <f t="shared" si="2"/>
        <v>16</v>
      </c>
      <c r="I8" s="213"/>
      <c r="J8" s="210"/>
      <c r="K8" s="209"/>
      <c r="L8" s="209"/>
      <c r="M8" s="209"/>
      <c r="N8" s="210"/>
      <c r="O8" s="209"/>
    </row>
    <row r="9" spans="1:15" ht="15.75" customHeight="1">
      <c r="C9" s="65" t="s">
        <v>58</v>
      </c>
      <c r="D9">
        <v>2006</v>
      </c>
      <c r="E9">
        <f t="shared" si="0"/>
        <v>2011</v>
      </c>
      <c r="F9">
        <f t="shared" si="1"/>
        <v>2009</v>
      </c>
      <c r="G9">
        <f t="shared" si="2"/>
        <v>13</v>
      </c>
      <c r="I9" s="213"/>
      <c r="J9" s="209"/>
      <c r="K9" s="209"/>
      <c r="L9" s="209"/>
      <c r="M9" s="209"/>
      <c r="N9" s="209"/>
      <c r="O9" s="209"/>
    </row>
    <row r="10" spans="1:15" ht="15.75" customHeight="1">
      <c r="C10" s="65" t="s">
        <v>59</v>
      </c>
      <c r="D10">
        <v>2011</v>
      </c>
      <c r="E10">
        <f t="shared" si="0"/>
        <v>2015</v>
      </c>
      <c r="F10">
        <f t="shared" si="1"/>
        <v>2013</v>
      </c>
      <c r="G10">
        <f t="shared" si="2"/>
        <v>9</v>
      </c>
      <c r="I10" s="213"/>
      <c r="J10" s="209"/>
      <c r="K10" s="209"/>
      <c r="L10" s="209"/>
      <c r="M10" s="209"/>
      <c r="N10" s="209"/>
      <c r="O10" s="209"/>
    </row>
    <row r="11" spans="1:15" ht="15.75" customHeight="1">
      <c r="A11" s="122"/>
      <c r="C11" s="65" t="s">
        <v>60</v>
      </c>
      <c r="D11">
        <v>2015</v>
      </c>
      <c r="E11">
        <v>2022</v>
      </c>
      <c r="F11">
        <f t="shared" si="1"/>
        <v>2019</v>
      </c>
      <c r="G11">
        <f t="shared" si="2"/>
        <v>3</v>
      </c>
      <c r="I11" s="212"/>
      <c r="J11" s="209"/>
      <c r="K11" s="209"/>
      <c r="L11" s="209"/>
      <c r="M11" s="209"/>
      <c r="N11" s="209"/>
      <c r="O11" s="211"/>
    </row>
    <row r="21" spans="1:1" ht="15.75" customHeight="1">
      <c r="A21" s="4"/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FF15D-34D0-4EFD-8C23-1431ED42D2C6}">
  <dimension ref="A1:E8"/>
  <sheetViews>
    <sheetView workbookViewId="0">
      <selection activeCell="F17" sqref="F17"/>
    </sheetView>
  </sheetViews>
  <sheetFormatPr defaultRowHeight="12.5"/>
  <cols>
    <col min="1" max="1" width="17.453125" customWidth="1"/>
    <col min="2" max="2" width="20.36328125" customWidth="1"/>
    <col min="3" max="3" width="16.90625" customWidth="1"/>
    <col min="4" max="4" width="8.81640625" bestFit="1" customWidth="1"/>
    <col min="5" max="5" width="5.81640625" bestFit="1" customWidth="1"/>
  </cols>
  <sheetData>
    <row r="1" spans="1:5" ht="13" thickBot="1">
      <c r="A1" s="155" t="s">
        <v>271</v>
      </c>
      <c r="B1" s="156" t="s">
        <v>272</v>
      </c>
      <c r="C1" s="156" t="s">
        <v>273</v>
      </c>
      <c r="D1" s="156" t="s">
        <v>274</v>
      </c>
      <c r="E1" s="157" t="s">
        <v>275</v>
      </c>
    </row>
    <row r="2" spans="1:5" ht="13" thickBot="1">
      <c r="A2" s="152" t="s">
        <v>276</v>
      </c>
      <c r="B2" s="72" t="s">
        <v>277</v>
      </c>
      <c r="C2" s="74">
        <v>10</v>
      </c>
      <c r="D2" s="74">
        <v>0</v>
      </c>
      <c r="E2" s="154">
        <v>1</v>
      </c>
    </row>
    <row r="3" spans="1:5" ht="13" thickBot="1">
      <c r="A3" s="152" t="s">
        <v>55</v>
      </c>
      <c r="B3" s="72" t="s">
        <v>278</v>
      </c>
      <c r="C3" s="74">
        <v>23.2</v>
      </c>
      <c r="D3" s="112">
        <v>8.8100000000000001E-7</v>
      </c>
      <c r="E3" s="154">
        <v>0.92</v>
      </c>
    </row>
    <row r="4" spans="1:5" ht="13" thickBot="1">
      <c r="A4" s="152" t="s">
        <v>56</v>
      </c>
      <c r="B4" s="72" t="s">
        <v>278</v>
      </c>
      <c r="C4" s="74">
        <v>11.1</v>
      </c>
      <c r="D4" s="112">
        <v>9.2099999999999995E-7</v>
      </c>
      <c r="E4" s="154">
        <v>0.96199999999999997</v>
      </c>
    </row>
    <row r="5" spans="1:5" ht="13" thickBot="1">
      <c r="A5" s="152" t="s">
        <v>57</v>
      </c>
      <c r="B5" s="72" t="s">
        <v>279</v>
      </c>
      <c r="C5" s="74">
        <v>1.3</v>
      </c>
      <c r="D5" s="112">
        <v>1.8500000000000001E-6</v>
      </c>
      <c r="E5" s="154">
        <v>0.82899999999999996</v>
      </c>
    </row>
    <row r="6" spans="1:5" ht="13" thickBot="1">
      <c r="A6" s="152" t="s">
        <v>58</v>
      </c>
      <c r="B6" s="72" t="s">
        <v>279</v>
      </c>
      <c r="C6" s="74">
        <v>1.9</v>
      </c>
      <c r="D6" s="112">
        <v>6.61E-7</v>
      </c>
      <c r="E6" s="154">
        <v>0.93100000000000005</v>
      </c>
    </row>
    <row r="7" spans="1:5" ht="13" thickBot="1">
      <c r="A7" s="152" t="s">
        <v>59</v>
      </c>
      <c r="B7" s="72" t="s">
        <v>279</v>
      </c>
      <c r="C7" s="74">
        <v>2.4</v>
      </c>
      <c r="D7" s="112">
        <v>7.8299999999999996E-7</v>
      </c>
      <c r="E7" s="154">
        <v>0.86099999999999999</v>
      </c>
    </row>
    <row r="8" spans="1:5" ht="13" thickBot="1">
      <c r="A8" s="169" t="s">
        <v>60</v>
      </c>
      <c r="B8" s="72" t="s">
        <v>279</v>
      </c>
      <c r="C8" s="74">
        <v>2.4</v>
      </c>
      <c r="D8" s="112">
        <v>7.8299999999999996E-7</v>
      </c>
      <c r="E8" s="154">
        <v>0.86099999999999999</v>
      </c>
    </row>
  </sheetData>
  <phoneticPr fontId="15" type="noConversion"/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778B-FFAD-4DBE-8D0C-BC4046FF7426}">
  <dimension ref="A1:E8"/>
  <sheetViews>
    <sheetView workbookViewId="0">
      <selection sqref="A1:E8"/>
    </sheetView>
  </sheetViews>
  <sheetFormatPr defaultRowHeight="12.5"/>
  <cols>
    <col min="1" max="1" width="17.453125" customWidth="1"/>
    <col min="2" max="2" width="20.453125" customWidth="1"/>
    <col min="3" max="3" width="16.90625" customWidth="1"/>
    <col min="4" max="4" width="8.1796875" bestFit="1" customWidth="1"/>
    <col min="5" max="5" width="5.81640625" bestFit="1" customWidth="1"/>
  </cols>
  <sheetData>
    <row r="1" spans="1:5" ht="13" thickBot="1">
      <c r="A1" s="155" t="s">
        <v>271</v>
      </c>
      <c r="B1" s="156" t="s">
        <v>280</v>
      </c>
      <c r="C1" s="156" t="s">
        <v>273</v>
      </c>
      <c r="D1" s="156" t="s">
        <v>274</v>
      </c>
      <c r="E1" s="157" t="s">
        <v>275</v>
      </c>
    </row>
    <row r="2" spans="1:5" ht="13" thickBot="1">
      <c r="A2" s="152" t="s">
        <v>276</v>
      </c>
      <c r="B2" s="72" t="s">
        <v>277</v>
      </c>
      <c r="C2" s="74">
        <v>10</v>
      </c>
      <c r="D2" s="74">
        <v>0</v>
      </c>
      <c r="E2" s="154">
        <v>1</v>
      </c>
    </row>
    <row r="3" spans="1:5" ht="13" thickBot="1">
      <c r="A3" s="152" t="s">
        <v>55</v>
      </c>
      <c r="B3" s="72" t="s">
        <v>278</v>
      </c>
      <c r="C3" s="74">
        <v>41.5</v>
      </c>
      <c r="D3" s="112">
        <v>2.3300000000000001E-6</v>
      </c>
      <c r="E3" s="154">
        <v>0.53</v>
      </c>
    </row>
    <row r="4" spans="1:5" ht="13" thickBot="1">
      <c r="A4" s="152" t="s">
        <v>56</v>
      </c>
      <c r="B4" s="72" t="s">
        <v>278</v>
      </c>
      <c r="C4" s="74">
        <v>23.9</v>
      </c>
      <c r="D4" s="112">
        <v>2.3999999999999999E-6</v>
      </c>
      <c r="E4" s="154">
        <v>0.68</v>
      </c>
    </row>
    <row r="5" spans="1:5" ht="13" thickBot="1">
      <c r="A5" s="152" t="s">
        <v>57</v>
      </c>
      <c r="B5" s="72" t="s">
        <v>279</v>
      </c>
      <c r="C5" s="74">
        <v>7.4</v>
      </c>
      <c r="D5" s="112">
        <v>2.8100000000000002E-6</v>
      </c>
      <c r="E5" s="154">
        <v>0.64</v>
      </c>
    </row>
    <row r="6" spans="1:5" ht="13" thickBot="1">
      <c r="A6" s="152" t="s">
        <v>58</v>
      </c>
      <c r="B6" s="72" t="s">
        <v>279</v>
      </c>
      <c r="C6" s="74">
        <v>1.2</v>
      </c>
      <c r="D6" s="112">
        <v>6.5700000000000002E-7</v>
      </c>
      <c r="E6" s="154">
        <v>0.92500000000000004</v>
      </c>
    </row>
    <row r="7" spans="1:5" ht="13" thickBot="1">
      <c r="A7" s="152" t="s">
        <v>59</v>
      </c>
      <c r="B7" s="72" t="s">
        <v>279</v>
      </c>
      <c r="C7" s="74">
        <v>2.4</v>
      </c>
      <c r="D7" s="112">
        <v>7.8299999999999996E-7</v>
      </c>
      <c r="E7" s="154">
        <v>0.86099999999999999</v>
      </c>
    </row>
    <row r="8" spans="1:5">
      <c r="A8" s="158" t="s">
        <v>60</v>
      </c>
      <c r="B8" s="159" t="s">
        <v>279</v>
      </c>
      <c r="C8" s="170">
        <v>2.4</v>
      </c>
      <c r="D8" s="171">
        <v>7.8299999999999996E-7</v>
      </c>
      <c r="E8" s="160">
        <v>0.86099999999999999</v>
      </c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4A504-3B2B-4476-9EF3-E9B871145A27}">
  <dimension ref="A1:B19"/>
  <sheetViews>
    <sheetView workbookViewId="0">
      <selection activeCell="E19" sqref="E19"/>
    </sheetView>
  </sheetViews>
  <sheetFormatPr defaultRowHeight="12.5"/>
  <cols>
    <col min="1" max="1" width="32.6328125" bestFit="1" customWidth="1"/>
    <col min="2" max="2" width="11.08984375" customWidth="1"/>
  </cols>
  <sheetData>
    <row r="1" spans="1:2" ht="13" thickBot="1">
      <c r="A1" s="155" t="s">
        <v>347</v>
      </c>
      <c r="B1" s="157" t="s">
        <v>295</v>
      </c>
    </row>
    <row r="2" spans="1:2" ht="13" thickBot="1">
      <c r="A2" s="168" t="s">
        <v>281</v>
      </c>
      <c r="B2" s="168"/>
    </row>
    <row r="3" spans="1:2" ht="13" thickBot="1">
      <c r="A3" s="152" t="s">
        <v>126</v>
      </c>
      <c r="B3" s="154">
        <v>0</v>
      </c>
    </row>
    <row r="4" spans="1:2" ht="13" thickBot="1">
      <c r="A4" s="152" t="s">
        <v>55</v>
      </c>
      <c r="B4" s="154">
        <v>2</v>
      </c>
    </row>
    <row r="5" spans="1:2" ht="13" thickBot="1">
      <c r="A5" s="152" t="s">
        <v>56</v>
      </c>
      <c r="B5" s="154">
        <v>4</v>
      </c>
    </row>
    <row r="6" spans="1:2" ht="13" thickBot="1">
      <c r="A6" s="152" t="s">
        <v>282</v>
      </c>
      <c r="B6" s="154">
        <v>9</v>
      </c>
    </row>
    <row r="7" spans="1:2" ht="13" thickBot="1">
      <c r="A7" s="152" t="s">
        <v>283</v>
      </c>
      <c r="B7" s="154">
        <v>11</v>
      </c>
    </row>
    <row r="8" spans="1:2" ht="13" thickBot="1">
      <c r="A8" s="168" t="s">
        <v>284</v>
      </c>
      <c r="B8" s="168"/>
    </row>
    <row r="9" spans="1:2" ht="13" thickBot="1">
      <c r="A9" s="152" t="s">
        <v>126</v>
      </c>
      <c r="B9" s="154">
        <v>0</v>
      </c>
    </row>
    <row r="10" spans="1:2" ht="13" thickBot="1">
      <c r="A10" s="152" t="s">
        <v>55</v>
      </c>
      <c r="B10" s="154">
        <v>21</v>
      </c>
    </row>
    <row r="11" spans="1:2" ht="13" thickBot="1">
      <c r="A11" s="152" t="s">
        <v>56</v>
      </c>
      <c r="B11" s="154">
        <v>13</v>
      </c>
    </row>
    <row r="12" spans="1:2" ht="13" thickBot="1">
      <c r="A12" s="152" t="s">
        <v>57</v>
      </c>
      <c r="B12" s="154">
        <v>5</v>
      </c>
    </row>
    <row r="13" spans="1:2" ht="13" thickBot="1">
      <c r="A13" s="152" t="s">
        <v>58</v>
      </c>
      <c r="B13" s="154">
        <v>5</v>
      </c>
    </row>
    <row r="14" spans="1:2" ht="13" thickBot="1">
      <c r="A14" s="152" t="s">
        <v>59</v>
      </c>
      <c r="B14" s="154">
        <v>2.1</v>
      </c>
    </row>
    <row r="15" spans="1:2" ht="13" thickBot="1">
      <c r="A15" s="152" t="s">
        <v>60</v>
      </c>
      <c r="B15" s="154">
        <v>2.1</v>
      </c>
    </row>
    <row r="16" spans="1:2" ht="13" thickBot="1">
      <c r="A16" s="168" t="s">
        <v>155</v>
      </c>
      <c r="B16" s="168"/>
    </row>
    <row r="17" spans="1:2" ht="13" thickBot="1">
      <c r="A17" s="152" t="s">
        <v>285</v>
      </c>
      <c r="B17" s="154">
        <v>1</v>
      </c>
    </row>
    <row r="18" spans="1:2" ht="13" thickBot="1">
      <c r="A18" s="152" t="s">
        <v>286</v>
      </c>
      <c r="B18" s="154">
        <v>2</v>
      </c>
    </row>
    <row r="19" spans="1:2">
      <c r="A19" s="158" t="s">
        <v>287</v>
      </c>
      <c r="B19" s="160">
        <v>2</v>
      </c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059DD-8B99-4ADD-B0AA-0B24D15B489A}">
  <dimension ref="A1:C37"/>
  <sheetViews>
    <sheetView topLeftCell="A25" workbookViewId="0">
      <selection activeCell="C42" sqref="C42"/>
    </sheetView>
  </sheetViews>
  <sheetFormatPr defaultRowHeight="12.5"/>
  <cols>
    <col min="1" max="1" width="24.1796875" customWidth="1"/>
    <col min="2" max="2" width="11.90625" customWidth="1"/>
    <col min="3" max="3" width="13.26953125" customWidth="1"/>
  </cols>
  <sheetData>
    <row r="1" spans="1:3" ht="13" thickBot="1">
      <c r="A1" s="155" t="s">
        <v>288</v>
      </c>
      <c r="B1" s="156" t="s">
        <v>114</v>
      </c>
      <c r="C1" s="157" t="s">
        <v>289</v>
      </c>
    </row>
    <row r="2" spans="1:3" ht="13" thickBot="1">
      <c r="A2" s="152" t="s">
        <v>138</v>
      </c>
      <c r="B2" s="72" t="s">
        <v>126</v>
      </c>
      <c r="C2" s="154">
        <v>6</v>
      </c>
    </row>
    <row r="3" spans="1:3" ht="13" thickBot="1">
      <c r="A3" s="152" t="s">
        <v>290</v>
      </c>
      <c r="B3" s="72" t="s">
        <v>126</v>
      </c>
      <c r="C3" s="154">
        <v>30</v>
      </c>
    </row>
    <row r="4" spans="1:3" ht="13" thickBot="1">
      <c r="A4" s="152" t="s">
        <v>290</v>
      </c>
      <c r="B4" s="72" t="s">
        <v>145</v>
      </c>
      <c r="C4" s="154">
        <v>6</v>
      </c>
    </row>
    <row r="5" spans="1:3" ht="13" thickBot="1">
      <c r="A5" s="152" t="s">
        <v>290</v>
      </c>
      <c r="B5" s="72" t="s">
        <v>146</v>
      </c>
      <c r="C5" s="154">
        <v>5</v>
      </c>
    </row>
    <row r="6" spans="1:3" ht="13" thickBot="1">
      <c r="A6" s="152" t="s">
        <v>290</v>
      </c>
      <c r="B6" s="72" t="s">
        <v>147</v>
      </c>
      <c r="C6" s="154">
        <v>3</v>
      </c>
    </row>
    <row r="7" spans="1:3" ht="13" thickBot="1">
      <c r="A7" s="152" t="s">
        <v>290</v>
      </c>
      <c r="B7" s="72" t="s">
        <v>291</v>
      </c>
      <c r="C7" s="154">
        <v>6</v>
      </c>
    </row>
    <row r="8" spans="1:3" ht="13" thickBot="1">
      <c r="A8" s="152" t="s">
        <v>290</v>
      </c>
      <c r="B8" s="72" t="s">
        <v>292</v>
      </c>
      <c r="C8" s="154">
        <v>15</v>
      </c>
    </row>
    <row r="9" spans="1:3" ht="13" thickBot="1">
      <c r="A9" s="152" t="s">
        <v>290</v>
      </c>
      <c r="B9" s="72" t="s">
        <v>293</v>
      </c>
      <c r="C9" s="154">
        <v>18.5</v>
      </c>
    </row>
    <row r="10" spans="1:3" ht="13" thickBot="1">
      <c r="A10" s="152" t="s">
        <v>344</v>
      </c>
      <c r="B10" s="72" t="s">
        <v>126</v>
      </c>
      <c r="C10" s="154">
        <v>30</v>
      </c>
    </row>
    <row r="11" spans="1:3" ht="13" thickBot="1">
      <c r="A11" s="152" t="s">
        <v>344</v>
      </c>
      <c r="B11" s="72" t="s">
        <v>145</v>
      </c>
      <c r="C11" s="154">
        <v>11</v>
      </c>
    </row>
    <row r="12" spans="1:3" ht="13" thickBot="1">
      <c r="A12" s="152" t="s">
        <v>344</v>
      </c>
      <c r="B12" s="72" t="s">
        <v>146</v>
      </c>
      <c r="C12" s="154">
        <v>11</v>
      </c>
    </row>
    <row r="13" spans="1:3" ht="13" thickBot="1">
      <c r="A13" s="152" t="s">
        <v>344</v>
      </c>
      <c r="B13" s="72" t="s">
        <v>147</v>
      </c>
      <c r="C13" s="154">
        <v>5</v>
      </c>
    </row>
    <row r="14" spans="1:3" ht="13" thickBot="1">
      <c r="A14" s="152" t="s">
        <v>344</v>
      </c>
      <c r="B14" s="72" t="s">
        <v>291</v>
      </c>
      <c r="C14" s="154">
        <v>11.2</v>
      </c>
    </row>
    <row r="15" spans="1:3" ht="13" thickBot="1">
      <c r="A15" s="152" t="s">
        <v>344</v>
      </c>
      <c r="B15" s="72" t="s">
        <v>292</v>
      </c>
      <c r="C15" s="154">
        <v>29.8</v>
      </c>
    </row>
    <row r="16" spans="1:3" ht="13" thickBot="1">
      <c r="A16" s="152" t="s">
        <v>344</v>
      </c>
      <c r="B16" s="72" t="s">
        <v>293</v>
      </c>
      <c r="C16" s="154">
        <v>37</v>
      </c>
    </row>
    <row r="17" spans="1:3" ht="13" thickBot="1">
      <c r="A17" s="152" t="s">
        <v>345</v>
      </c>
      <c r="B17" s="72" t="s">
        <v>126</v>
      </c>
      <c r="C17" s="154">
        <v>30</v>
      </c>
    </row>
    <row r="18" spans="1:3" ht="13" thickBot="1">
      <c r="A18" s="152" t="s">
        <v>345</v>
      </c>
      <c r="B18" s="72" t="s">
        <v>145</v>
      </c>
      <c r="C18" s="154">
        <v>17</v>
      </c>
    </row>
    <row r="19" spans="1:3" ht="13" thickBot="1">
      <c r="A19" s="152" t="s">
        <v>345</v>
      </c>
      <c r="B19" s="72" t="s">
        <v>146</v>
      </c>
      <c r="C19" s="154">
        <v>17</v>
      </c>
    </row>
    <row r="20" spans="1:3" ht="13" thickBot="1">
      <c r="A20" s="152" t="s">
        <v>345</v>
      </c>
      <c r="B20" s="72" t="s">
        <v>147</v>
      </c>
      <c r="C20" s="154">
        <v>8</v>
      </c>
    </row>
    <row r="21" spans="1:3" ht="13" thickBot="1">
      <c r="A21" s="152" t="s">
        <v>345</v>
      </c>
      <c r="B21" s="72" t="s">
        <v>291</v>
      </c>
      <c r="C21" s="154">
        <v>17.399999999999999</v>
      </c>
    </row>
    <row r="22" spans="1:3" ht="13" thickBot="1">
      <c r="A22" s="152" t="s">
        <v>345</v>
      </c>
      <c r="B22" s="72" t="s">
        <v>292</v>
      </c>
      <c r="C22" s="154">
        <v>45.6</v>
      </c>
    </row>
    <row r="23" spans="1:3" ht="13" thickBot="1">
      <c r="A23" s="152" t="s">
        <v>345</v>
      </c>
      <c r="B23" s="72" t="s">
        <v>293</v>
      </c>
      <c r="C23" s="154">
        <v>56.5</v>
      </c>
    </row>
    <row r="24" spans="1:3" ht="13" thickBot="1">
      <c r="A24" s="152" t="s">
        <v>294</v>
      </c>
      <c r="B24" s="72" t="s">
        <v>126</v>
      </c>
      <c r="C24" s="154">
        <v>30</v>
      </c>
    </row>
    <row r="25" spans="1:3" ht="13" thickBot="1">
      <c r="A25" s="152" t="s">
        <v>294</v>
      </c>
      <c r="B25" s="72" t="s">
        <v>145</v>
      </c>
      <c r="C25" s="154">
        <v>18</v>
      </c>
    </row>
    <row r="26" spans="1:3" ht="13" thickBot="1">
      <c r="A26" s="152" t="s">
        <v>294</v>
      </c>
      <c r="B26" s="72" t="s">
        <v>146</v>
      </c>
      <c r="C26" s="154">
        <v>18</v>
      </c>
    </row>
    <row r="27" spans="1:3" ht="13" thickBot="1">
      <c r="A27" s="152" t="s">
        <v>294</v>
      </c>
      <c r="B27" s="72" t="s">
        <v>147</v>
      </c>
      <c r="C27" s="154">
        <v>9</v>
      </c>
    </row>
    <row r="28" spans="1:3" ht="13" thickBot="1">
      <c r="A28" s="152" t="s">
        <v>294</v>
      </c>
      <c r="B28" s="72" t="s">
        <v>291</v>
      </c>
      <c r="C28" s="154">
        <v>19</v>
      </c>
    </row>
    <row r="29" spans="1:3" ht="13" thickBot="1">
      <c r="A29" s="152" t="s">
        <v>294</v>
      </c>
      <c r="B29" s="72" t="s">
        <v>292</v>
      </c>
      <c r="C29" s="154">
        <v>49</v>
      </c>
    </row>
    <row r="30" spans="1:3" ht="13" thickBot="1">
      <c r="A30" s="152" t="s">
        <v>294</v>
      </c>
      <c r="B30" s="72" t="s">
        <v>293</v>
      </c>
      <c r="C30" s="154">
        <v>61</v>
      </c>
    </row>
    <row r="31" spans="1:3" ht="13" thickBot="1">
      <c r="A31" s="152" t="s">
        <v>346</v>
      </c>
      <c r="B31" s="72" t="s">
        <v>126</v>
      </c>
      <c r="C31" s="154">
        <v>30</v>
      </c>
    </row>
    <row r="32" spans="1:3" ht="13" thickBot="1">
      <c r="A32" s="152" t="s">
        <v>346</v>
      </c>
      <c r="B32" s="72" t="s">
        <v>145</v>
      </c>
      <c r="C32" s="154">
        <v>12</v>
      </c>
    </row>
    <row r="33" spans="1:3" ht="13" thickBot="1">
      <c r="A33" s="152" t="s">
        <v>346</v>
      </c>
      <c r="B33" s="72" t="s">
        <v>146</v>
      </c>
      <c r="C33" s="154">
        <v>12</v>
      </c>
    </row>
    <row r="34" spans="1:3" ht="13" thickBot="1">
      <c r="A34" s="152" t="s">
        <v>346</v>
      </c>
      <c r="B34" s="72" t="s">
        <v>147</v>
      </c>
      <c r="C34" s="154">
        <v>6</v>
      </c>
    </row>
    <row r="35" spans="1:3" ht="13" thickBot="1">
      <c r="A35" s="152" t="s">
        <v>346</v>
      </c>
      <c r="B35" s="72" t="s">
        <v>291</v>
      </c>
      <c r="C35" s="154">
        <v>12.8</v>
      </c>
    </row>
    <row r="36" spans="1:3" ht="13" thickBot="1">
      <c r="A36" s="152" t="s">
        <v>346</v>
      </c>
      <c r="B36" s="72" t="s">
        <v>292</v>
      </c>
      <c r="C36" s="154">
        <v>33.200000000000003</v>
      </c>
    </row>
    <row r="37" spans="1:3" ht="13" thickBot="1">
      <c r="A37" s="152" t="s">
        <v>346</v>
      </c>
      <c r="B37" s="159" t="s">
        <v>293</v>
      </c>
      <c r="C37" s="160">
        <v>41.5</v>
      </c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932AE-FB57-41BB-BAC1-1272D026E269}">
  <dimension ref="A1:D47"/>
  <sheetViews>
    <sheetView workbookViewId="0">
      <selection activeCell="C17" sqref="C17"/>
    </sheetView>
  </sheetViews>
  <sheetFormatPr defaultRowHeight="12.5"/>
  <cols>
    <col min="1" max="1" width="25.6328125" bestFit="1" customWidth="1"/>
    <col min="2" max="2" width="22.1796875" bestFit="1" customWidth="1"/>
    <col min="3" max="3" width="39" bestFit="1" customWidth="1"/>
    <col min="4" max="4" width="10.81640625" customWidth="1"/>
  </cols>
  <sheetData>
    <row r="1" spans="1:4" ht="13" thickBot="1">
      <c r="A1" s="155" t="s">
        <v>104</v>
      </c>
      <c r="B1" s="156" t="s">
        <v>14</v>
      </c>
      <c r="C1" s="156" t="s">
        <v>343</v>
      </c>
      <c r="D1" s="157" t="s">
        <v>295</v>
      </c>
    </row>
    <row r="2" spans="1:4" ht="13" thickBot="1">
      <c r="A2" s="164" t="s">
        <v>116</v>
      </c>
      <c r="B2" s="165" t="s">
        <v>296</v>
      </c>
      <c r="C2" s="72" t="s">
        <v>126</v>
      </c>
      <c r="D2" s="154">
        <v>131</v>
      </c>
    </row>
    <row r="3" spans="1:4" ht="13" thickBot="1">
      <c r="A3" s="164" t="s">
        <v>116</v>
      </c>
      <c r="B3" s="165" t="s">
        <v>296</v>
      </c>
      <c r="C3" s="72" t="s">
        <v>55</v>
      </c>
      <c r="D3" s="154">
        <v>26</v>
      </c>
    </row>
    <row r="4" spans="1:4" ht="13" thickBot="1">
      <c r="A4" s="164" t="s">
        <v>116</v>
      </c>
      <c r="B4" s="165" t="s">
        <v>296</v>
      </c>
      <c r="C4" s="72" t="s">
        <v>56</v>
      </c>
      <c r="D4" s="154">
        <v>17</v>
      </c>
    </row>
    <row r="5" spans="1:4" ht="13" thickBot="1">
      <c r="A5" s="164" t="s">
        <v>116</v>
      </c>
      <c r="B5" s="165" t="s">
        <v>296</v>
      </c>
      <c r="C5" s="72" t="s">
        <v>57</v>
      </c>
      <c r="D5" s="154">
        <v>3</v>
      </c>
    </row>
    <row r="6" spans="1:4" ht="13" thickBot="1">
      <c r="A6" s="164" t="s">
        <v>116</v>
      </c>
      <c r="B6" s="165" t="s">
        <v>296</v>
      </c>
      <c r="C6" s="72" t="s">
        <v>118</v>
      </c>
      <c r="D6" s="154">
        <v>2.87</v>
      </c>
    </row>
    <row r="7" spans="1:4" ht="13" thickBot="1">
      <c r="A7" s="164" t="s">
        <v>116</v>
      </c>
      <c r="B7" s="165" t="s">
        <v>297</v>
      </c>
      <c r="C7" s="72" t="s">
        <v>126</v>
      </c>
      <c r="D7" s="154">
        <v>28</v>
      </c>
    </row>
    <row r="8" spans="1:4" ht="13" thickBot="1">
      <c r="A8" s="164" t="s">
        <v>116</v>
      </c>
      <c r="B8" s="165" t="s">
        <v>297</v>
      </c>
      <c r="C8" s="72" t="s">
        <v>55</v>
      </c>
      <c r="D8" s="154">
        <v>11</v>
      </c>
    </row>
    <row r="9" spans="1:4" ht="13" thickBot="1">
      <c r="A9" s="164" t="s">
        <v>116</v>
      </c>
      <c r="B9" s="165" t="s">
        <v>297</v>
      </c>
      <c r="C9" s="72" t="s">
        <v>56</v>
      </c>
      <c r="D9" s="154">
        <v>7</v>
      </c>
    </row>
    <row r="10" spans="1:4" ht="13" thickBot="1">
      <c r="A10" s="164" t="s">
        <v>116</v>
      </c>
      <c r="B10" s="165" t="s">
        <v>297</v>
      </c>
      <c r="C10" s="72" t="s">
        <v>57</v>
      </c>
      <c r="D10" s="154">
        <v>3</v>
      </c>
    </row>
    <row r="11" spans="1:4" ht="13" thickBot="1">
      <c r="A11" s="164" t="s">
        <v>116</v>
      </c>
      <c r="B11" s="165" t="s">
        <v>297</v>
      </c>
      <c r="C11" s="72" t="s">
        <v>58</v>
      </c>
      <c r="D11" s="154">
        <v>1.1000000000000001</v>
      </c>
    </row>
    <row r="12" spans="1:4" ht="13" thickBot="1">
      <c r="A12" s="164" t="s">
        <v>116</v>
      </c>
      <c r="B12" s="165" t="s">
        <v>297</v>
      </c>
      <c r="C12" s="72" t="s">
        <v>137</v>
      </c>
      <c r="D12" s="154">
        <v>7.4999999999999997E-2</v>
      </c>
    </row>
    <row r="13" spans="1:4" ht="13" thickBot="1">
      <c r="A13" s="164" t="s">
        <v>116</v>
      </c>
      <c r="B13" s="166" t="s">
        <v>23</v>
      </c>
      <c r="C13" s="72" t="s">
        <v>298</v>
      </c>
      <c r="D13" s="154">
        <v>80</v>
      </c>
    </row>
    <row r="14" spans="1:4" ht="13" thickBot="1">
      <c r="A14" s="164" t="s">
        <v>116</v>
      </c>
      <c r="B14" s="166" t="s">
        <v>25</v>
      </c>
      <c r="C14" s="72" t="s">
        <v>298</v>
      </c>
      <c r="D14" s="154">
        <v>2.87</v>
      </c>
    </row>
    <row r="15" spans="1:4" ht="13" thickBot="1">
      <c r="A15" s="164" t="s">
        <v>116</v>
      </c>
      <c r="B15" s="165" t="s">
        <v>27</v>
      </c>
      <c r="C15" s="72" t="s">
        <v>299</v>
      </c>
      <c r="D15" s="154">
        <v>57.3</v>
      </c>
    </row>
    <row r="16" spans="1:4" ht="13" thickBot="1">
      <c r="A16" s="164" t="s">
        <v>116</v>
      </c>
      <c r="B16" s="165" t="s">
        <v>27</v>
      </c>
      <c r="C16" s="72" t="s">
        <v>300</v>
      </c>
      <c r="D16" s="154">
        <v>6</v>
      </c>
    </row>
    <row r="17" spans="1:4" ht="13" thickBot="1">
      <c r="A17" s="164" t="s">
        <v>322</v>
      </c>
      <c r="B17" s="165" t="s">
        <v>20</v>
      </c>
      <c r="C17" s="72" t="s">
        <v>126</v>
      </c>
      <c r="D17" s="154">
        <v>131</v>
      </c>
    </row>
    <row r="18" spans="1:4" ht="13" thickBot="1">
      <c r="A18" s="164" t="s">
        <v>322</v>
      </c>
      <c r="B18" s="165" t="s">
        <v>20</v>
      </c>
      <c r="C18" s="72" t="s">
        <v>55</v>
      </c>
      <c r="D18" s="154">
        <v>26</v>
      </c>
    </row>
    <row r="19" spans="1:4" ht="13" thickBot="1">
      <c r="A19" s="164" t="s">
        <v>322</v>
      </c>
      <c r="B19" s="165" t="s">
        <v>20</v>
      </c>
      <c r="C19" s="72" t="s">
        <v>56</v>
      </c>
      <c r="D19" s="154">
        <v>17</v>
      </c>
    </row>
    <row r="20" spans="1:4" ht="13" thickBot="1">
      <c r="A20" s="164" t="s">
        <v>322</v>
      </c>
      <c r="B20" s="165" t="s">
        <v>20</v>
      </c>
      <c r="C20" s="72" t="s">
        <v>57</v>
      </c>
      <c r="D20" s="154">
        <v>3</v>
      </c>
    </row>
    <row r="21" spans="1:4" ht="13" thickBot="1">
      <c r="A21" s="164" t="s">
        <v>322</v>
      </c>
      <c r="B21" s="165" t="s">
        <v>20</v>
      </c>
      <c r="C21" s="72" t="s">
        <v>118</v>
      </c>
      <c r="D21" s="154">
        <v>2</v>
      </c>
    </row>
    <row r="22" spans="1:4" ht="13" thickBot="1">
      <c r="A22" s="164" t="s">
        <v>322</v>
      </c>
      <c r="B22" s="165" t="s">
        <v>22</v>
      </c>
      <c r="C22" s="72" t="s">
        <v>126</v>
      </c>
      <c r="D22" s="154">
        <v>28</v>
      </c>
    </row>
    <row r="23" spans="1:4" ht="13" thickBot="1">
      <c r="A23" s="164" t="s">
        <v>322</v>
      </c>
      <c r="B23" s="165" t="s">
        <v>22</v>
      </c>
      <c r="C23" s="72" t="s">
        <v>55</v>
      </c>
      <c r="D23" s="154">
        <v>11</v>
      </c>
    </row>
    <row r="24" spans="1:4" ht="13" thickBot="1">
      <c r="A24" s="164" t="s">
        <v>322</v>
      </c>
      <c r="B24" s="165" t="s">
        <v>22</v>
      </c>
      <c r="C24" s="72" t="s">
        <v>56</v>
      </c>
      <c r="D24" s="154">
        <v>7</v>
      </c>
    </row>
    <row r="25" spans="1:4" ht="13" thickBot="1">
      <c r="A25" s="164" t="s">
        <v>322</v>
      </c>
      <c r="B25" s="165" t="s">
        <v>22</v>
      </c>
      <c r="C25" s="72" t="s">
        <v>57</v>
      </c>
      <c r="D25" s="154">
        <v>3</v>
      </c>
    </row>
    <row r="26" spans="1:4" ht="13" thickBot="1">
      <c r="A26" s="164" t="s">
        <v>322</v>
      </c>
      <c r="B26" s="165" t="s">
        <v>22</v>
      </c>
      <c r="C26" s="72" t="s">
        <v>58</v>
      </c>
      <c r="D26" s="154">
        <v>1.1000000000000001</v>
      </c>
    </row>
    <row r="27" spans="1:4" ht="13" thickBot="1">
      <c r="A27" s="164" t="s">
        <v>322</v>
      </c>
      <c r="B27" s="165" t="s">
        <v>22</v>
      </c>
      <c r="C27" s="72" t="s">
        <v>137</v>
      </c>
      <c r="D27" s="154">
        <v>7.4999999999999997E-3</v>
      </c>
    </row>
    <row r="28" spans="1:4" ht="13" thickBot="1">
      <c r="A28" s="164" t="s">
        <v>301</v>
      </c>
      <c r="B28" s="166" t="s">
        <v>20</v>
      </c>
      <c r="C28" s="72" t="s">
        <v>298</v>
      </c>
      <c r="D28" s="154">
        <v>140</v>
      </c>
    </row>
    <row r="29" spans="1:4" ht="13" thickBot="1">
      <c r="A29" s="164" t="s">
        <v>301</v>
      </c>
      <c r="B29" s="165" t="s">
        <v>22</v>
      </c>
      <c r="C29" s="72" t="s">
        <v>302</v>
      </c>
      <c r="D29" s="154">
        <v>85</v>
      </c>
    </row>
    <row r="30" spans="1:4" ht="13" thickBot="1">
      <c r="A30" s="164" t="s">
        <v>301</v>
      </c>
      <c r="B30" s="165" t="s">
        <v>22</v>
      </c>
      <c r="C30" s="72" t="s">
        <v>303</v>
      </c>
      <c r="D30" s="154">
        <v>175</v>
      </c>
    </row>
    <row r="31" spans="1:4" ht="13" thickBot="1">
      <c r="A31" s="164" t="s">
        <v>301</v>
      </c>
      <c r="B31" s="166" t="s">
        <v>304</v>
      </c>
      <c r="C31" s="72" t="s">
        <v>305</v>
      </c>
      <c r="D31" s="154">
        <v>175</v>
      </c>
    </row>
    <row r="32" spans="1:4" ht="13" thickBot="1">
      <c r="A32" s="164" t="s">
        <v>301</v>
      </c>
      <c r="B32" s="165" t="s">
        <v>27</v>
      </c>
      <c r="C32" s="72" t="s">
        <v>306</v>
      </c>
      <c r="D32" s="154">
        <v>6800</v>
      </c>
    </row>
    <row r="33" spans="1:4" ht="13" thickBot="1">
      <c r="A33" s="164" t="s">
        <v>301</v>
      </c>
      <c r="B33" s="165" t="s">
        <v>27</v>
      </c>
      <c r="C33" s="72" t="s">
        <v>307</v>
      </c>
      <c r="D33" s="154">
        <v>4500</v>
      </c>
    </row>
    <row r="34" spans="1:4" ht="13" thickBot="1">
      <c r="A34" s="164" t="s">
        <v>301</v>
      </c>
      <c r="B34" s="165" t="s">
        <v>27</v>
      </c>
      <c r="C34" s="72" t="s">
        <v>308</v>
      </c>
      <c r="D34" s="154">
        <v>1280</v>
      </c>
    </row>
    <row r="35" spans="1:4" ht="13" thickBot="1">
      <c r="A35" s="164" t="s">
        <v>301</v>
      </c>
      <c r="B35" s="165" t="s">
        <v>27</v>
      </c>
      <c r="C35" s="72" t="s">
        <v>148</v>
      </c>
      <c r="D35" s="154">
        <v>980</v>
      </c>
    </row>
    <row r="36" spans="1:4" ht="13" thickBot="1">
      <c r="A36" s="164" t="s">
        <v>155</v>
      </c>
      <c r="B36" s="165" t="s">
        <v>20</v>
      </c>
      <c r="C36" s="72" t="s">
        <v>309</v>
      </c>
      <c r="D36" s="154">
        <v>219</v>
      </c>
    </row>
    <row r="37" spans="1:4" ht="13" thickBot="1">
      <c r="A37" s="164" t="s">
        <v>155</v>
      </c>
      <c r="B37" s="165" t="s">
        <v>20</v>
      </c>
      <c r="C37" s="72" t="s">
        <v>310</v>
      </c>
      <c r="D37" s="154">
        <v>219</v>
      </c>
    </row>
    <row r="38" spans="1:4" ht="13" thickBot="1">
      <c r="A38" s="164" t="s">
        <v>155</v>
      </c>
      <c r="B38" s="165" t="s">
        <v>20</v>
      </c>
      <c r="C38" s="72" t="s">
        <v>286</v>
      </c>
      <c r="D38" s="154">
        <v>150</v>
      </c>
    </row>
    <row r="39" spans="1:4" ht="13" thickBot="1">
      <c r="A39" s="164" t="s">
        <v>155</v>
      </c>
      <c r="B39" s="165" t="s">
        <v>20</v>
      </c>
      <c r="C39" s="72" t="s">
        <v>287</v>
      </c>
      <c r="D39" s="154">
        <v>200</v>
      </c>
    </row>
    <row r="40" spans="1:4" ht="13" thickBot="1">
      <c r="A40" s="164" t="s">
        <v>155</v>
      </c>
      <c r="B40" s="165" t="s">
        <v>342</v>
      </c>
      <c r="C40" s="72" t="s">
        <v>126</v>
      </c>
      <c r="D40" s="154">
        <v>28</v>
      </c>
    </row>
    <row r="41" spans="1:4" ht="13" thickBot="1">
      <c r="A41" s="164" t="s">
        <v>155</v>
      </c>
      <c r="B41" s="165" t="s">
        <v>342</v>
      </c>
      <c r="C41" s="72" t="s">
        <v>55</v>
      </c>
      <c r="D41" s="154">
        <v>11</v>
      </c>
    </row>
    <row r="42" spans="1:4" ht="13" thickBot="1">
      <c r="A42" s="164" t="s">
        <v>155</v>
      </c>
      <c r="B42" s="165" t="s">
        <v>342</v>
      </c>
      <c r="C42" s="72" t="s">
        <v>56</v>
      </c>
      <c r="D42" s="154">
        <v>7</v>
      </c>
    </row>
    <row r="43" spans="1:4" ht="13" thickBot="1">
      <c r="A43" s="164" t="s">
        <v>155</v>
      </c>
      <c r="B43" s="165" t="s">
        <v>342</v>
      </c>
      <c r="C43" s="72" t="s">
        <v>57</v>
      </c>
      <c r="D43" s="154">
        <v>3</v>
      </c>
    </row>
    <row r="44" spans="1:4" ht="13" thickBot="1">
      <c r="A44" s="164" t="s">
        <v>155</v>
      </c>
      <c r="B44" s="165" t="s">
        <v>342</v>
      </c>
      <c r="C44" s="72" t="s">
        <v>58</v>
      </c>
      <c r="D44" s="154">
        <v>1.1000000000000001</v>
      </c>
    </row>
    <row r="45" spans="1:4" ht="13" thickBot="1">
      <c r="A45" s="164" t="s">
        <v>155</v>
      </c>
      <c r="B45" s="165" t="s">
        <v>342</v>
      </c>
      <c r="C45" s="72" t="s">
        <v>59</v>
      </c>
      <c r="D45" s="154">
        <v>7.4999999999999997E-2</v>
      </c>
    </row>
    <row r="46" spans="1:4">
      <c r="A46" s="164" t="s">
        <v>155</v>
      </c>
      <c r="B46" s="165" t="s">
        <v>342</v>
      </c>
      <c r="C46" s="159" t="s">
        <v>126</v>
      </c>
      <c r="D46" s="160">
        <v>200</v>
      </c>
    </row>
    <row r="47" spans="1:4">
      <c r="A47" s="167"/>
      <c r="B47" s="167"/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F7438-FC78-4F70-B5E1-5244E7F0CB26}">
  <dimension ref="A1:D87"/>
  <sheetViews>
    <sheetView workbookViewId="0">
      <selection activeCell="D87" sqref="A1:D87"/>
    </sheetView>
  </sheetViews>
  <sheetFormatPr defaultRowHeight="12.5"/>
  <cols>
    <col min="1" max="1" width="10.453125" bestFit="1" customWidth="1"/>
    <col min="2" max="2" width="18.90625" bestFit="1" customWidth="1"/>
    <col min="3" max="3" width="6.81640625" bestFit="1" customWidth="1"/>
    <col min="4" max="4" width="10.36328125" customWidth="1"/>
  </cols>
  <sheetData>
    <row r="1" spans="1:4" ht="13" thickBot="1">
      <c r="A1" s="196" t="s">
        <v>180</v>
      </c>
      <c r="B1" s="197" t="s">
        <v>181</v>
      </c>
      <c r="C1" s="197" t="s">
        <v>41</v>
      </c>
      <c r="D1" s="198" t="s">
        <v>182</v>
      </c>
    </row>
    <row r="2" spans="1:4" ht="13" thickBot="1">
      <c r="A2" s="192" t="s">
        <v>117</v>
      </c>
      <c r="B2" s="107" t="s">
        <v>183</v>
      </c>
      <c r="C2" s="108">
        <v>2E-3</v>
      </c>
      <c r="D2" s="194">
        <v>0.39800000000000002</v>
      </c>
    </row>
    <row r="3" spans="1:4" ht="13" thickBot="1">
      <c r="A3" s="192" t="s">
        <v>117</v>
      </c>
      <c r="B3" s="107" t="s">
        <v>184</v>
      </c>
      <c r="C3" s="109">
        <v>1.2999999999999999E-3</v>
      </c>
      <c r="D3" s="194">
        <v>0.39800000000000002</v>
      </c>
    </row>
    <row r="4" spans="1:4" ht="13" thickBot="1">
      <c r="A4" s="192" t="s">
        <v>117</v>
      </c>
      <c r="B4" s="107" t="s">
        <v>185</v>
      </c>
      <c r="C4" s="109">
        <v>1.2999999999999999E-3</v>
      </c>
      <c r="D4" s="194">
        <v>0.39800000000000002</v>
      </c>
    </row>
    <row r="5" spans="1:4" ht="13" thickBot="1">
      <c r="A5" s="192" t="s">
        <v>117</v>
      </c>
      <c r="B5" s="107" t="s">
        <v>186</v>
      </c>
      <c r="C5" s="109">
        <v>1.2999999999999999E-3</v>
      </c>
      <c r="D5" s="194">
        <v>0.39800000000000002</v>
      </c>
    </row>
    <row r="6" spans="1:4" ht="13" thickBot="1">
      <c r="A6" s="192" t="s">
        <v>117</v>
      </c>
      <c r="B6" s="107" t="s">
        <v>187</v>
      </c>
      <c r="C6" s="109">
        <v>1.2999999999999999E-3</v>
      </c>
      <c r="D6" s="194">
        <v>0.39800000000000002</v>
      </c>
    </row>
    <row r="7" spans="1:4" ht="13" thickBot="1">
      <c r="A7" s="192" t="s">
        <v>119</v>
      </c>
      <c r="B7" s="107" t="s">
        <v>188</v>
      </c>
      <c r="C7" s="109">
        <v>0.01</v>
      </c>
      <c r="D7" s="194">
        <v>0.66300000000000003</v>
      </c>
    </row>
    <row r="8" spans="1:4" ht="13" thickBot="1">
      <c r="A8" s="192" t="s">
        <v>119</v>
      </c>
      <c r="B8" s="107" t="s">
        <v>189</v>
      </c>
      <c r="C8" s="109">
        <v>0.01</v>
      </c>
      <c r="D8" s="194">
        <v>0.66300000000000003</v>
      </c>
    </row>
    <row r="9" spans="1:4" ht="13" thickBot="1">
      <c r="A9" s="192" t="s">
        <v>119</v>
      </c>
      <c r="B9" s="107" t="s">
        <v>190</v>
      </c>
      <c r="C9" s="109">
        <v>0.01</v>
      </c>
      <c r="D9" s="194">
        <v>0.66300000000000003</v>
      </c>
    </row>
    <row r="10" spans="1:4" ht="13" thickBot="1">
      <c r="A10" s="192" t="s">
        <v>119</v>
      </c>
      <c r="B10" s="107" t="s">
        <v>191</v>
      </c>
      <c r="C10" s="109">
        <v>0.01</v>
      </c>
      <c r="D10" s="194">
        <v>0.66300000000000003</v>
      </c>
    </row>
    <row r="11" spans="1:4" ht="13" thickBot="1">
      <c r="A11" s="192" t="s">
        <v>119</v>
      </c>
      <c r="B11" s="107" t="s">
        <v>192</v>
      </c>
      <c r="C11" s="109">
        <v>0.01</v>
      </c>
      <c r="D11" s="194">
        <v>0.66300000000000003</v>
      </c>
    </row>
    <row r="12" spans="1:4" ht="13" thickBot="1">
      <c r="A12" s="192" t="s">
        <v>119</v>
      </c>
      <c r="B12" s="107" t="s">
        <v>193</v>
      </c>
      <c r="C12" s="109">
        <v>0.01</v>
      </c>
      <c r="D12" s="194">
        <v>0.66300000000000003</v>
      </c>
    </row>
    <row r="13" spans="1:4" ht="13" thickBot="1">
      <c r="A13" s="192" t="s">
        <v>119</v>
      </c>
      <c r="B13" s="107" t="s">
        <v>194</v>
      </c>
      <c r="C13" s="109">
        <v>0.01</v>
      </c>
      <c r="D13" s="194">
        <v>0.59599999999999997</v>
      </c>
    </row>
    <row r="14" spans="1:4" ht="13" thickBot="1">
      <c r="A14" s="192" t="s">
        <v>119</v>
      </c>
      <c r="B14" s="107" t="s">
        <v>195</v>
      </c>
      <c r="C14" s="109">
        <v>6.0000000000000001E-3</v>
      </c>
      <c r="D14" s="195">
        <v>0.53</v>
      </c>
    </row>
    <row r="15" spans="1:4" ht="13" thickBot="1">
      <c r="A15" s="192" t="s">
        <v>119</v>
      </c>
      <c r="B15" s="107" t="s">
        <v>196</v>
      </c>
      <c r="C15" s="109">
        <v>2E-3</v>
      </c>
      <c r="D15" s="194">
        <v>0.46400000000000002</v>
      </c>
    </row>
    <row r="16" spans="1:4" ht="13" thickBot="1">
      <c r="A16" s="192" t="s">
        <v>119</v>
      </c>
      <c r="B16" s="107" t="s">
        <v>183</v>
      </c>
      <c r="C16" s="109">
        <v>2E-3</v>
      </c>
      <c r="D16" s="194">
        <v>0.39800000000000002</v>
      </c>
    </row>
    <row r="17" spans="1:4" ht="13" thickBot="1">
      <c r="A17" s="192" t="s">
        <v>119</v>
      </c>
      <c r="B17" s="107" t="s">
        <v>197</v>
      </c>
      <c r="C17" s="108">
        <v>1.2999999999999999E-3</v>
      </c>
      <c r="D17" s="194">
        <v>0.39800000000000002</v>
      </c>
    </row>
    <row r="18" spans="1:4" ht="13" thickBot="1">
      <c r="A18" s="192" t="s">
        <v>119</v>
      </c>
      <c r="B18" s="107" t="s">
        <v>185</v>
      </c>
      <c r="C18" s="108">
        <v>1.2999999999999999E-3</v>
      </c>
      <c r="D18" s="194">
        <v>0.39800000000000002</v>
      </c>
    </row>
    <row r="19" spans="1:4" ht="13" thickBot="1">
      <c r="A19" s="192" t="s">
        <v>119</v>
      </c>
      <c r="B19" s="107" t="s">
        <v>186</v>
      </c>
      <c r="C19" s="108">
        <v>1.2999999999999999E-3</v>
      </c>
      <c r="D19" s="194">
        <v>0.39800000000000002</v>
      </c>
    </row>
    <row r="20" spans="1:4" ht="13" thickBot="1">
      <c r="A20" s="192" t="s">
        <v>119</v>
      </c>
      <c r="B20" s="107" t="s">
        <v>187</v>
      </c>
      <c r="C20" s="108">
        <v>1.2999999999999999E-3</v>
      </c>
      <c r="D20" s="194">
        <v>0.39800000000000002</v>
      </c>
    </row>
    <row r="21" spans="1:4" ht="25.5" thickBot="1">
      <c r="A21" s="192" t="s">
        <v>122</v>
      </c>
      <c r="B21" s="107" t="s">
        <v>188</v>
      </c>
      <c r="C21" s="108">
        <v>0.01</v>
      </c>
      <c r="D21" s="195">
        <v>0.66300000000000003</v>
      </c>
    </row>
    <row r="22" spans="1:4" ht="25.5" thickBot="1">
      <c r="A22" s="192" t="s">
        <v>122</v>
      </c>
      <c r="B22" s="107" t="s">
        <v>189</v>
      </c>
      <c r="C22" s="108">
        <v>0.01</v>
      </c>
      <c r="D22" s="195">
        <v>0.66300000000000003</v>
      </c>
    </row>
    <row r="23" spans="1:4" ht="25.5" thickBot="1">
      <c r="A23" s="192" t="s">
        <v>122</v>
      </c>
      <c r="B23" s="107" t="s">
        <v>190</v>
      </c>
      <c r="C23" s="108">
        <v>0.01</v>
      </c>
      <c r="D23" s="195">
        <v>0.66300000000000003</v>
      </c>
    </row>
    <row r="24" spans="1:4" ht="25.5" thickBot="1">
      <c r="A24" s="192" t="s">
        <v>122</v>
      </c>
      <c r="B24" s="107" t="s">
        <v>191</v>
      </c>
      <c r="C24" s="108">
        <v>0.01</v>
      </c>
      <c r="D24" s="195">
        <v>0.66300000000000003</v>
      </c>
    </row>
    <row r="25" spans="1:4" ht="25.5" thickBot="1">
      <c r="A25" s="192" t="s">
        <v>122</v>
      </c>
      <c r="B25" s="107" t="s">
        <v>192</v>
      </c>
      <c r="C25" s="108">
        <v>0.01</v>
      </c>
      <c r="D25" s="195">
        <v>0.66300000000000003</v>
      </c>
    </row>
    <row r="26" spans="1:4" ht="25.5" thickBot="1">
      <c r="A26" s="192" t="s">
        <v>122</v>
      </c>
      <c r="B26" s="107" t="s">
        <v>193</v>
      </c>
      <c r="C26" s="108">
        <v>0.01</v>
      </c>
      <c r="D26" s="195">
        <v>0.66300000000000003</v>
      </c>
    </row>
    <row r="27" spans="1:4" ht="25.5" thickBot="1">
      <c r="A27" s="192" t="s">
        <v>122</v>
      </c>
      <c r="B27" s="107" t="s">
        <v>194</v>
      </c>
      <c r="C27" s="108">
        <v>0.01</v>
      </c>
      <c r="D27" s="195">
        <v>0.59599999999999997</v>
      </c>
    </row>
    <row r="28" spans="1:4" ht="25.5" thickBot="1">
      <c r="A28" s="192" t="s">
        <v>122</v>
      </c>
      <c r="B28" s="107" t="s">
        <v>195</v>
      </c>
      <c r="C28" s="108">
        <v>6.0000000000000001E-3</v>
      </c>
      <c r="D28" s="195">
        <v>0.53</v>
      </c>
    </row>
    <row r="29" spans="1:4" ht="25.5" thickBot="1">
      <c r="A29" s="192" t="s">
        <v>122</v>
      </c>
      <c r="B29" s="107" t="s">
        <v>196</v>
      </c>
      <c r="C29" s="108">
        <v>2E-3</v>
      </c>
      <c r="D29" s="195">
        <v>0.46400000000000002</v>
      </c>
    </row>
    <row r="30" spans="1:4" ht="25.5" thickBot="1">
      <c r="A30" s="192" t="s">
        <v>122</v>
      </c>
      <c r="B30" s="107" t="s">
        <v>183</v>
      </c>
      <c r="C30" s="108">
        <v>2E-3</v>
      </c>
      <c r="D30" s="195">
        <v>0.39800000000000002</v>
      </c>
    </row>
    <row r="31" spans="1:4" ht="25.5" thickBot="1">
      <c r="A31" s="192" t="s">
        <v>122</v>
      </c>
      <c r="B31" s="107" t="s">
        <v>197</v>
      </c>
      <c r="C31" s="108">
        <v>1.2999999999999999E-3</v>
      </c>
      <c r="D31" s="194">
        <v>0.39800000000000002</v>
      </c>
    </row>
    <row r="32" spans="1:4" ht="25.5" thickBot="1">
      <c r="A32" s="192" t="s">
        <v>122</v>
      </c>
      <c r="B32" s="107" t="s">
        <v>185</v>
      </c>
      <c r="C32" s="110">
        <v>1.2999999999999999E-3</v>
      </c>
      <c r="D32" s="194">
        <v>0.39800000000000002</v>
      </c>
    </row>
    <row r="33" spans="1:4" ht="25.5" thickBot="1">
      <c r="A33" s="192" t="s">
        <v>122</v>
      </c>
      <c r="B33" s="107" t="s">
        <v>186</v>
      </c>
      <c r="C33" s="110">
        <v>1.2999999999999999E-3</v>
      </c>
      <c r="D33" s="194">
        <v>0.39800000000000002</v>
      </c>
    </row>
    <row r="34" spans="1:4" ht="25.5" thickBot="1">
      <c r="A34" s="192" t="s">
        <v>122</v>
      </c>
      <c r="B34" s="107" t="s">
        <v>187</v>
      </c>
      <c r="C34" s="110">
        <v>1.2999999999999999E-3</v>
      </c>
      <c r="D34" s="194">
        <v>0.39800000000000002</v>
      </c>
    </row>
    <row r="35" spans="1:4" ht="38" thickBot="1">
      <c r="A35" s="192" t="s">
        <v>123</v>
      </c>
      <c r="B35" s="107" t="s">
        <v>188</v>
      </c>
      <c r="C35" s="108">
        <v>0.01</v>
      </c>
      <c r="D35" s="195">
        <v>0.66300000000000003</v>
      </c>
    </row>
    <row r="36" spans="1:4" ht="38" thickBot="1">
      <c r="A36" s="192" t="s">
        <v>123</v>
      </c>
      <c r="B36" s="107" t="s">
        <v>189</v>
      </c>
      <c r="C36" s="108">
        <v>0.01</v>
      </c>
      <c r="D36" s="195">
        <v>0.66300000000000003</v>
      </c>
    </row>
    <row r="37" spans="1:4" ht="38" thickBot="1">
      <c r="A37" s="192" t="s">
        <v>123</v>
      </c>
      <c r="B37" s="107" t="s">
        <v>190</v>
      </c>
      <c r="C37" s="108">
        <v>0.01</v>
      </c>
      <c r="D37" s="195">
        <v>0.66300000000000003</v>
      </c>
    </row>
    <row r="38" spans="1:4" ht="38" thickBot="1">
      <c r="A38" s="192" t="s">
        <v>123</v>
      </c>
      <c r="B38" s="107" t="s">
        <v>191</v>
      </c>
      <c r="C38" s="108">
        <v>0.01</v>
      </c>
      <c r="D38" s="195">
        <v>0.66300000000000003</v>
      </c>
    </row>
    <row r="39" spans="1:4" ht="38" thickBot="1">
      <c r="A39" s="192" t="s">
        <v>123</v>
      </c>
      <c r="B39" s="107" t="s">
        <v>192</v>
      </c>
      <c r="C39" s="108">
        <v>0.01</v>
      </c>
      <c r="D39" s="195">
        <v>0.66300000000000003</v>
      </c>
    </row>
    <row r="40" spans="1:4" ht="38" thickBot="1">
      <c r="A40" s="192" t="s">
        <v>123</v>
      </c>
      <c r="B40" s="107" t="s">
        <v>194</v>
      </c>
      <c r="C40" s="108">
        <v>1.0999999999999999E-2</v>
      </c>
      <c r="D40" s="195">
        <v>0.59599999999999997</v>
      </c>
    </row>
    <row r="41" spans="1:4" ht="38" thickBot="1">
      <c r="A41" s="192" t="s">
        <v>123</v>
      </c>
      <c r="B41" s="107" t="s">
        <v>195</v>
      </c>
      <c r="C41" s="108">
        <v>6.0000000000000001E-3</v>
      </c>
      <c r="D41" s="195">
        <v>0.53</v>
      </c>
    </row>
    <row r="42" spans="1:4" ht="38" thickBot="1">
      <c r="A42" s="192" t="s">
        <v>123</v>
      </c>
      <c r="B42" s="107" t="s">
        <v>196</v>
      </c>
      <c r="C42" s="108">
        <v>2E-3</v>
      </c>
      <c r="D42" s="195">
        <v>0.46400000000000002</v>
      </c>
    </row>
    <row r="43" spans="1:4" ht="38" thickBot="1">
      <c r="A43" s="192" t="s">
        <v>123</v>
      </c>
      <c r="B43" s="107" t="s">
        <v>183</v>
      </c>
      <c r="C43" s="108">
        <v>2E-3</v>
      </c>
      <c r="D43" s="195">
        <v>0.39800000000000002</v>
      </c>
    </row>
    <row r="44" spans="1:4" ht="38" thickBot="1">
      <c r="A44" s="192" t="s">
        <v>123</v>
      </c>
      <c r="B44" s="107" t="s">
        <v>197</v>
      </c>
      <c r="C44" s="108">
        <v>1.2999999999999999E-3</v>
      </c>
      <c r="D44" s="194">
        <v>0.39800000000000002</v>
      </c>
    </row>
    <row r="45" spans="1:4" ht="38" thickBot="1">
      <c r="A45" s="192" t="s">
        <v>123</v>
      </c>
      <c r="B45" s="107" t="s">
        <v>185</v>
      </c>
      <c r="C45" s="110">
        <v>1.2999999999999999E-3</v>
      </c>
      <c r="D45" s="194">
        <v>0.39800000000000002</v>
      </c>
    </row>
    <row r="46" spans="1:4" ht="38" thickBot="1">
      <c r="A46" s="192" t="s">
        <v>123</v>
      </c>
      <c r="B46" s="107" t="s">
        <v>186</v>
      </c>
      <c r="C46" s="110">
        <v>1.2999999999999999E-3</v>
      </c>
      <c r="D46" s="194">
        <v>0.39800000000000002</v>
      </c>
    </row>
    <row r="47" spans="1:4" ht="38" thickBot="1">
      <c r="A47" s="192" t="s">
        <v>123</v>
      </c>
      <c r="B47" s="107" t="s">
        <v>187</v>
      </c>
      <c r="C47" s="110">
        <v>1.2999999999999999E-3</v>
      </c>
      <c r="D47" s="194">
        <v>0.39800000000000002</v>
      </c>
    </row>
    <row r="48" spans="1:4" ht="25.5" thickBot="1">
      <c r="A48" s="192" t="s">
        <v>124</v>
      </c>
      <c r="B48" s="107" t="s">
        <v>183</v>
      </c>
      <c r="C48" s="108">
        <v>1E-3</v>
      </c>
      <c r="D48" s="195">
        <v>0.39800000000000002</v>
      </c>
    </row>
    <row r="49" spans="1:4" ht="25.5" thickBot="1">
      <c r="A49" s="192" t="s">
        <v>124</v>
      </c>
      <c r="B49" s="107" t="s">
        <v>197</v>
      </c>
      <c r="C49" s="108">
        <v>4.0000000000000001E-3</v>
      </c>
      <c r="D49" s="194">
        <v>0.39800000000000002</v>
      </c>
    </row>
    <row r="50" spans="1:4" ht="25.5" thickBot="1">
      <c r="A50" s="192" t="s">
        <v>124</v>
      </c>
      <c r="B50" s="107" t="s">
        <v>185</v>
      </c>
      <c r="C50" s="110">
        <v>4.0000000000000001E-3</v>
      </c>
      <c r="D50" s="194">
        <v>0.39800000000000002</v>
      </c>
    </row>
    <row r="51" spans="1:4" ht="25.5" thickBot="1">
      <c r="A51" s="192" t="s">
        <v>124</v>
      </c>
      <c r="B51" s="107" t="s">
        <v>186</v>
      </c>
      <c r="C51" s="110">
        <v>4.0000000000000001E-3</v>
      </c>
      <c r="D51" s="194">
        <v>0.39800000000000002</v>
      </c>
    </row>
    <row r="52" spans="1:4" ht="25.5" thickBot="1">
      <c r="A52" s="192" t="s">
        <v>124</v>
      </c>
      <c r="B52" s="107" t="s">
        <v>187</v>
      </c>
      <c r="C52" s="110">
        <v>4.0000000000000001E-3</v>
      </c>
      <c r="D52" s="194">
        <v>0.39800000000000002</v>
      </c>
    </row>
    <row r="53" spans="1:4" ht="25.5" thickBot="1">
      <c r="A53" s="192" t="s">
        <v>125</v>
      </c>
      <c r="B53" s="107" t="s">
        <v>126</v>
      </c>
      <c r="C53" s="108">
        <v>0</v>
      </c>
      <c r="D53" s="195">
        <v>0.66300000000000003</v>
      </c>
    </row>
    <row r="54" spans="1:4" ht="25.5" thickBot="1">
      <c r="A54" s="192" t="s">
        <v>125</v>
      </c>
      <c r="B54" s="107" t="s">
        <v>194</v>
      </c>
      <c r="C54" s="108">
        <v>3.0000000000000001E-3</v>
      </c>
      <c r="D54" s="195">
        <v>0.59599999999999997</v>
      </c>
    </row>
    <row r="55" spans="1:4" ht="25.5" thickBot="1">
      <c r="A55" s="192" t="s">
        <v>125</v>
      </c>
      <c r="B55" s="107" t="s">
        <v>195</v>
      </c>
      <c r="C55" s="108">
        <v>5.0000000000000001E-3</v>
      </c>
      <c r="D55" s="195">
        <v>0.53</v>
      </c>
    </row>
    <row r="56" spans="1:4" ht="25.5" thickBot="1">
      <c r="A56" s="192" t="s">
        <v>125</v>
      </c>
      <c r="B56" s="107" t="s">
        <v>196</v>
      </c>
      <c r="C56" s="108">
        <v>7.0000000000000001E-3</v>
      </c>
      <c r="D56" s="195">
        <v>0.46400000000000002</v>
      </c>
    </row>
    <row r="57" spans="1:4" ht="25.5" thickBot="1">
      <c r="A57" s="192" t="s">
        <v>125</v>
      </c>
      <c r="B57" s="107" t="s">
        <v>183</v>
      </c>
      <c r="C57" s="108">
        <v>0.01</v>
      </c>
      <c r="D57" s="195">
        <v>0.39800000000000002</v>
      </c>
    </row>
    <row r="58" spans="1:4" ht="25.5" thickBot="1">
      <c r="A58" s="192" t="s">
        <v>125</v>
      </c>
      <c r="B58" s="107" t="s">
        <v>197</v>
      </c>
      <c r="C58" s="108">
        <v>4.0000000000000001E-3</v>
      </c>
      <c r="D58" s="195">
        <v>0.39800000000000002</v>
      </c>
    </row>
    <row r="59" spans="1:4" ht="25.5" thickBot="1">
      <c r="A59" s="192" t="s">
        <v>125</v>
      </c>
      <c r="B59" s="107" t="s">
        <v>238</v>
      </c>
      <c r="C59" s="108">
        <v>4.0000000000000001E-3</v>
      </c>
      <c r="D59" s="195">
        <v>0.39800000000000002</v>
      </c>
    </row>
    <row r="60" spans="1:4" ht="25.5" thickBot="1">
      <c r="A60" s="192" t="s">
        <v>125</v>
      </c>
      <c r="B60" s="107" t="s">
        <v>239</v>
      </c>
      <c r="C60" s="108">
        <v>4.0000000000000001E-3</v>
      </c>
      <c r="D60" s="195">
        <v>0.39800000000000002</v>
      </c>
    </row>
    <row r="61" spans="1:4" ht="25.5" thickBot="1">
      <c r="A61" s="192" t="s">
        <v>125</v>
      </c>
      <c r="B61" s="107" t="s">
        <v>240</v>
      </c>
      <c r="C61" s="108">
        <v>4.0000000000000001E-3</v>
      </c>
      <c r="D61" s="195">
        <v>0.39800000000000002</v>
      </c>
    </row>
    <row r="62" spans="1:4" ht="38" thickBot="1">
      <c r="A62" s="192" t="s">
        <v>127</v>
      </c>
      <c r="B62" s="107" t="s">
        <v>126</v>
      </c>
      <c r="C62" s="108">
        <v>0</v>
      </c>
      <c r="D62" s="195">
        <v>0.66300000000000003</v>
      </c>
    </row>
    <row r="63" spans="1:4" ht="38" thickBot="1">
      <c r="A63" s="192" t="s">
        <v>127</v>
      </c>
      <c r="B63" s="107" t="s">
        <v>194</v>
      </c>
      <c r="C63" s="108">
        <v>3.0000000000000001E-3</v>
      </c>
      <c r="D63" s="195">
        <v>0.59599999999999997</v>
      </c>
    </row>
    <row r="64" spans="1:4" ht="38" thickBot="1">
      <c r="A64" s="192" t="s">
        <v>127</v>
      </c>
      <c r="B64" s="107" t="s">
        <v>195</v>
      </c>
      <c r="C64" s="108">
        <v>5.0000000000000001E-3</v>
      </c>
      <c r="D64" s="195">
        <v>0.53</v>
      </c>
    </row>
    <row r="65" spans="1:4" ht="38" thickBot="1">
      <c r="A65" s="192" t="s">
        <v>127</v>
      </c>
      <c r="B65" s="107" t="s">
        <v>196</v>
      </c>
      <c r="C65" s="108">
        <v>0.01</v>
      </c>
      <c r="D65" s="195">
        <v>0.46400000000000002</v>
      </c>
    </row>
    <row r="66" spans="1:4" ht="38" thickBot="1">
      <c r="A66" s="192" t="s">
        <v>127</v>
      </c>
      <c r="B66" s="107" t="s">
        <v>183</v>
      </c>
      <c r="C66" s="108">
        <v>0.01</v>
      </c>
      <c r="D66" s="195">
        <v>0.39800000000000002</v>
      </c>
    </row>
    <row r="67" spans="1:4" ht="38" thickBot="1">
      <c r="A67" s="192" t="s">
        <v>127</v>
      </c>
      <c r="B67" s="107" t="s">
        <v>197</v>
      </c>
      <c r="C67" s="108">
        <v>4.0000000000000001E-3</v>
      </c>
      <c r="D67" s="195">
        <v>0.39800000000000002</v>
      </c>
    </row>
    <row r="68" spans="1:4" ht="38" thickBot="1">
      <c r="A68" s="192" t="s">
        <v>127</v>
      </c>
      <c r="B68" s="107" t="s">
        <v>185</v>
      </c>
      <c r="C68" s="108">
        <v>4.0000000000000001E-3</v>
      </c>
      <c r="D68" s="195">
        <v>0.39800000000000002</v>
      </c>
    </row>
    <row r="69" spans="1:4" ht="38" thickBot="1">
      <c r="A69" s="192" t="s">
        <v>127</v>
      </c>
      <c r="B69" s="107" t="s">
        <v>186</v>
      </c>
      <c r="C69" s="108">
        <v>4.0000000000000001E-3</v>
      </c>
      <c r="D69" s="195">
        <v>0.39800000000000002</v>
      </c>
    </row>
    <row r="70" spans="1:4" ht="38" thickBot="1">
      <c r="A70" s="192" t="s">
        <v>127</v>
      </c>
      <c r="B70" s="107" t="s">
        <v>187</v>
      </c>
      <c r="C70" s="108">
        <v>4.0000000000000001E-3</v>
      </c>
      <c r="D70" s="195">
        <v>0.39800000000000002</v>
      </c>
    </row>
    <row r="71" spans="1:4" ht="13" thickBot="1">
      <c r="A71" s="192" t="s">
        <v>23</v>
      </c>
      <c r="B71" s="107" t="s">
        <v>126</v>
      </c>
      <c r="C71" s="108">
        <v>0</v>
      </c>
      <c r="D71" s="195">
        <v>0.66300000000000003</v>
      </c>
    </row>
    <row r="72" spans="1:4" ht="13" thickBot="1">
      <c r="A72" s="192" t="s">
        <v>23</v>
      </c>
      <c r="B72" s="107" t="s">
        <v>194</v>
      </c>
      <c r="C72" s="108">
        <v>0.02</v>
      </c>
      <c r="D72" s="195">
        <v>0.59599999999999997</v>
      </c>
    </row>
    <row r="73" spans="1:4" ht="13" thickBot="1">
      <c r="A73" s="192" t="s">
        <v>23</v>
      </c>
      <c r="B73" s="107" t="s">
        <v>195</v>
      </c>
      <c r="C73" s="108">
        <v>8.0000000000000002E-3</v>
      </c>
      <c r="D73" s="195">
        <v>0.53</v>
      </c>
    </row>
    <row r="74" spans="1:4" ht="13" thickBot="1">
      <c r="A74" s="192" t="s">
        <v>23</v>
      </c>
      <c r="B74" s="107" t="s">
        <v>196</v>
      </c>
      <c r="C74" s="108">
        <v>4.0000000000000001E-3</v>
      </c>
      <c r="D74" s="195">
        <v>0.46400000000000002</v>
      </c>
    </row>
    <row r="75" spans="1:4" ht="13" thickBot="1">
      <c r="A75" s="192" t="s">
        <v>23</v>
      </c>
      <c r="B75" s="107" t="s">
        <v>183</v>
      </c>
      <c r="C75" s="108">
        <v>4.0000000000000001E-3</v>
      </c>
      <c r="D75" s="195">
        <v>0.39800000000000002</v>
      </c>
    </row>
    <row r="76" spans="1:4" ht="13" thickBot="1">
      <c r="A76" s="192" t="s">
        <v>23</v>
      </c>
      <c r="B76" s="107" t="s">
        <v>197</v>
      </c>
      <c r="C76" s="108">
        <v>4.0000000000000001E-3</v>
      </c>
      <c r="D76" s="195">
        <v>0.39800000000000002</v>
      </c>
    </row>
    <row r="77" spans="1:4" ht="13" thickBot="1">
      <c r="A77" s="192" t="s">
        <v>23</v>
      </c>
      <c r="B77" s="107" t="s">
        <v>241</v>
      </c>
      <c r="C77" s="108">
        <v>4.0000000000000001E-3</v>
      </c>
      <c r="D77" s="195">
        <v>0.39800000000000002</v>
      </c>
    </row>
    <row r="78" spans="1:4" ht="13" thickBot="1">
      <c r="A78" s="192" t="s">
        <v>242</v>
      </c>
      <c r="B78" s="107" t="s">
        <v>126</v>
      </c>
      <c r="C78" s="108">
        <v>5.0000000000000001E-3</v>
      </c>
      <c r="D78" s="193" t="s">
        <v>243</v>
      </c>
    </row>
    <row r="79" spans="1:4" ht="25.5" thickBot="1">
      <c r="A79" s="192" t="s">
        <v>244</v>
      </c>
      <c r="B79" s="107" t="s">
        <v>118</v>
      </c>
      <c r="C79" s="108">
        <v>2.0000000000000001E-4</v>
      </c>
      <c r="D79" s="195">
        <v>0.39800000000000002</v>
      </c>
    </row>
    <row r="80" spans="1:4" ht="38" thickBot="1">
      <c r="A80" s="192" t="s">
        <v>130</v>
      </c>
      <c r="B80" s="107" t="s">
        <v>118</v>
      </c>
      <c r="C80" s="108">
        <v>2.0000000000000001E-4</v>
      </c>
      <c r="D80" s="195">
        <v>0.39800000000000002</v>
      </c>
    </row>
    <row r="81" spans="1:4" ht="38" thickBot="1">
      <c r="A81" s="192" t="s">
        <v>245</v>
      </c>
      <c r="B81" s="107" t="s">
        <v>118</v>
      </c>
      <c r="C81" s="108">
        <v>2.0000000000000001E-4</v>
      </c>
      <c r="D81" s="195">
        <v>0.39800000000000002</v>
      </c>
    </row>
    <row r="82" spans="1:4" ht="25.5" thickBot="1">
      <c r="A82" s="192" t="s">
        <v>132</v>
      </c>
      <c r="B82" s="107" t="s">
        <v>133</v>
      </c>
      <c r="C82" s="108">
        <v>2.0000000000000001E-4</v>
      </c>
      <c r="D82" s="195">
        <v>0.39800000000000002</v>
      </c>
    </row>
    <row r="83" spans="1:4" ht="38" thickBot="1">
      <c r="A83" s="192" t="s">
        <v>134</v>
      </c>
      <c r="B83" s="107" t="s">
        <v>133</v>
      </c>
      <c r="C83" s="108">
        <v>2.0000000000000001E-4</v>
      </c>
      <c r="D83" s="195">
        <v>0.39800000000000002</v>
      </c>
    </row>
    <row r="84" spans="1:4" ht="38" thickBot="1">
      <c r="A84" s="192" t="s">
        <v>246</v>
      </c>
      <c r="B84" s="107" t="s">
        <v>133</v>
      </c>
      <c r="C84" s="108">
        <v>2.0000000000000001E-4</v>
      </c>
      <c r="D84" s="195">
        <v>0.39800000000000002</v>
      </c>
    </row>
    <row r="85" spans="1:4" ht="38" thickBot="1">
      <c r="A85" s="192" t="s">
        <v>247</v>
      </c>
      <c r="B85" s="107" t="s">
        <v>137</v>
      </c>
      <c r="C85" s="108">
        <v>4.0000000000000001E-3</v>
      </c>
      <c r="D85" s="195">
        <v>0.39800000000000002</v>
      </c>
    </row>
    <row r="86" spans="1:4" ht="13" thickBot="1">
      <c r="A86" s="192" t="s">
        <v>25</v>
      </c>
      <c r="B86" s="107" t="s">
        <v>118</v>
      </c>
      <c r="C86" s="108">
        <v>2E-3</v>
      </c>
      <c r="D86" s="195">
        <v>0.39800000000000002</v>
      </c>
    </row>
    <row r="87" spans="1:4" ht="25">
      <c r="A87" s="199" t="s">
        <v>27</v>
      </c>
      <c r="B87" s="200" t="s">
        <v>248</v>
      </c>
      <c r="C87" s="201">
        <v>1E-3</v>
      </c>
      <c r="D87" s="202">
        <v>0.39800000000000002</v>
      </c>
    </row>
  </sheetData>
  <pageMargins left="0.7" right="0.7" top="0.75" bottom="0.75" header="0.3" footer="0.3"/>
  <pageSetup orientation="portrait" horizontalDpi="4294967293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E1663-1523-466D-8FF9-6E31003DCAD9}">
  <dimension ref="A1:D19"/>
  <sheetViews>
    <sheetView workbookViewId="0">
      <selection activeCell="G20" sqref="G20"/>
    </sheetView>
  </sheetViews>
  <sheetFormatPr defaultRowHeight="12.5"/>
  <cols>
    <col min="1" max="1" width="6.81640625" customWidth="1"/>
    <col min="2" max="2" width="18.54296875" bestFit="1" customWidth="1"/>
    <col min="3" max="3" width="12.1796875" customWidth="1"/>
    <col min="4" max="4" width="16.08984375" customWidth="1"/>
  </cols>
  <sheetData>
    <row r="1" spans="1:4" ht="13" thickBot="1">
      <c r="A1" s="155" t="s">
        <v>180</v>
      </c>
      <c r="B1" s="156" t="s">
        <v>114</v>
      </c>
      <c r="C1" s="156" t="s">
        <v>210</v>
      </c>
      <c r="D1" s="157" t="s">
        <v>211</v>
      </c>
    </row>
    <row r="2" spans="1:4" ht="13" thickBot="1">
      <c r="A2" s="203" t="s">
        <v>20</v>
      </c>
      <c r="B2" s="72" t="s">
        <v>126</v>
      </c>
      <c r="C2" s="74">
        <v>0.01</v>
      </c>
      <c r="D2" s="204">
        <v>0.66300000000000003</v>
      </c>
    </row>
    <row r="3" spans="1:4" ht="13" thickBot="1">
      <c r="A3" s="203" t="s">
        <v>20</v>
      </c>
      <c r="B3" s="72" t="s">
        <v>212</v>
      </c>
      <c r="C3" s="74">
        <v>2.5000000000000001E-2</v>
      </c>
      <c r="D3" s="204">
        <v>0.59599999999999997</v>
      </c>
    </row>
    <row r="4" spans="1:4" ht="13" thickBot="1">
      <c r="A4" s="203" t="s">
        <v>20</v>
      </c>
      <c r="B4" s="72" t="s">
        <v>213</v>
      </c>
      <c r="C4" s="74">
        <v>2.5000000000000001E-2</v>
      </c>
      <c r="D4" s="204">
        <v>0.53</v>
      </c>
    </row>
    <row r="5" spans="1:4" ht="13" thickBot="1">
      <c r="A5" s="203" t="s">
        <v>20</v>
      </c>
      <c r="B5" s="72" t="s">
        <v>196</v>
      </c>
      <c r="C5" s="74">
        <v>2.8000000000000001E-2</v>
      </c>
      <c r="D5" s="204">
        <v>0.46400000000000002</v>
      </c>
    </row>
    <row r="6" spans="1:4" ht="13" thickBot="1">
      <c r="A6" s="203" t="s">
        <v>20</v>
      </c>
      <c r="B6" s="72" t="s">
        <v>183</v>
      </c>
      <c r="C6" s="74">
        <v>1.2999999999999999E-2</v>
      </c>
      <c r="D6" s="204">
        <v>0.39800000000000002</v>
      </c>
    </row>
    <row r="7" spans="1:4" ht="13" thickBot="1">
      <c r="A7" s="203" t="s">
        <v>20</v>
      </c>
      <c r="B7" s="72" t="s">
        <v>184</v>
      </c>
      <c r="C7" s="74">
        <v>1.2999999999999999E-3</v>
      </c>
      <c r="D7" s="204">
        <v>0.39800000000000002</v>
      </c>
    </row>
    <row r="8" spans="1:4" ht="13" thickBot="1">
      <c r="A8" s="203" t="s">
        <v>20</v>
      </c>
      <c r="B8" s="72" t="s">
        <v>185</v>
      </c>
      <c r="C8" s="74">
        <v>1.2999999999999999E-3</v>
      </c>
      <c r="D8" s="204">
        <v>0.39800000000000002</v>
      </c>
    </row>
    <row r="9" spans="1:4" ht="13" thickBot="1">
      <c r="A9" s="203" t="s">
        <v>20</v>
      </c>
      <c r="B9" s="72" t="s">
        <v>186</v>
      </c>
      <c r="C9" s="74">
        <v>1.2999999999999999E-3</v>
      </c>
      <c r="D9" s="204">
        <v>0.39800000000000002</v>
      </c>
    </row>
    <row r="10" spans="1:4" ht="13" thickBot="1">
      <c r="A10" s="203" t="s">
        <v>20</v>
      </c>
      <c r="B10" s="72" t="s">
        <v>186</v>
      </c>
      <c r="C10" s="74">
        <v>1.2999999999999999E-3</v>
      </c>
      <c r="D10" s="204">
        <v>0.39800000000000002</v>
      </c>
    </row>
    <row r="11" spans="1:4" ht="13" thickBot="1">
      <c r="A11" s="203" t="s">
        <v>22</v>
      </c>
      <c r="B11" s="72" t="s">
        <v>126</v>
      </c>
      <c r="C11" s="74">
        <v>0</v>
      </c>
      <c r="D11" s="204">
        <v>0.66300000000000003</v>
      </c>
    </row>
    <row r="12" spans="1:4" ht="13" thickBot="1">
      <c r="A12" s="203" t="s">
        <v>22</v>
      </c>
      <c r="B12" s="72" t="s">
        <v>212</v>
      </c>
      <c r="C12" s="74">
        <v>3.0000000000000001E-3</v>
      </c>
      <c r="D12" s="204">
        <v>0.59599999999999997</v>
      </c>
    </row>
    <row r="13" spans="1:4" ht="13" thickBot="1">
      <c r="A13" s="203" t="s">
        <v>22</v>
      </c>
      <c r="B13" s="72" t="s">
        <v>213</v>
      </c>
      <c r="C13" s="74">
        <v>6.0000000000000001E-3</v>
      </c>
      <c r="D13" s="204">
        <v>0.53</v>
      </c>
    </row>
    <row r="14" spans="1:4" ht="13" thickBot="1">
      <c r="A14" s="203" t="s">
        <v>22</v>
      </c>
      <c r="B14" s="72" t="s">
        <v>196</v>
      </c>
      <c r="C14" s="74">
        <v>8.9999999999999993E-3</v>
      </c>
      <c r="D14" s="204">
        <v>0.46400000000000002</v>
      </c>
    </row>
    <row r="15" spans="1:4" ht="13" thickBot="1">
      <c r="A15" s="203" t="s">
        <v>22</v>
      </c>
      <c r="B15" s="72" t="s">
        <v>183</v>
      </c>
      <c r="C15" s="74">
        <v>8.9999999999999993E-3</v>
      </c>
      <c r="D15" s="204">
        <v>0.39800000000000002</v>
      </c>
    </row>
    <row r="16" spans="1:4" ht="13" thickBot="1">
      <c r="A16" s="203" t="s">
        <v>22</v>
      </c>
      <c r="B16" s="72" t="s">
        <v>184</v>
      </c>
      <c r="C16" s="74">
        <v>4.0000000000000001E-3</v>
      </c>
      <c r="D16" s="204">
        <v>0.39800000000000002</v>
      </c>
    </row>
    <row r="17" spans="1:4" ht="13" thickBot="1">
      <c r="A17" s="203" t="s">
        <v>22</v>
      </c>
      <c r="B17" s="72" t="s">
        <v>185</v>
      </c>
      <c r="C17" s="74">
        <v>4.0000000000000001E-3</v>
      </c>
      <c r="D17" s="204">
        <v>0.39800000000000002</v>
      </c>
    </row>
    <row r="18" spans="1:4" ht="13" thickBot="1">
      <c r="A18" s="203" t="s">
        <v>22</v>
      </c>
      <c r="B18" s="72" t="s">
        <v>186</v>
      </c>
      <c r="C18" s="74">
        <v>4.0000000000000001E-3</v>
      </c>
      <c r="D18" s="204">
        <v>0.39800000000000002</v>
      </c>
    </row>
    <row r="19" spans="1:4">
      <c r="A19" s="203" t="s">
        <v>22</v>
      </c>
      <c r="B19" s="159" t="s">
        <v>186</v>
      </c>
      <c r="C19" s="170">
        <v>4.0000000000000001E-3</v>
      </c>
      <c r="D19" s="205">
        <v>0.39800000000000002</v>
      </c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0E476-3021-43AC-89CC-09215A64995F}">
  <dimension ref="B1:E34"/>
  <sheetViews>
    <sheetView workbookViewId="0">
      <selection activeCell="F13" sqref="F13"/>
    </sheetView>
  </sheetViews>
  <sheetFormatPr defaultRowHeight="12.5"/>
  <cols>
    <col min="2" max="2" width="13.7265625" bestFit="1" customWidth="1"/>
    <col min="3" max="3" width="19.453125" bestFit="1" customWidth="1"/>
    <col min="4" max="4" width="12.1796875" customWidth="1"/>
    <col min="5" max="5" width="16.08984375" customWidth="1"/>
  </cols>
  <sheetData>
    <row r="1" spans="2:5" ht="13" thickBot="1">
      <c r="B1" s="155" t="s">
        <v>180</v>
      </c>
      <c r="C1" s="156" t="s">
        <v>114</v>
      </c>
      <c r="D1" s="156" t="s">
        <v>210</v>
      </c>
      <c r="E1" s="157" t="s">
        <v>211</v>
      </c>
    </row>
    <row r="2" spans="2:5" ht="13" thickBot="1">
      <c r="B2" s="152" t="s">
        <v>214</v>
      </c>
      <c r="C2" s="72" t="s">
        <v>126</v>
      </c>
      <c r="D2" s="74">
        <v>6.0000000000000001E-3</v>
      </c>
      <c r="E2" s="154">
        <v>1.99</v>
      </c>
    </row>
    <row r="3" spans="2:5" ht="13" thickBot="1">
      <c r="B3" s="203" t="s">
        <v>215</v>
      </c>
      <c r="C3" s="72" t="s">
        <v>126</v>
      </c>
      <c r="D3" s="74">
        <v>2.9000000000000001E-2</v>
      </c>
      <c r="E3" s="204">
        <v>0.48599999999999999</v>
      </c>
    </row>
    <row r="4" spans="2:5" ht="13" thickBot="1">
      <c r="B4" s="203" t="s">
        <v>215</v>
      </c>
      <c r="C4" s="72" t="s">
        <v>199</v>
      </c>
      <c r="D4" s="74">
        <v>5.0000000000000001E-3</v>
      </c>
      <c r="E4" s="204">
        <v>0.48599999999999999</v>
      </c>
    </row>
    <row r="5" spans="2:5" ht="13" thickBot="1">
      <c r="B5" s="203" t="s">
        <v>215</v>
      </c>
      <c r="C5" s="72" t="s">
        <v>200</v>
      </c>
      <c r="D5" s="74">
        <v>4.0000000000000001E-3</v>
      </c>
      <c r="E5" s="204">
        <v>0.48599999999999999</v>
      </c>
    </row>
    <row r="6" spans="2:5" ht="13" thickBot="1">
      <c r="B6" s="203" t="s">
        <v>215</v>
      </c>
      <c r="C6" s="72" t="s">
        <v>201</v>
      </c>
      <c r="D6" s="74">
        <v>3.0000000000000001E-3</v>
      </c>
      <c r="E6" s="204">
        <v>0.48599999999999999</v>
      </c>
    </row>
    <row r="7" spans="2:5" ht="13" thickBot="1">
      <c r="B7" s="203" t="s">
        <v>215</v>
      </c>
      <c r="C7" s="72" t="s">
        <v>204</v>
      </c>
      <c r="D7" s="74">
        <v>6.0000000000000001E-3</v>
      </c>
      <c r="E7" s="204">
        <v>0.48599999999999999</v>
      </c>
    </row>
    <row r="8" spans="2:5" ht="13" thickBot="1">
      <c r="B8" s="203" t="s">
        <v>215</v>
      </c>
      <c r="C8" s="72" t="s">
        <v>205</v>
      </c>
      <c r="D8" s="74">
        <v>1.7000000000000001E-2</v>
      </c>
      <c r="E8" s="204">
        <v>0.48599999999999999</v>
      </c>
    </row>
    <row r="9" spans="2:5" ht="13" thickBot="1">
      <c r="B9" s="203" t="s">
        <v>215</v>
      </c>
      <c r="C9" s="72" t="s">
        <v>206</v>
      </c>
      <c r="D9" s="74">
        <v>1.7000000000000001E-2</v>
      </c>
      <c r="E9" s="204">
        <v>0.48599999999999999</v>
      </c>
    </row>
    <row r="10" spans="2:5" ht="13" thickBot="1">
      <c r="B10" s="203" t="s">
        <v>215</v>
      </c>
      <c r="C10" s="72" t="s">
        <v>207</v>
      </c>
      <c r="D10" s="74">
        <v>1.7000000000000001E-2</v>
      </c>
      <c r="E10" s="204">
        <v>0.48599999999999999</v>
      </c>
    </row>
    <row r="11" spans="2:5" ht="13" thickBot="1">
      <c r="B11" s="203" t="s">
        <v>216</v>
      </c>
      <c r="C11" s="72" t="s">
        <v>126</v>
      </c>
      <c r="D11" s="74">
        <v>2.8999999999999998E-3</v>
      </c>
      <c r="E11" s="204">
        <v>0.48599999999999999</v>
      </c>
    </row>
    <row r="12" spans="2:5" ht="13" thickBot="1">
      <c r="B12" s="203" t="s">
        <v>216</v>
      </c>
      <c r="C12" s="72" t="s">
        <v>199</v>
      </c>
      <c r="D12" s="74">
        <v>2.8999999999999998E-3</v>
      </c>
      <c r="E12" s="204">
        <v>0.48599999999999999</v>
      </c>
    </row>
    <row r="13" spans="2:5" ht="13" thickBot="1">
      <c r="B13" s="203" t="s">
        <v>216</v>
      </c>
      <c r="C13" s="72" t="s">
        <v>200</v>
      </c>
      <c r="D13" s="74">
        <v>2.8999999999999998E-3</v>
      </c>
      <c r="E13" s="204">
        <v>0.48599999999999999</v>
      </c>
    </row>
    <row r="14" spans="2:5" ht="13" thickBot="1">
      <c r="B14" s="203" t="s">
        <v>216</v>
      </c>
      <c r="C14" s="72" t="s">
        <v>201</v>
      </c>
      <c r="D14" s="74">
        <v>2.8999999999999998E-3</v>
      </c>
      <c r="E14" s="204">
        <v>0.48599999999999999</v>
      </c>
    </row>
    <row r="15" spans="2:5" ht="13" thickBot="1">
      <c r="B15" s="203" t="s">
        <v>216</v>
      </c>
      <c r="C15" s="72" t="s">
        <v>204</v>
      </c>
      <c r="D15" s="74">
        <v>2.8999999999999998E-3</v>
      </c>
      <c r="E15" s="204">
        <v>0.48599999999999999</v>
      </c>
    </row>
    <row r="16" spans="2:5" ht="13" thickBot="1">
      <c r="B16" s="203" t="s">
        <v>216</v>
      </c>
      <c r="C16" s="72" t="s">
        <v>205</v>
      </c>
      <c r="D16" s="74">
        <v>1.0999999999999999E-2</v>
      </c>
      <c r="E16" s="204">
        <v>0.48599999999999999</v>
      </c>
    </row>
    <row r="17" spans="2:5" ht="13" thickBot="1">
      <c r="B17" s="203" t="s">
        <v>216</v>
      </c>
      <c r="C17" s="72" t="s">
        <v>206</v>
      </c>
      <c r="D17" s="74">
        <v>8.9999999999999993E-3</v>
      </c>
      <c r="E17" s="204">
        <v>0.48599999999999999</v>
      </c>
    </row>
    <row r="18" spans="2:5" ht="13" thickBot="1">
      <c r="B18" s="203" t="s">
        <v>216</v>
      </c>
      <c r="C18" s="72" t="s">
        <v>207</v>
      </c>
      <c r="D18" s="74">
        <v>8.9999999999999993E-3</v>
      </c>
      <c r="E18" s="204">
        <v>0.48599999999999999</v>
      </c>
    </row>
    <row r="19" spans="2:5" ht="13" thickBot="1">
      <c r="B19" s="203" t="s">
        <v>217</v>
      </c>
      <c r="C19" s="72" t="s">
        <v>126</v>
      </c>
      <c r="D19" s="74">
        <v>2.8999999999999998E-3</v>
      </c>
      <c r="E19" s="204">
        <v>0.48599999999999999</v>
      </c>
    </row>
    <row r="20" spans="2:5" ht="13" thickBot="1">
      <c r="B20" s="203" t="s">
        <v>217</v>
      </c>
      <c r="C20" s="72" t="s">
        <v>199</v>
      </c>
      <c r="D20" s="74">
        <v>2.8999999999999998E-3</v>
      </c>
      <c r="E20" s="204">
        <v>0.48599999999999999</v>
      </c>
    </row>
    <row r="21" spans="2:5" ht="13" thickBot="1">
      <c r="B21" s="203" t="s">
        <v>217</v>
      </c>
      <c r="C21" s="72" t="s">
        <v>200</v>
      </c>
      <c r="D21" s="74">
        <v>2.8999999999999998E-3</v>
      </c>
      <c r="E21" s="204">
        <v>0.48599999999999999</v>
      </c>
    </row>
    <row r="22" spans="2:5" ht="13" thickBot="1">
      <c r="B22" s="203" t="s">
        <v>217</v>
      </c>
      <c r="C22" s="72" t="s">
        <v>201</v>
      </c>
      <c r="D22" s="74">
        <v>2.8999999999999998E-3</v>
      </c>
      <c r="E22" s="204">
        <v>0.48599999999999999</v>
      </c>
    </row>
    <row r="23" spans="2:5" ht="13" thickBot="1">
      <c r="B23" s="203" t="s">
        <v>217</v>
      </c>
      <c r="C23" s="72" t="s">
        <v>204</v>
      </c>
      <c r="D23" s="74">
        <v>2.8999999999999998E-3</v>
      </c>
      <c r="E23" s="204">
        <v>0.48599999999999999</v>
      </c>
    </row>
    <row r="24" spans="2:5" ht="13" thickBot="1">
      <c r="B24" s="203" t="s">
        <v>217</v>
      </c>
      <c r="C24" s="72" t="s">
        <v>205</v>
      </c>
      <c r="D24" s="74">
        <v>1.0999999999999999E-2</v>
      </c>
      <c r="E24" s="204">
        <v>0.48599999999999999</v>
      </c>
    </row>
    <row r="25" spans="2:5" ht="13" thickBot="1">
      <c r="B25" s="203" t="s">
        <v>217</v>
      </c>
      <c r="C25" s="72" t="s">
        <v>206</v>
      </c>
      <c r="D25" s="74">
        <v>8.9999999999999993E-3</v>
      </c>
      <c r="E25" s="204">
        <v>0.48599999999999999</v>
      </c>
    </row>
    <row r="26" spans="2:5" ht="13" thickBot="1">
      <c r="B26" s="203" t="s">
        <v>217</v>
      </c>
      <c r="C26" s="72" t="s">
        <v>207</v>
      </c>
      <c r="D26" s="74">
        <v>8.9999999999999993E-3</v>
      </c>
      <c r="E26" s="204">
        <v>0.48599999999999999</v>
      </c>
    </row>
    <row r="27" spans="2:5" ht="13" thickBot="1">
      <c r="B27" s="203" t="s">
        <v>218</v>
      </c>
      <c r="C27" s="72" t="s">
        <v>126</v>
      </c>
      <c r="D27" s="74">
        <v>2.8999999999999998E-3</v>
      </c>
      <c r="E27" s="204">
        <v>0.48599999999999999</v>
      </c>
    </row>
    <row r="28" spans="2:5" ht="13" thickBot="1">
      <c r="B28" s="203" t="s">
        <v>218</v>
      </c>
      <c r="C28" s="72" t="s">
        <v>199</v>
      </c>
      <c r="D28" s="74">
        <v>2.8999999999999998E-3</v>
      </c>
      <c r="E28" s="204">
        <v>0.48599999999999999</v>
      </c>
    </row>
    <row r="29" spans="2:5" ht="13" thickBot="1">
      <c r="B29" s="203" t="s">
        <v>218</v>
      </c>
      <c r="C29" s="72" t="s">
        <v>200</v>
      </c>
      <c r="D29" s="74">
        <v>2.8999999999999998E-3</v>
      </c>
      <c r="E29" s="204">
        <v>0.48599999999999999</v>
      </c>
    </row>
    <row r="30" spans="2:5" ht="13" thickBot="1">
      <c r="B30" s="203" t="s">
        <v>218</v>
      </c>
      <c r="C30" s="72" t="s">
        <v>201</v>
      </c>
      <c r="D30" s="74">
        <v>2.8999999999999998E-3</v>
      </c>
      <c r="E30" s="204">
        <v>0.48599999999999999</v>
      </c>
    </row>
    <row r="31" spans="2:5" ht="13" thickBot="1">
      <c r="B31" s="203" t="s">
        <v>218</v>
      </c>
      <c r="C31" s="72" t="s">
        <v>204</v>
      </c>
      <c r="D31" s="74">
        <v>2.8999999999999998E-3</v>
      </c>
      <c r="E31" s="204">
        <v>0.48599999999999999</v>
      </c>
    </row>
    <row r="32" spans="2:5" ht="13" thickBot="1">
      <c r="B32" s="203" t="s">
        <v>218</v>
      </c>
      <c r="C32" s="72" t="s">
        <v>205</v>
      </c>
      <c r="D32" s="74">
        <v>1.0999999999999999E-2</v>
      </c>
      <c r="E32" s="204">
        <v>0.48599999999999999</v>
      </c>
    </row>
    <row r="33" spans="2:5" ht="13" thickBot="1">
      <c r="B33" s="203" t="s">
        <v>218</v>
      </c>
      <c r="C33" s="72" t="s">
        <v>206</v>
      </c>
      <c r="D33" s="74">
        <v>8.9999999999999993E-3</v>
      </c>
      <c r="E33" s="204">
        <v>0.48599999999999999</v>
      </c>
    </row>
    <row r="34" spans="2:5">
      <c r="B34" s="203" t="s">
        <v>218</v>
      </c>
      <c r="C34" s="159" t="s">
        <v>207</v>
      </c>
      <c r="D34" s="170">
        <v>8.9999999999999993E-3</v>
      </c>
      <c r="E34" s="205">
        <v>0.48599999999999999</v>
      </c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5B794-90B5-4A16-B446-3C3177E5EF50}">
  <dimension ref="A1:D23"/>
  <sheetViews>
    <sheetView workbookViewId="0">
      <selection activeCell="F12" sqref="F12"/>
    </sheetView>
  </sheetViews>
  <sheetFormatPr defaultRowHeight="12.5"/>
  <cols>
    <col min="1" max="1" width="19" bestFit="1" customWidth="1"/>
    <col min="2" max="2" width="19.453125" bestFit="1" customWidth="1"/>
    <col min="3" max="3" width="6.453125" customWidth="1"/>
    <col min="4" max="4" width="6.54296875" customWidth="1"/>
  </cols>
  <sheetData>
    <row r="1" spans="1:4" ht="13" thickBot="1">
      <c r="A1" s="155" t="s">
        <v>180</v>
      </c>
      <c r="B1" s="156" t="s">
        <v>114</v>
      </c>
      <c r="C1" s="156" t="s">
        <v>41</v>
      </c>
      <c r="D1" s="157" t="s">
        <v>43</v>
      </c>
    </row>
    <row r="2" spans="1:4" ht="13" thickBot="1">
      <c r="A2" s="152" t="s">
        <v>198</v>
      </c>
      <c r="B2" s="72" t="s">
        <v>199</v>
      </c>
      <c r="C2" s="74">
        <v>0.10100000000000001</v>
      </c>
      <c r="D2" s="154">
        <v>1.86</v>
      </c>
    </row>
    <row r="3" spans="1:4" ht="13" thickBot="1">
      <c r="A3" s="152" t="s">
        <v>198</v>
      </c>
      <c r="B3" s="72" t="s">
        <v>200</v>
      </c>
      <c r="C3" s="73">
        <v>0.10100000000000001</v>
      </c>
      <c r="D3" s="154">
        <v>1.59</v>
      </c>
    </row>
    <row r="4" spans="1:4" ht="13" thickBot="1">
      <c r="A4" s="152" t="s">
        <v>198</v>
      </c>
      <c r="B4" s="72" t="s">
        <v>201</v>
      </c>
      <c r="C4" s="73">
        <v>0.10100000000000001</v>
      </c>
      <c r="D4" s="206">
        <v>1.59</v>
      </c>
    </row>
    <row r="5" spans="1:4" ht="13" thickBot="1">
      <c r="A5" s="152" t="s">
        <v>198</v>
      </c>
      <c r="B5" s="72" t="s">
        <v>148</v>
      </c>
      <c r="C5" s="73">
        <v>0.10100000000000001</v>
      </c>
      <c r="D5" s="153" t="s">
        <v>202</v>
      </c>
    </row>
    <row r="6" spans="1:4" ht="13" thickBot="1">
      <c r="A6" s="152" t="s">
        <v>203</v>
      </c>
      <c r="B6" s="72" t="s">
        <v>126</v>
      </c>
      <c r="C6" s="74">
        <v>2.9000000000000001E-2</v>
      </c>
      <c r="D6" s="154">
        <v>2.65</v>
      </c>
    </row>
    <row r="7" spans="1:4" ht="13" thickBot="1">
      <c r="A7" s="152" t="s">
        <v>203</v>
      </c>
      <c r="B7" s="72" t="s">
        <v>199</v>
      </c>
      <c r="C7" s="74">
        <v>1.2E-2</v>
      </c>
      <c r="D7" s="154">
        <v>2.0499999999999998</v>
      </c>
    </row>
    <row r="8" spans="1:4" ht="13" thickBot="1">
      <c r="A8" s="152" t="s">
        <v>203</v>
      </c>
      <c r="B8" s="72" t="s">
        <v>200</v>
      </c>
      <c r="C8" s="73">
        <v>0.12</v>
      </c>
      <c r="D8" s="154">
        <v>1.48</v>
      </c>
    </row>
    <row r="9" spans="1:4" ht="13" thickBot="1">
      <c r="A9" s="152" t="s">
        <v>203</v>
      </c>
      <c r="B9" s="72" t="s">
        <v>201</v>
      </c>
      <c r="C9" s="73">
        <v>1E-3</v>
      </c>
      <c r="D9" s="206">
        <v>0.86099999999999999</v>
      </c>
    </row>
    <row r="10" spans="1:4" ht="13" thickBot="1">
      <c r="A10" s="152" t="s">
        <v>203</v>
      </c>
      <c r="B10" s="72" t="s">
        <v>204</v>
      </c>
      <c r="C10" s="73">
        <v>1.2E-2</v>
      </c>
      <c r="D10" s="188">
        <v>0.26500000000000001</v>
      </c>
    </row>
    <row r="11" spans="1:4" ht="13" thickBot="1">
      <c r="A11" s="152" t="s">
        <v>203</v>
      </c>
      <c r="B11" s="72" t="s">
        <v>205</v>
      </c>
      <c r="C11" s="73">
        <v>3.2000000000000001E-2</v>
      </c>
      <c r="D11" s="188">
        <v>0.26500000000000001</v>
      </c>
    </row>
    <row r="12" spans="1:4" ht="13" thickBot="1">
      <c r="A12" s="152" t="s">
        <v>203</v>
      </c>
      <c r="B12" s="72" t="s">
        <v>206</v>
      </c>
      <c r="C12" s="73">
        <v>0.04</v>
      </c>
      <c r="D12" s="188">
        <v>0.26500000000000001</v>
      </c>
    </row>
    <row r="13" spans="1:4" ht="13" thickBot="1">
      <c r="A13" s="152" t="s">
        <v>203</v>
      </c>
      <c r="B13" s="72" t="s">
        <v>207</v>
      </c>
      <c r="C13" s="73">
        <v>0.04</v>
      </c>
      <c r="D13" s="188">
        <v>0.26500000000000001</v>
      </c>
    </row>
    <row r="14" spans="1:4" ht="13" thickBot="1">
      <c r="A14" s="152" t="s">
        <v>208</v>
      </c>
      <c r="B14" s="72" t="s">
        <v>206</v>
      </c>
      <c r="C14" s="73">
        <v>0.04</v>
      </c>
      <c r="D14" s="188">
        <v>0.26500000000000001</v>
      </c>
    </row>
    <row r="15" spans="1:4" ht="13" thickBot="1">
      <c r="A15" s="152" t="s">
        <v>208</v>
      </c>
      <c r="B15" s="72" t="s">
        <v>207</v>
      </c>
      <c r="C15" s="73">
        <v>0.04</v>
      </c>
      <c r="D15" s="188">
        <v>0.26500000000000001</v>
      </c>
    </row>
    <row r="16" spans="1:4" ht="13" thickBot="1">
      <c r="A16" s="152" t="s">
        <v>209</v>
      </c>
      <c r="B16" s="72" t="s">
        <v>126</v>
      </c>
      <c r="C16" s="74">
        <v>2.9000000000000001E-2</v>
      </c>
      <c r="D16" s="154">
        <v>0.66300000000000003</v>
      </c>
    </row>
    <row r="17" spans="1:4" ht="13" thickBot="1">
      <c r="A17" s="152" t="s">
        <v>209</v>
      </c>
      <c r="B17" s="72" t="s">
        <v>199</v>
      </c>
      <c r="C17" s="74">
        <v>8.9999999999999993E-3</v>
      </c>
      <c r="D17" s="154">
        <v>0.63</v>
      </c>
    </row>
    <row r="18" spans="1:4" ht="13" thickBot="1">
      <c r="A18" s="152" t="s">
        <v>209</v>
      </c>
      <c r="B18" s="72" t="s">
        <v>200</v>
      </c>
      <c r="C18" s="73">
        <v>8.0000000000000002E-3</v>
      </c>
      <c r="D18" s="154">
        <v>0.59599999999999997</v>
      </c>
    </row>
    <row r="19" spans="1:4" ht="13" thickBot="1">
      <c r="A19" s="152" t="s">
        <v>209</v>
      </c>
      <c r="B19" s="72" t="s">
        <v>201</v>
      </c>
      <c r="C19" s="73">
        <v>4.0000000000000001E-3</v>
      </c>
      <c r="D19" s="206">
        <v>0.56299999999999994</v>
      </c>
    </row>
    <row r="20" spans="1:4" ht="13" thickBot="1">
      <c r="A20" s="152" t="s">
        <v>209</v>
      </c>
      <c r="B20" s="72" t="s">
        <v>204</v>
      </c>
      <c r="C20" s="73">
        <v>1.2E-2</v>
      </c>
      <c r="D20" s="188">
        <v>0.53</v>
      </c>
    </row>
    <row r="21" spans="1:4" ht="13" thickBot="1">
      <c r="A21" s="152" t="s">
        <v>209</v>
      </c>
      <c r="B21" s="72" t="s">
        <v>205</v>
      </c>
      <c r="C21" s="73">
        <v>3.4000000000000002E-2</v>
      </c>
      <c r="D21" s="188">
        <v>0.53</v>
      </c>
    </row>
    <row r="22" spans="1:4" ht="13" thickBot="1">
      <c r="A22" s="152" t="s">
        <v>209</v>
      </c>
      <c r="B22" s="72" t="s">
        <v>206</v>
      </c>
      <c r="C22" s="73">
        <v>3.3000000000000002E-2</v>
      </c>
      <c r="D22" s="188">
        <v>0.53</v>
      </c>
    </row>
    <row r="23" spans="1:4">
      <c r="A23" s="158" t="s">
        <v>209</v>
      </c>
      <c r="B23" s="159" t="s">
        <v>207</v>
      </c>
      <c r="C23" s="207">
        <v>3.3000000000000002E-2</v>
      </c>
      <c r="D23" s="208">
        <v>0.53</v>
      </c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066E1-27D4-43EC-93E7-A9A534AECFA5}">
  <dimension ref="A1:D37"/>
  <sheetViews>
    <sheetView workbookViewId="0">
      <selection activeCell="E13" sqref="E13"/>
    </sheetView>
  </sheetViews>
  <sheetFormatPr defaultRowHeight="12.5"/>
  <cols>
    <col min="1" max="1" width="18.26953125" bestFit="1" customWidth="1"/>
    <col min="2" max="2" width="19.08984375" bestFit="1" customWidth="1"/>
    <col min="3" max="3" width="12.1796875" customWidth="1"/>
    <col min="4" max="4" width="16.08984375" customWidth="1"/>
  </cols>
  <sheetData>
    <row r="1" spans="1:4" ht="13" thickBot="1">
      <c r="A1" s="155" t="s">
        <v>180</v>
      </c>
      <c r="B1" s="156" t="s">
        <v>114</v>
      </c>
      <c r="C1" s="156" t="s">
        <v>210</v>
      </c>
      <c r="D1" s="157" t="s">
        <v>211</v>
      </c>
    </row>
    <row r="2" spans="1:4" ht="13" thickBot="1">
      <c r="A2" s="152" t="s">
        <v>219</v>
      </c>
      <c r="B2" s="72" t="s">
        <v>126</v>
      </c>
      <c r="C2" s="74">
        <v>1E-3</v>
      </c>
      <c r="D2" s="154">
        <v>4.24</v>
      </c>
    </row>
    <row r="3" spans="1:4" ht="13" thickBot="1">
      <c r="A3" s="152" t="s">
        <v>219</v>
      </c>
      <c r="B3" s="72" t="s">
        <v>220</v>
      </c>
      <c r="C3" s="74">
        <v>1E-3</v>
      </c>
      <c r="D3" s="154">
        <v>3.53</v>
      </c>
    </row>
    <row r="4" spans="1:4" ht="13" thickBot="1">
      <c r="A4" s="152" t="s">
        <v>219</v>
      </c>
      <c r="B4" s="72" t="s">
        <v>221</v>
      </c>
      <c r="C4" s="74">
        <v>1E-3</v>
      </c>
      <c r="D4" s="154">
        <v>2.83</v>
      </c>
    </row>
    <row r="5" spans="1:4" ht="13" thickBot="1">
      <c r="A5" s="152" t="s">
        <v>219</v>
      </c>
      <c r="B5" s="72" t="s">
        <v>222</v>
      </c>
      <c r="C5" s="74">
        <v>1E-3</v>
      </c>
      <c r="D5" s="154">
        <v>2.12</v>
      </c>
    </row>
    <row r="6" spans="1:4" ht="13" thickBot="1">
      <c r="A6" s="152" t="s">
        <v>223</v>
      </c>
      <c r="B6" s="72" t="s">
        <v>126</v>
      </c>
      <c r="C6" s="74">
        <v>1E-3</v>
      </c>
      <c r="D6" s="154">
        <v>4.24</v>
      </c>
    </row>
    <row r="7" spans="1:4" ht="13" thickBot="1">
      <c r="A7" s="152" t="s">
        <v>223</v>
      </c>
      <c r="B7" s="72" t="s">
        <v>220</v>
      </c>
      <c r="C7" s="74">
        <v>1E-3</v>
      </c>
      <c r="D7" s="154">
        <v>3.53</v>
      </c>
    </row>
    <row r="8" spans="1:4" ht="13" thickBot="1">
      <c r="A8" s="152" t="s">
        <v>223</v>
      </c>
      <c r="B8" s="72" t="s">
        <v>221</v>
      </c>
      <c r="C8" s="74">
        <v>1E-3</v>
      </c>
      <c r="D8" s="154">
        <v>2.83</v>
      </c>
    </row>
    <row r="9" spans="1:4" ht="13" thickBot="1">
      <c r="A9" s="152" t="s">
        <v>223</v>
      </c>
      <c r="B9" s="72" t="s">
        <v>222</v>
      </c>
      <c r="C9" s="74">
        <v>1E-3</v>
      </c>
      <c r="D9" s="154">
        <v>2.12</v>
      </c>
    </row>
    <row r="10" spans="1:4" ht="13" thickBot="1">
      <c r="A10" s="152" t="s">
        <v>224</v>
      </c>
      <c r="B10" s="72" t="s">
        <v>126</v>
      </c>
      <c r="C10" s="74">
        <v>2E-3</v>
      </c>
      <c r="D10" s="154">
        <v>4.24</v>
      </c>
    </row>
    <row r="11" spans="1:4" ht="13" thickBot="1">
      <c r="A11" s="152" t="s">
        <v>224</v>
      </c>
      <c r="B11" s="72" t="s">
        <v>249</v>
      </c>
      <c r="C11" s="74">
        <v>2E-3</v>
      </c>
      <c r="D11" s="154">
        <v>3.53</v>
      </c>
    </row>
    <row r="12" spans="1:4" ht="13" thickBot="1">
      <c r="A12" s="152" t="s">
        <v>224</v>
      </c>
      <c r="B12" s="72" t="s">
        <v>250</v>
      </c>
      <c r="C12" s="74">
        <v>2E-3</v>
      </c>
      <c r="D12" s="154">
        <v>2.83</v>
      </c>
    </row>
    <row r="13" spans="1:4" ht="13" thickBot="1">
      <c r="A13" s="152" t="s">
        <v>224</v>
      </c>
      <c r="B13" s="72" t="s">
        <v>251</v>
      </c>
      <c r="C13" s="74">
        <v>2E-3</v>
      </c>
      <c r="D13" s="154">
        <v>2.12</v>
      </c>
    </row>
    <row r="14" spans="1:4" ht="13" thickBot="1">
      <c r="A14" s="152" t="s">
        <v>225</v>
      </c>
      <c r="B14" s="72" t="s">
        <v>126</v>
      </c>
      <c r="C14" s="74">
        <v>2E-3</v>
      </c>
      <c r="D14" s="154">
        <v>0.39800000000000002</v>
      </c>
    </row>
    <row r="15" spans="1:4" ht="13" thickBot="1">
      <c r="A15" s="152" t="s">
        <v>225</v>
      </c>
      <c r="B15" s="72" t="s">
        <v>249</v>
      </c>
      <c r="C15" s="74">
        <v>2E-3</v>
      </c>
      <c r="D15" s="154">
        <v>0.309</v>
      </c>
    </row>
    <row r="16" spans="1:4" ht="13" thickBot="1">
      <c r="A16" s="152" t="s">
        <v>225</v>
      </c>
      <c r="B16" s="72" t="s">
        <v>250</v>
      </c>
      <c r="C16" s="74">
        <v>2E-3</v>
      </c>
      <c r="D16" s="154">
        <v>0.221</v>
      </c>
    </row>
    <row r="17" spans="1:4" ht="13" thickBot="1">
      <c r="A17" s="152" t="s">
        <v>225</v>
      </c>
      <c r="B17" s="72" t="s">
        <v>251</v>
      </c>
      <c r="C17" s="74">
        <v>2E-3</v>
      </c>
      <c r="D17" s="154">
        <v>0.13300000000000001</v>
      </c>
    </row>
    <row r="18" spans="1:4" ht="13" thickBot="1">
      <c r="A18" s="152" t="s">
        <v>226</v>
      </c>
      <c r="B18" s="72" t="s">
        <v>126</v>
      </c>
      <c r="C18" s="74">
        <v>2E-3</v>
      </c>
      <c r="D18" s="154">
        <v>0.39800000000000002</v>
      </c>
    </row>
    <row r="19" spans="1:4" ht="13" thickBot="1">
      <c r="A19" s="152" t="s">
        <v>226</v>
      </c>
      <c r="B19" s="72" t="s">
        <v>249</v>
      </c>
      <c r="C19" s="74">
        <v>2E-3</v>
      </c>
      <c r="D19" s="154">
        <v>0.309</v>
      </c>
    </row>
    <row r="20" spans="1:4" ht="13" thickBot="1">
      <c r="A20" s="152" t="s">
        <v>226</v>
      </c>
      <c r="B20" s="72" t="s">
        <v>250</v>
      </c>
      <c r="C20" s="74">
        <v>2E-3</v>
      </c>
      <c r="D20" s="154">
        <v>0.221</v>
      </c>
    </row>
    <row r="21" spans="1:4" ht="13" thickBot="1">
      <c r="A21" s="152" t="s">
        <v>226</v>
      </c>
      <c r="B21" s="72" t="s">
        <v>251</v>
      </c>
      <c r="C21" s="74">
        <v>2E-3</v>
      </c>
      <c r="D21" s="154">
        <v>0.13300000000000001</v>
      </c>
    </row>
    <row r="22" spans="1:4" ht="13" thickBot="1">
      <c r="A22" s="152" t="s">
        <v>227</v>
      </c>
      <c r="B22" s="72" t="s">
        <v>126</v>
      </c>
      <c r="C22" s="74">
        <v>2E-3</v>
      </c>
      <c r="D22" s="154">
        <v>0.39800000000000002</v>
      </c>
    </row>
    <row r="23" spans="1:4" ht="13" thickBot="1">
      <c r="A23" s="152" t="s">
        <v>227</v>
      </c>
      <c r="B23" s="72" t="s">
        <v>249</v>
      </c>
      <c r="C23" s="74">
        <v>2E-3</v>
      </c>
      <c r="D23" s="154">
        <v>0.309</v>
      </c>
    </row>
    <row r="24" spans="1:4" ht="13" thickBot="1">
      <c r="A24" s="152" t="s">
        <v>227</v>
      </c>
      <c r="B24" s="72" t="s">
        <v>250</v>
      </c>
      <c r="C24" s="74">
        <v>2E-3</v>
      </c>
      <c r="D24" s="154">
        <v>0.221</v>
      </c>
    </row>
    <row r="25" spans="1:4" ht="13" thickBot="1">
      <c r="A25" s="152" t="s">
        <v>227</v>
      </c>
      <c r="B25" s="72" t="s">
        <v>251</v>
      </c>
      <c r="C25" s="74">
        <v>2E-3</v>
      </c>
      <c r="D25" s="154">
        <v>0.13300000000000001</v>
      </c>
    </row>
    <row r="26" spans="1:4" ht="13" thickBot="1">
      <c r="A26" s="152" t="s">
        <v>179</v>
      </c>
      <c r="B26" s="72" t="s">
        <v>126</v>
      </c>
      <c r="C26" s="74">
        <v>5.0000000000000001E-3</v>
      </c>
      <c r="D26" s="154">
        <v>0.53</v>
      </c>
    </row>
    <row r="27" spans="1:4" ht="13" thickBot="1">
      <c r="A27" s="152" t="s">
        <v>179</v>
      </c>
      <c r="B27" s="72" t="s">
        <v>55</v>
      </c>
      <c r="C27" s="74">
        <v>5.0000000000000001E-3</v>
      </c>
      <c r="D27" s="154">
        <v>0.53</v>
      </c>
    </row>
    <row r="28" spans="1:4" ht="13" thickBot="1">
      <c r="A28" s="152" t="s">
        <v>179</v>
      </c>
      <c r="B28" s="72" t="s">
        <v>56</v>
      </c>
      <c r="C28" s="74">
        <v>5.0000000000000001E-3</v>
      </c>
      <c r="D28" s="154">
        <v>0.53</v>
      </c>
    </row>
    <row r="29" spans="1:4" ht="13" thickBot="1">
      <c r="A29" s="152" t="s">
        <v>179</v>
      </c>
      <c r="B29" s="72" t="s">
        <v>57</v>
      </c>
      <c r="C29" s="74">
        <v>5.0000000000000001E-3</v>
      </c>
      <c r="D29" s="154">
        <v>0.53</v>
      </c>
    </row>
    <row r="30" spans="1:4" ht="13" thickBot="1">
      <c r="A30" s="152" t="s">
        <v>179</v>
      </c>
      <c r="B30" s="72" t="s">
        <v>58</v>
      </c>
      <c r="C30" s="74">
        <v>5.0000000000000001E-3</v>
      </c>
      <c r="D30" s="154">
        <v>0.53</v>
      </c>
    </row>
    <row r="31" spans="1:4" ht="13" thickBot="1">
      <c r="A31" s="152" t="s">
        <v>179</v>
      </c>
      <c r="B31" s="72" t="s">
        <v>59</v>
      </c>
      <c r="C31" s="74">
        <v>5.0000000000000001E-3</v>
      </c>
      <c r="D31" s="154">
        <v>0.53</v>
      </c>
    </row>
    <row r="32" spans="1:4" ht="13" thickBot="1">
      <c r="A32" s="152" t="s">
        <v>164</v>
      </c>
      <c r="B32" s="72" t="s">
        <v>126</v>
      </c>
      <c r="C32" s="74">
        <v>2E-3</v>
      </c>
      <c r="D32" s="154">
        <v>0.39800000000000002</v>
      </c>
    </row>
    <row r="33" spans="1:4" ht="13" thickBot="1">
      <c r="A33" s="152" t="s">
        <v>164</v>
      </c>
      <c r="B33" s="72" t="s">
        <v>55</v>
      </c>
      <c r="C33" s="74">
        <v>2E-3</v>
      </c>
      <c r="D33" s="154">
        <v>0.309</v>
      </c>
    </row>
    <row r="34" spans="1:4" ht="13" thickBot="1">
      <c r="A34" s="152" t="s">
        <v>164</v>
      </c>
      <c r="B34" s="72" t="s">
        <v>56</v>
      </c>
      <c r="C34" s="74">
        <v>2E-3</v>
      </c>
      <c r="D34" s="154">
        <v>0.221</v>
      </c>
    </row>
    <row r="35" spans="1:4" ht="13" thickBot="1">
      <c r="A35" s="152" t="s">
        <v>164</v>
      </c>
      <c r="B35" s="72" t="s">
        <v>57</v>
      </c>
      <c r="C35" s="74">
        <v>2E-3</v>
      </c>
      <c r="D35" s="154">
        <v>0.13300000000000001</v>
      </c>
    </row>
    <row r="36" spans="1:4" ht="13" thickBot="1">
      <c r="A36" s="152" t="s">
        <v>164</v>
      </c>
      <c r="B36" s="72" t="s">
        <v>58</v>
      </c>
      <c r="C36" s="74">
        <v>2E-3</v>
      </c>
      <c r="D36" s="154">
        <v>0.13300000000000001</v>
      </c>
    </row>
    <row r="37" spans="1:4">
      <c r="A37" s="158" t="s">
        <v>164</v>
      </c>
      <c r="B37" s="159" t="s">
        <v>59</v>
      </c>
      <c r="C37" s="170">
        <v>2E-3</v>
      </c>
      <c r="D37" s="160">
        <v>0.13300000000000001</v>
      </c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5D07A-9441-48B9-8716-C95C3949218E}">
  <dimension ref="A1:D19"/>
  <sheetViews>
    <sheetView tabSelected="1" workbookViewId="0">
      <selection activeCell="G15" sqref="G15"/>
    </sheetView>
  </sheetViews>
  <sheetFormatPr defaultRowHeight="12.5"/>
  <cols>
    <col min="1" max="1" width="11" bestFit="1" customWidth="1"/>
    <col min="2" max="2" width="7.453125" bestFit="1" customWidth="1"/>
    <col min="3" max="3" width="6" customWidth="1"/>
    <col min="4" max="4" width="26.36328125" customWidth="1"/>
  </cols>
  <sheetData>
    <row r="1" spans="1:4" ht="13" thickBot="1">
      <c r="A1" s="155" t="s">
        <v>13</v>
      </c>
      <c r="B1" s="156" t="s">
        <v>14</v>
      </c>
      <c r="C1" s="156" t="s">
        <v>169</v>
      </c>
      <c r="D1" s="173" t="s">
        <v>170</v>
      </c>
    </row>
    <row r="2" spans="1:4" ht="13" thickBot="1">
      <c r="A2" s="172" t="s">
        <v>21</v>
      </c>
      <c r="B2" s="72" t="s">
        <v>20</v>
      </c>
      <c r="C2" s="72" t="s">
        <v>171</v>
      </c>
      <c r="D2" s="154">
        <v>1.45</v>
      </c>
    </row>
    <row r="3" spans="1:4" ht="13" thickBot="1">
      <c r="A3" s="172" t="s">
        <v>21</v>
      </c>
      <c r="B3" s="72" t="s">
        <v>20</v>
      </c>
      <c r="C3" s="72" t="s">
        <v>172</v>
      </c>
      <c r="D3" s="154">
        <v>1.28</v>
      </c>
    </row>
    <row r="4" spans="1:4" ht="13" thickBot="1">
      <c r="A4" s="172" t="s">
        <v>21</v>
      </c>
      <c r="B4" s="72" t="s">
        <v>22</v>
      </c>
      <c r="C4" s="72" t="s">
        <v>171</v>
      </c>
      <c r="D4" s="154">
        <v>1.49</v>
      </c>
    </row>
    <row r="5" spans="1:4" ht="13" thickBot="1">
      <c r="A5" s="172" t="s">
        <v>21</v>
      </c>
      <c r="B5" s="72" t="s">
        <v>22</v>
      </c>
      <c r="C5" s="72" t="s">
        <v>172</v>
      </c>
      <c r="D5" s="154">
        <v>1.28</v>
      </c>
    </row>
    <row r="6" spans="1:4" ht="13" thickBot="1">
      <c r="A6" s="172" t="s">
        <v>29</v>
      </c>
      <c r="B6" s="72" t="s">
        <v>20</v>
      </c>
      <c r="C6" s="72" t="s">
        <v>171</v>
      </c>
      <c r="D6" s="154">
        <v>1.45</v>
      </c>
    </row>
    <row r="7" spans="1:4" ht="13" thickBot="1">
      <c r="A7" s="172" t="s">
        <v>29</v>
      </c>
      <c r="B7" s="72" t="s">
        <v>20</v>
      </c>
      <c r="C7" s="72" t="s">
        <v>172</v>
      </c>
      <c r="D7" s="154">
        <v>1.28</v>
      </c>
    </row>
    <row r="8" spans="1:4" ht="13" thickBot="1">
      <c r="A8" s="172" t="s">
        <v>29</v>
      </c>
      <c r="B8" s="72" t="s">
        <v>22</v>
      </c>
      <c r="C8" s="72" t="s">
        <v>171</v>
      </c>
      <c r="D8" s="154">
        <v>1.49</v>
      </c>
    </row>
    <row r="9" spans="1:4" ht="13" thickBot="1">
      <c r="A9" s="172" t="s">
        <v>29</v>
      </c>
      <c r="B9" s="72" t="s">
        <v>22</v>
      </c>
      <c r="C9" s="72" t="s">
        <v>172</v>
      </c>
      <c r="D9" s="154">
        <v>1.28</v>
      </c>
    </row>
    <row r="10" spans="1:4" ht="13" thickBot="1">
      <c r="A10" s="172" t="s">
        <v>173</v>
      </c>
      <c r="B10" s="72" t="s">
        <v>22</v>
      </c>
      <c r="C10" s="72" t="s">
        <v>171</v>
      </c>
      <c r="D10" s="154">
        <v>8.5</v>
      </c>
    </row>
    <row r="11" spans="1:4" ht="13" thickBot="1">
      <c r="A11" s="172" t="s">
        <v>173</v>
      </c>
      <c r="B11" s="72" t="s">
        <v>22</v>
      </c>
      <c r="C11" s="72" t="s">
        <v>172</v>
      </c>
      <c r="D11" s="154">
        <v>0.85</v>
      </c>
    </row>
    <row r="12" spans="1:4" ht="13" thickBot="1">
      <c r="A12" s="172" t="s">
        <v>174</v>
      </c>
      <c r="B12" s="72" t="s">
        <v>22</v>
      </c>
      <c r="C12" s="72" t="s">
        <v>171</v>
      </c>
      <c r="D12" s="154">
        <v>1.91</v>
      </c>
    </row>
    <row r="13" spans="1:4" ht="13" thickBot="1">
      <c r="A13" s="172" t="s">
        <v>174</v>
      </c>
      <c r="B13" s="72" t="s">
        <v>22</v>
      </c>
      <c r="C13" s="72" t="s">
        <v>172</v>
      </c>
      <c r="D13" s="154">
        <v>1.7</v>
      </c>
    </row>
    <row r="14" spans="1:4" ht="13" thickBot="1">
      <c r="A14" s="152" t="s">
        <v>31</v>
      </c>
      <c r="B14" s="72" t="s">
        <v>22</v>
      </c>
      <c r="C14" s="72" t="s">
        <v>175</v>
      </c>
      <c r="D14" s="154">
        <v>1.56</v>
      </c>
    </row>
    <row r="15" spans="1:4" ht="13" thickBot="1">
      <c r="A15" s="172" t="s">
        <v>176</v>
      </c>
      <c r="B15" s="72" t="s">
        <v>128</v>
      </c>
      <c r="C15" s="72" t="s">
        <v>171</v>
      </c>
      <c r="D15" s="154">
        <v>10.199999999999999</v>
      </c>
    </row>
    <row r="16" spans="1:4" ht="13" thickBot="1">
      <c r="A16" s="172" t="s">
        <v>176</v>
      </c>
      <c r="B16" s="72" t="s">
        <v>128</v>
      </c>
      <c r="C16" s="72" t="s">
        <v>172</v>
      </c>
      <c r="D16" s="154">
        <v>6.8</v>
      </c>
    </row>
    <row r="17" spans="1:4" ht="13" thickBot="1">
      <c r="A17" s="152" t="s">
        <v>177</v>
      </c>
      <c r="B17" s="72" t="s">
        <v>178</v>
      </c>
      <c r="C17" s="72" t="s">
        <v>175</v>
      </c>
      <c r="D17" s="154">
        <v>0.43</v>
      </c>
    </row>
    <row r="18" spans="1:4" ht="13" thickBot="1">
      <c r="A18" s="152" t="s">
        <v>179</v>
      </c>
      <c r="B18" s="72" t="s">
        <v>22</v>
      </c>
      <c r="C18" s="72" t="s">
        <v>175</v>
      </c>
      <c r="D18" s="154">
        <v>1.28</v>
      </c>
    </row>
    <row r="19" spans="1:4">
      <c r="A19" s="158" t="s">
        <v>164</v>
      </c>
      <c r="B19" s="159" t="s">
        <v>20</v>
      </c>
      <c r="C19" s="159" t="s">
        <v>175</v>
      </c>
      <c r="D19" s="160">
        <v>0.43</v>
      </c>
    </row>
  </sheetData>
  <pageMargins left="0.7" right="0.7" top="0.75" bottom="0.75" header="0.3" footer="0.3"/>
  <pageSetup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Eilat Car Data</vt:lpstr>
      <vt:lpstr>2022 Calculations</vt:lpstr>
      <vt:lpstr>2030 Projection</vt:lpstr>
      <vt:lpstr>Projection Editor</vt:lpstr>
      <vt:lpstr>Tier 3 CO2 Tables</vt:lpstr>
      <vt:lpstr>Tier 2 FC</vt:lpstr>
      <vt:lpstr>Tier 1 Coefficients</vt:lpstr>
      <vt:lpstr>Euro Age Table</vt:lpstr>
      <vt:lpstr>T3 N2O PC-Petrol</vt:lpstr>
      <vt:lpstr>T3 N2O LCV-Petrol</vt:lpstr>
      <vt:lpstr>T3 N2O PC-Diesel LPG</vt:lpstr>
      <vt:lpstr>T3 N2O HDV</vt:lpstr>
      <vt:lpstr>T3 Methane</vt:lpstr>
      <vt:lpstr>T2 PC</vt:lpstr>
      <vt:lpstr>T2 LPG</vt:lpstr>
      <vt:lpstr>T2 HDV</vt:lpstr>
      <vt:lpstr>T2 Bus</vt:lpstr>
      <vt:lpstr>T2 L-Cat</vt:lpstr>
      <vt:lpstr>T3 Oil Consumption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Jenna Young</cp:lastModifiedBy>
  <dcterms:created xsi:type="dcterms:W3CDTF">2024-02-16T08:06:23Z</dcterms:created>
  <dcterms:modified xsi:type="dcterms:W3CDTF">2024-02-28T14:14:02Z</dcterms:modified>
</cp:coreProperties>
</file>