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ug\Documents\School\IQP\"/>
    </mc:Choice>
  </mc:AlternateContent>
  <bookViews>
    <workbookView xWindow="0" yWindow="0" windowWidth="28800" windowHeight="12435" activeTab="1"/>
  </bookViews>
  <sheets>
    <sheet name="Cities by NBA Team" sheetId="1" r:id="rId1"/>
    <sheet name="Results" sheetId="10" r:id="rId2"/>
    <sheet name="Market Size v HSP in Basketball" sheetId="2" r:id="rId3"/>
    <sheet name="HSP v. MSA Pop." sheetId="3" r:id="rId4"/>
    <sheet name="HSP v. Median Income" sheetId="4" r:id="rId5"/>
    <sheet name="HSP v. Weighted Income" sheetId="5" r:id="rId6"/>
    <sheet name="Sports Score v. Market Size" sheetId="6" r:id="rId7"/>
    <sheet name="Sports Score v. MSA Pop" sheetId="7" r:id="rId8"/>
    <sheet name="Sports Score v. Median Income" sheetId="8" r:id="rId9"/>
    <sheet name="Sports Score v. Weighted Income" sheetId="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" i="1" l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2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2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2" i="1"/>
  <c r="AB101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2" i="1"/>
  <c r="AJ3" i="1" l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2" i="1"/>
  <c r="M101" i="1" l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02" i="1"/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46" i="1"/>
  <c r="AA47" i="1"/>
  <c r="AA57" i="1"/>
  <c r="AA73" i="1"/>
  <c r="AA77" i="1"/>
  <c r="AA82" i="1"/>
  <c r="AA83" i="1"/>
  <c r="AA84" i="1"/>
  <c r="AA85" i="1"/>
  <c r="AA91" i="1"/>
  <c r="AA100" i="1"/>
  <c r="AA2" i="1"/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2" i="1"/>
  <c r="G3" i="1"/>
  <c r="G2" i="1"/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30" i="1"/>
  <c r="W31" i="1"/>
  <c r="W32" i="1"/>
  <c r="AA32" i="1" s="1"/>
  <c r="W33" i="1"/>
  <c r="AA33" i="1" s="1"/>
  <c r="W34" i="1"/>
  <c r="W35" i="1"/>
  <c r="W36" i="1"/>
  <c r="AA36" i="1" s="1"/>
  <c r="W37" i="1"/>
  <c r="AA37" i="1" s="1"/>
  <c r="W38" i="1"/>
  <c r="W39" i="1"/>
  <c r="W40" i="1"/>
  <c r="AA40" i="1" s="1"/>
  <c r="W41" i="1"/>
  <c r="AA41" i="1" s="1"/>
  <c r="W42" i="1"/>
  <c r="W43" i="1"/>
  <c r="W44" i="1"/>
  <c r="AA44" i="1" s="1"/>
  <c r="W45" i="1"/>
  <c r="AA45" i="1" s="1"/>
  <c r="W46" i="1"/>
  <c r="W47" i="1"/>
  <c r="W48" i="1"/>
  <c r="AA48" i="1" s="1"/>
  <c r="W49" i="1"/>
  <c r="AA49" i="1" s="1"/>
  <c r="W50" i="1"/>
  <c r="W51" i="1"/>
  <c r="W52" i="1"/>
  <c r="AA52" i="1" s="1"/>
  <c r="W53" i="1"/>
  <c r="AA53" i="1" s="1"/>
  <c r="W54" i="1"/>
  <c r="W55" i="1"/>
  <c r="W56" i="1"/>
  <c r="AA56" i="1" s="1"/>
  <c r="W57" i="1"/>
  <c r="W58" i="1"/>
  <c r="W59" i="1"/>
  <c r="W60" i="1"/>
  <c r="AA60" i="1" s="1"/>
  <c r="W61" i="1"/>
  <c r="AA61" i="1" s="1"/>
  <c r="W62" i="1"/>
  <c r="W63" i="1"/>
  <c r="W64" i="1"/>
  <c r="AA64" i="1" s="1"/>
  <c r="W65" i="1"/>
  <c r="AA65" i="1" s="1"/>
  <c r="W66" i="1"/>
  <c r="W67" i="1"/>
  <c r="W68" i="1"/>
  <c r="AA68" i="1" s="1"/>
  <c r="W69" i="1"/>
  <c r="AA69" i="1" s="1"/>
  <c r="W70" i="1"/>
  <c r="W71" i="1"/>
  <c r="W72" i="1"/>
  <c r="AA72" i="1" s="1"/>
  <c r="W73" i="1"/>
  <c r="W74" i="1"/>
  <c r="W75" i="1"/>
  <c r="W76" i="1"/>
  <c r="AA76" i="1" s="1"/>
  <c r="W77" i="1"/>
  <c r="W78" i="1"/>
  <c r="W79" i="1"/>
  <c r="W80" i="1"/>
  <c r="AA80" i="1" s="1"/>
  <c r="W81" i="1"/>
  <c r="AA81" i="1" s="1"/>
  <c r="W82" i="1"/>
  <c r="W83" i="1"/>
  <c r="W84" i="1"/>
  <c r="W85" i="1"/>
  <c r="W86" i="1"/>
  <c r="W87" i="1"/>
  <c r="W88" i="1"/>
  <c r="AA88" i="1" s="1"/>
  <c r="W89" i="1"/>
  <c r="AA89" i="1" s="1"/>
  <c r="W90" i="1"/>
  <c r="W91" i="1"/>
  <c r="W92" i="1"/>
  <c r="AA92" i="1" s="1"/>
  <c r="W93" i="1"/>
  <c r="AA93" i="1" s="1"/>
  <c r="W94" i="1"/>
  <c r="W95" i="1"/>
  <c r="W96" i="1"/>
  <c r="AA96" i="1" s="1"/>
  <c r="W97" i="1"/>
  <c r="AA97" i="1" s="1"/>
  <c r="W98" i="1"/>
  <c r="W99" i="1"/>
  <c r="W100" i="1"/>
  <c r="W101" i="1"/>
  <c r="AA101" i="1" s="1"/>
  <c r="W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L3" i="1"/>
  <c r="L2" i="1"/>
  <c r="AA99" i="1" l="1"/>
  <c r="AA87" i="1"/>
  <c r="AA75" i="1"/>
  <c r="AA71" i="1"/>
  <c r="AA67" i="1"/>
  <c r="AA63" i="1"/>
  <c r="AA59" i="1"/>
  <c r="AA55" i="1"/>
  <c r="AA51" i="1"/>
  <c r="AA43" i="1"/>
  <c r="AA39" i="1"/>
  <c r="AA35" i="1"/>
  <c r="AA31" i="1"/>
  <c r="AA95" i="1"/>
  <c r="AA79" i="1"/>
  <c r="AA98" i="1"/>
  <c r="AA94" i="1"/>
  <c r="AA90" i="1"/>
  <c r="AA86" i="1"/>
  <c r="AA78" i="1"/>
  <c r="AA74" i="1"/>
  <c r="AA70" i="1"/>
  <c r="AA66" i="1"/>
  <c r="AA62" i="1"/>
  <c r="AA58" i="1"/>
  <c r="AA54" i="1"/>
  <c r="AA50" i="1"/>
  <c r="AA42" i="1"/>
  <c r="AA38" i="1"/>
  <c r="AA34" i="1"/>
  <c r="AA30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E4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28" i="1"/>
  <c r="E34" i="1"/>
  <c r="E33" i="1"/>
  <c r="E32" i="1"/>
  <c r="E31" i="1"/>
  <c r="E30" i="1"/>
  <c r="E35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" i="1"/>
  <c r="E2" i="1"/>
</calcChain>
</file>

<file path=xl/sharedStrings.xml><?xml version="1.0" encoding="utf-8"?>
<sst xmlns="http://schemas.openxmlformats.org/spreadsheetml/2006/main" count="434" uniqueCount="272">
  <si>
    <t>NC</t>
  </si>
  <si>
    <t>Greenville, North Carolina MSA</t>
  </si>
  <si>
    <t>Greenville</t>
  </si>
  <si>
    <t>AR</t>
  </si>
  <si>
    <t>Fort Smith, Arkansas–Oklahoma MSA</t>
  </si>
  <si>
    <t>Ft. Smith</t>
  </si>
  <si>
    <t>TN-VA</t>
  </si>
  <si>
    <t>Johnson City-Kingsport–Bristol, Tennessee–Virginia CSA</t>
  </si>
  <si>
    <t>Tri-Cities</t>
  </si>
  <si>
    <t>VT</t>
  </si>
  <si>
    <t xml:space="preserve"> Burlington, Vermont MSA</t>
  </si>
  <si>
    <t>Burlington</t>
  </si>
  <si>
    <t>IN</t>
  </si>
  <si>
    <t>South Bend, Indiana MSA</t>
  </si>
  <si>
    <t>South Bend</t>
  </si>
  <si>
    <t>MS</t>
  </si>
  <si>
    <t>Jackson, Mississippi MSA</t>
  </si>
  <si>
    <t>Jackson</t>
  </si>
  <si>
    <t>SC</t>
  </si>
  <si>
    <t>Charleston–North Charleston, South Carolina MSA</t>
  </si>
  <si>
    <t>Charleston</t>
  </si>
  <si>
    <t>LA</t>
  </si>
  <si>
    <t xml:space="preserve"> Baton Rouge, Louisiana MSA</t>
  </si>
  <si>
    <t>Baton Rouge</t>
  </si>
  <si>
    <t>TX</t>
  </si>
  <si>
    <t xml:space="preserve"> El Paso, Texas MSA</t>
  </si>
  <si>
    <t>El Paso</t>
  </si>
  <si>
    <t>GA</t>
  </si>
  <si>
    <t>Savannah, Georgia MSA</t>
  </si>
  <si>
    <t>Savannah</t>
  </si>
  <si>
    <t>IA</t>
  </si>
  <si>
    <t>Cedar Rapids, Iowa MSA</t>
  </si>
  <si>
    <t>Cedar Rapids</t>
  </si>
  <si>
    <t>TN</t>
  </si>
  <si>
    <t>Chattanooga, Tennessee–Georgia MSA</t>
  </si>
  <si>
    <t>Chattanooga</t>
  </si>
  <si>
    <t>CO</t>
  </si>
  <si>
    <t xml:space="preserve"> Colorado Springs, Colorado MSA</t>
  </si>
  <si>
    <t>Colorado Springs</t>
  </si>
  <si>
    <t>Waco, Texas MSA/Killeen–Temple, Texas MSA</t>
  </si>
  <si>
    <t>Waco</t>
  </si>
  <si>
    <t>IL</t>
  </si>
  <si>
    <t>Champaign–Urbana, Illinois MSA/</t>
  </si>
  <si>
    <t>Champaign</t>
  </si>
  <si>
    <t>NY</t>
  </si>
  <si>
    <t>Syracuse, New York MSA</t>
  </si>
  <si>
    <t>Syracuse</t>
  </si>
  <si>
    <t>Brownsville–Harlingen–San Benito, Texas MSA</t>
  </si>
  <si>
    <t>Harlingen</t>
  </si>
  <si>
    <t>KY</t>
  </si>
  <si>
    <t>Clarksville–Hopkinsville, Tennessee–Kentucky MSA</t>
  </si>
  <si>
    <t>Paducah</t>
  </si>
  <si>
    <t>Shreveport–Bossier City, Louisiana MSA</t>
  </si>
  <si>
    <t>Shreveport</t>
  </si>
  <si>
    <t>WI</t>
  </si>
  <si>
    <t xml:space="preserve"> 	Madison, Wisconsin MSA</t>
  </si>
  <si>
    <t>Madison</t>
  </si>
  <si>
    <t>AL</t>
  </si>
  <si>
    <t>Huntsville, Alabama MSA</t>
  </si>
  <si>
    <t>Huntsville</t>
  </si>
  <si>
    <t>OH</t>
  </si>
  <si>
    <t>Toledo, Ohio MSA</t>
  </si>
  <si>
    <t>Toledo</t>
  </si>
  <si>
    <t>Columbia, South Carolina MSA</t>
  </si>
  <si>
    <t>Columbia</t>
  </si>
  <si>
    <t>Rochester, New York MSA</t>
  </si>
  <si>
    <t>Rochester</t>
  </si>
  <si>
    <t>MO</t>
  </si>
  <si>
    <t>Dayton–Springfield, Ohio MSA</t>
  </si>
  <si>
    <t>Springfield</t>
  </si>
  <si>
    <t>NE</t>
  </si>
  <si>
    <t>Omaha, Nebraska–Iowa MSA</t>
  </si>
  <si>
    <t>Omaha</t>
  </si>
  <si>
    <t>WA</t>
  </si>
  <si>
    <t xml:space="preserve"> Spokane, Washington MSA</t>
  </si>
  <si>
    <t>Spokane</t>
  </si>
  <si>
    <t>MI</t>
  </si>
  <si>
    <t xml:space="preserve"> Saginaw–Bay City–Midland, Michigan MSA/Detroit–Ann Arbor–Flint, Michigan CMSA</t>
  </si>
  <si>
    <t>Flint</t>
  </si>
  <si>
    <t>AZ</t>
  </si>
  <si>
    <t>Tucson, Arizona MSA</t>
  </si>
  <si>
    <t>Tucson</t>
  </si>
  <si>
    <t>WV</t>
  </si>
  <si>
    <t>Charleston, West Virginia MSA</t>
  </si>
  <si>
    <t>Des Moines, Iowa MSA</t>
  </si>
  <si>
    <t>Des Moines</t>
  </si>
  <si>
    <t>Green Bay, Wisconsin MSA</t>
  </si>
  <si>
    <t>Green Bay</t>
  </si>
  <si>
    <t>VA</t>
  </si>
  <si>
    <t>Roanoke, Virginia MSA</t>
  </si>
  <si>
    <t>Roanoke</t>
  </si>
  <si>
    <t>KS</t>
  </si>
  <si>
    <t>Wichita, Kansas MSA</t>
  </si>
  <si>
    <t>Wichita</t>
  </si>
  <si>
    <t>HI</t>
  </si>
  <si>
    <t>Honolulu, Hawaii MSA</t>
  </si>
  <si>
    <t>Honolulu</t>
  </si>
  <si>
    <t>Dayton</t>
  </si>
  <si>
    <t>Lexington, Kentucky MSA</t>
  </si>
  <si>
    <t>Lexington</t>
  </si>
  <si>
    <t xml:space="preserve"> Knoxville, Tennessee MSA</t>
  </si>
  <si>
    <t>Knoxville</t>
  </si>
  <si>
    <t>FL</t>
  </si>
  <si>
    <t>Fort Myers–Cape Coral, Florida MSA</t>
  </si>
  <si>
    <t>Ft. Myers</t>
  </si>
  <si>
    <t>Mobile, Alabama MSA</t>
  </si>
  <si>
    <t>Mobile</t>
  </si>
  <si>
    <t>Albany–Schenectady–Troy, New York MSA</t>
  </si>
  <si>
    <t>Albany</t>
  </si>
  <si>
    <t>OK</t>
  </si>
  <si>
    <t>Tulsa, Oklahoma MSA</t>
  </si>
  <si>
    <t>Tulsa</t>
  </si>
  <si>
    <t>Little Rock–North Little Rock, Arkansas MSA</t>
  </si>
  <si>
    <t>Little Rock</t>
  </si>
  <si>
    <t>PA</t>
  </si>
  <si>
    <t>Scranton–Wilkes-Barre–Hazleton, Pennsylvania MSA</t>
  </si>
  <si>
    <t>Wilkes Barre</t>
  </si>
  <si>
    <t>Richmond–Petersburg, Virginia MSA</t>
  </si>
  <si>
    <t>Richmond</t>
  </si>
  <si>
    <t>CA</t>
  </si>
  <si>
    <t xml:space="preserve"> Fresno, California MSA</t>
  </si>
  <si>
    <t>Fresno</t>
  </si>
  <si>
    <t xml:space="preserve"> 	Buffalo–Niagara Falls, New York MSA</t>
  </si>
  <si>
    <t>Buffalo</t>
  </si>
  <si>
    <t>RI</t>
  </si>
  <si>
    <t>Providence–Fall River–Warwick, Rhode Island and Providence Plantations–Massachusetts MSA</t>
  </si>
  <si>
    <t>Providence</t>
  </si>
  <si>
    <t>Louisville, Kentucky–Indiana MSA</t>
  </si>
  <si>
    <t xml:space="preserve">Louisville </t>
  </si>
  <si>
    <t>NM</t>
  </si>
  <si>
    <t>Albuquerque, New Mexico MSA</t>
  </si>
  <si>
    <t>Albuquerque</t>
  </si>
  <si>
    <t>Jacksonville, Florida MSA</t>
  </si>
  <si>
    <t>Jacksonville</t>
  </si>
  <si>
    <t>Greensboro–Winston-Salem–High Point, North Carolina MSA</t>
  </si>
  <si>
    <t>Greensboro</t>
  </si>
  <si>
    <t xml:space="preserve"> Birmingham-Hoover-Cullman, Alabama MSA</t>
  </si>
  <si>
    <t>Birmingham</t>
  </si>
  <si>
    <t>Grand Rapids–Muskegon–Holland, Michigan MSA</t>
  </si>
  <si>
    <t>Grand Rapids</t>
  </si>
  <si>
    <t>Harrisburg–Lebanon–Carlisle, Pennsylvania MSA</t>
  </si>
  <si>
    <t>Harrisburg</t>
  </si>
  <si>
    <t>Norfolk–Virginia Beach–Newport News, Virginia–North Carolina MSA</t>
  </si>
  <si>
    <t>Norfolk</t>
  </si>
  <si>
    <t>NV</t>
  </si>
  <si>
    <t>Las Vegas, Nevada–Arizona MSA</t>
  </si>
  <si>
    <t>Las Vegas</t>
  </si>
  <si>
    <t>Austin–San Marcos, Texas MSA</t>
  </si>
  <si>
    <t>Austin</t>
  </si>
  <si>
    <t>West Palm Beach–Boca Raton, Florida MSA</t>
  </si>
  <si>
    <t>West Palm Beach</t>
  </si>
  <si>
    <t>Greenville–Spartanburg–Anderson, South Carolina MSA</t>
  </si>
  <si>
    <t>Cincinnati–Hamilton, Ohio–Kentucky–Indiana CMSA</t>
  </si>
  <si>
    <t>Cincinnati</t>
  </si>
  <si>
    <t>Kansas City, Missouri–Kansas MSA</t>
  </si>
  <si>
    <t>Kansas City</t>
  </si>
  <si>
    <t>Columbus, Ohio MSA</t>
  </si>
  <si>
    <t>Columbus</t>
  </si>
  <si>
    <t>CT</t>
  </si>
  <si>
    <t>Hartford MSA</t>
  </si>
  <si>
    <t>Hartford &amp; New Haven</t>
  </si>
  <si>
    <t>Nashville, Tennessee MSA</t>
  </si>
  <si>
    <t>Nashville</t>
  </si>
  <si>
    <t>San Diego, California MSA</t>
  </si>
  <si>
    <t>San Diego</t>
  </si>
  <si>
    <t>OR</t>
  </si>
  <si>
    <t>Portland–Salem, Oregon–Washington CMSA</t>
  </si>
  <si>
    <t>Portland</t>
  </si>
  <si>
    <t>Raleigh–Durham–Cary, North Carolina MSA</t>
  </si>
  <si>
    <t>Raleigh</t>
  </si>
  <si>
    <t>Pittsburgh, Pennsylvania MSA</t>
  </si>
  <si>
    <t>Pittsburgh</t>
  </si>
  <si>
    <t>St. Louis, Missouri–Illinois MSA</t>
  </si>
  <si>
    <t>St. Louis</t>
  </si>
  <si>
    <t>Seattle–Tacoma–Bellevue, Washington CMSA</t>
  </si>
  <si>
    <t>Seattle</t>
  </si>
  <si>
    <t>Tampa–St. Petersburg–Clearwater, Florida MSA</t>
  </si>
  <si>
    <t>Tampa</t>
  </si>
  <si>
    <t>ME</t>
  </si>
  <si>
    <t>Portland, Maine MSA</t>
  </si>
  <si>
    <t>Memphis, Tennessee–Arkansas–Mississippi MSA</t>
  </si>
  <si>
    <t>Memphis</t>
  </si>
  <si>
    <t>New Orleans, Louisiana MSA</t>
  </si>
  <si>
    <t>New Orleans</t>
  </si>
  <si>
    <t>Oklahoma City, Oklahoma MSA</t>
  </si>
  <si>
    <t>Oklahoma City</t>
  </si>
  <si>
    <t>Milwaukee–Racine, Wisconsin CMSA</t>
  </si>
  <si>
    <t>Milwaukee</t>
  </si>
  <si>
    <t>UT</t>
  </si>
  <si>
    <t>Salt Lake City–Ogden, Utah MSA</t>
  </si>
  <si>
    <t>Salt Lake City</t>
  </si>
  <si>
    <t>San Antonio, Texas MSA</t>
  </si>
  <si>
    <t>San Antonio</t>
  </si>
  <si>
    <t>Indianapolis, Indiana MSA</t>
  </si>
  <si>
    <t>Indianapolis</t>
  </si>
  <si>
    <t>Charlotte–Gastonia–Rock Hill, North Carolina–South Carolina MSA</t>
  </si>
  <si>
    <t>Charlotte</t>
  </si>
  <si>
    <t>Sacramento–Yolo, California CMSA</t>
  </si>
  <si>
    <t>Sacramento</t>
  </si>
  <si>
    <t>Cleveland–Akron, Ohio CMSA</t>
  </si>
  <si>
    <t>Cleveland</t>
  </si>
  <si>
    <t>Orlando, Florida MSA</t>
  </si>
  <si>
    <t>Orlando</t>
  </si>
  <si>
    <t>Denver–Boulder–Greeley, Colorado CMSA</t>
  </si>
  <si>
    <t>Denver</t>
  </si>
  <si>
    <t>Miami–Fort Lauderdale, Florida CMSA</t>
  </si>
  <si>
    <t>Miami</t>
  </si>
  <si>
    <t>MN</t>
  </si>
  <si>
    <t>Minneapolis–St. Paul, Minnesota–Wisconsin CMSA</t>
  </si>
  <si>
    <t>Minneapolis</t>
  </si>
  <si>
    <t>Detroit–Ann Arbor–Flint, Michigan CMSA</t>
  </si>
  <si>
    <t>Detroit</t>
  </si>
  <si>
    <t>Phoenix–Mesa, Arizona MSA</t>
  </si>
  <si>
    <t>Phoenix</t>
  </si>
  <si>
    <t>Atlanta, Georgia MSA</t>
  </si>
  <si>
    <t>Atlanta</t>
  </si>
  <si>
    <t>MA</t>
  </si>
  <si>
    <t>Boston–Worcester–Lawrence, Massachusetts–New Hampshire–Maine–Connecticut CMSA</t>
  </si>
  <si>
    <t>Boston</t>
  </si>
  <si>
    <t>Houston–Sugar Land–Baytown, Texas MSA</t>
  </si>
  <si>
    <t>Houston</t>
  </si>
  <si>
    <t>San Francisco–Oakland–San Jose, California CMSA</t>
  </si>
  <si>
    <t>San Francisco</t>
  </si>
  <si>
    <t>Dallas–Fort Worth, Texas CMSA</t>
  </si>
  <si>
    <t>Dallas-Ft. Worth</t>
  </si>
  <si>
    <t>Philadelphia–Wilmington–Atlantic City, Pennsylvania–New Jersey–Delaware–Maryland CMSA</t>
  </si>
  <si>
    <t>Philadelphia</t>
  </si>
  <si>
    <t>Chicago–Gary–Kenosha, Illinois–Indiana–Wisconsin CMSA</t>
  </si>
  <si>
    <t>Chicago</t>
  </si>
  <si>
    <t>DC</t>
  </si>
  <si>
    <t>Washington–Baltimore, District of Columbia–Maryland–Virginia–West Virginia CMSA</t>
  </si>
  <si>
    <t>Washington/Baltimore, DC</t>
  </si>
  <si>
    <t>Los Angeles–Riverside–Orange County, California CMSA</t>
  </si>
  <si>
    <t>Los Angeles</t>
  </si>
  <si>
    <t>New York–Northern New Jersey–Long Island, New York–New Jersey–Connecticut–Pennsylvania CMSA</t>
  </si>
  <si>
    <t>New York</t>
  </si>
  <si>
    <t>HSP in Basketball</t>
  </si>
  <si>
    <t>NBA Teams</t>
  </si>
  <si>
    <t>Rank of Median Income</t>
  </si>
  <si>
    <t>State</t>
  </si>
  <si>
    <t>Metropolitan Statistical Area</t>
  </si>
  <si>
    <t>Media Market</t>
  </si>
  <si>
    <t>Rank</t>
  </si>
  <si>
    <t>Median Income of MSA (/10000)</t>
  </si>
  <si>
    <t>Median Income*Population in billions</t>
  </si>
  <si>
    <t>Millions of TV Homes per Team</t>
  </si>
  <si>
    <t>% Distance (HSP v. Market Size)</t>
  </si>
  <si>
    <t>% Distance (HSP v. MSA Pop.)</t>
  </si>
  <si>
    <t>% Distance (HSP v. Median Income)</t>
  </si>
  <si>
    <t>% Distance (HSP. Weighted Income)</t>
  </si>
  <si>
    <t>% Distance (Sports Score v. Market Size)</t>
  </si>
  <si>
    <t>% Distance (Sports Score v. MSA Pop)</t>
  </si>
  <si>
    <t>% Distance (Sports Score v. Median Income)</t>
  </si>
  <si>
    <t>% Distance (Sports Score v. Weighted Income)</t>
  </si>
  <si>
    <t>Average % Distance</t>
  </si>
  <si>
    <t>MSA Population in Millions</t>
  </si>
  <si>
    <t>Millions of TV Homes Normalized</t>
  </si>
  <si>
    <t>MSA Population Normalized</t>
  </si>
  <si>
    <t>Median Income Normalized</t>
  </si>
  <si>
    <t>Weighted Income Normalized</t>
  </si>
  <si>
    <t>HSP Normalized</t>
  </si>
  <si>
    <t>Scores Normalized</t>
  </si>
  <si>
    <t>Basketball Score (Projected by 27.31)</t>
  </si>
  <si>
    <t>Average Score</t>
  </si>
  <si>
    <t>Market Size v. HSP Score</t>
  </si>
  <si>
    <t>HSP v. Median Income Score</t>
  </si>
  <si>
    <t>HSP v. MSA Pop. Score</t>
  </si>
  <si>
    <t>HSP v. Weighted Income Score</t>
  </si>
  <si>
    <t>Fan Score v. Market Size Score</t>
  </si>
  <si>
    <t>Fan Score v. MSA Population Score</t>
  </si>
  <si>
    <t>Fan Score v. Median Income Score</t>
  </si>
  <si>
    <t>Fan Score v. Weighted Income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</si>
</sst>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;[Red]0.00"/>
    <numFmt numFmtId="165" formatCode="&quot;$&quot;#,##0"/>
    <numFmt numFmtId="166" formatCode="0.00000"/>
    <numFmt numFmtId="167" formatCode="#,##0.0000"/>
    <numFmt numFmtId="168" formatCode="#,##0.00000000"/>
    <numFmt numFmtId="169" formatCode=";;;"/>
    <numFmt numFmtId="170" formatCode="0.000000"/>
    <numFmt numFmtId="171" formatCode="0.00000000%"/>
  </numFmts>
  <fonts count="7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/>
    <xf numFmtId="164" fontId="0" fillId="0" borderId="0" xfId="0" applyNumberFormat="1" applyFont="1" applyAlignment="1"/>
    <xf numFmtId="0" fontId="1" fillId="0" borderId="0" xfId="0" applyFont="1" applyAlignment="1"/>
    <xf numFmtId="165" fontId="1" fillId="0" borderId="0" xfId="0" applyNumberFormat="1" applyFont="1" applyAlignment="1"/>
    <xf numFmtId="3" fontId="1" fillId="0" borderId="0" xfId="0" applyNumberFormat="1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3" borderId="0" xfId="0" applyFont="1" applyFill="1" applyAlignment="1"/>
    <xf numFmtId="0" fontId="4" fillId="0" borderId="0" xfId="0" applyFont="1" applyAlignment="1"/>
    <xf numFmtId="0" fontId="1" fillId="4" borderId="0" xfId="0" applyFont="1" applyFill="1" applyAlignment="1"/>
    <xf numFmtId="0" fontId="4" fillId="2" borderId="0" xfId="0" applyFont="1" applyFill="1" applyAlignment="1"/>
    <xf numFmtId="166" fontId="1" fillId="0" borderId="0" xfId="0" applyNumberFormat="1" applyFont="1" applyAlignment="1"/>
    <xf numFmtId="166" fontId="0" fillId="0" borderId="0" xfId="0" applyNumberFormat="1" applyFont="1" applyAlignment="1"/>
    <xf numFmtId="167" fontId="1" fillId="0" borderId="0" xfId="0" applyNumberFormat="1" applyFont="1" applyAlignment="1"/>
    <xf numFmtId="168" fontId="1" fillId="2" borderId="0" xfId="0" applyNumberFormat="1" applyFont="1" applyFill="1" applyAlignment="1"/>
    <xf numFmtId="169" fontId="1" fillId="0" borderId="0" xfId="0" applyNumberFormat="1" applyFont="1" applyAlignment="1"/>
    <xf numFmtId="169" fontId="0" fillId="0" borderId="0" xfId="0" applyNumberFormat="1" applyFont="1" applyAlignment="1"/>
    <xf numFmtId="169" fontId="1" fillId="2" borderId="0" xfId="0" applyNumberFormat="1" applyFont="1" applyFill="1" applyAlignment="1"/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70" fontId="1" fillId="0" borderId="0" xfId="0" applyNumberFormat="1" applyFont="1" applyAlignment="1"/>
    <xf numFmtId="10" fontId="0" fillId="0" borderId="0" xfId="0" applyNumberFormat="1" applyFont="1" applyAlignment="1"/>
    <xf numFmtId="10" fontId="1" fillId="0" borderId="0" xfId="0" applyNumberFormat="1" applyFont="1" applyAlignment="1"/>
    <xf numFmtId="171" fontId="1" fillId="2" borderId="0" xfId="0" applyNumberFormat="1" applyFont="1" applyFill="1" applyAlignment="1"/>
    <xf numFmtId="0" fontId="5" fillId="0" borderId="2" xfId="0" applyFont="1" applyFill="1" applyBorder="1" applyAlignment="1">
      <alignment horizontal="right" wrapText="1"/>
    </xf>
    <xf numFmtId="10" fontId="5" fillId="0" borderId="2" xfId="0" applyNumberFormat="1" applyFont="1" applyFill="1" applyBorder="1" applyAlignment="1">
      <alignment horizontal="right" wrapText="1"/>
    </xf>
    <xf numFmtId="10" fontId="5" fillId="0" borderId="1" xfId="0" applyNumberFormat="1" applyFont="1" applyBorder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6" fillId="2" borderId="0" xfId="0" applyFont="1" applyFill="1" applyAlignment="1"/>
    <xf numFmtId="0" fontId="6" fillId="5" borderId="0" xfId="0" applyFont="1" applyFill="1" applyAlignment="1"/>
    <xf numFmtId="0" fontId="2" fillId="6" borderId="0" xfId="0" applyFont="1" applyFill="1" applyAlignment="1"/>
    <xf numFmtId="0" fontId="1" fillId="6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State</a:t>
            </a:r>
            <a:r>
              <a:rPr lang="en-US" baseline="0"/>
              <a:t> High School Basketball Participation v. Market Size</a:t>
            </a:r>
          </a:p>
          <a:p>
            <a:pPr>
              <a:defRPr/>
            </a:pPr>
            <a:r>
              <a:rPr lang="en-US" baseline="0"/>
              <a:t>(Normalized)</a:t>
            </a:r>
            <a:endParaRPr lang="en-US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930731070562481E-2"/>
          <c:y val="9.3067995554019817E-2"/>
          <c:w val="0.88662266804491818"/>
          <c:h val="0.79240117818156097"/>
        </c:manualLayout>
      </c:layout>
      <c:scatterChart>
        <c:scatterStyle val="lineMarker"/>
        <c:varyColors val="0"/>
        <c:ser>
          <c:idx val="0"/>
          <c:order val="0"/>
          <c:tx>
            <c:v>Market with Team(s)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68A9016-30D5-48E0-B8C6-08297DD549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7A26FD-E5DF-4BF2-B861-1ED79FC97B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898D348-34E4-49FD-B894-E6B21E6517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2ABDB24-C77D-4B22-8CE0-02BB76E562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64DD447-905D-48EC-8D30-0964189C1B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EDA4632-6B1A-4047-83ED-519B40F801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F6F968E-200F-4BCB-A70F-C244E9A4F5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2C92CCB-A2D3-4DA4-BEB6-23701C04BB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2F10E8B-92C8-4FAC-86CB-12C57A3BE0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B8DAF41-A9EC-498E-BC0A-816020AA66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1827D53-DB28-4C23-960C-95AAF6AFB5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D4DD244-CF97-47C7-9C4A-8D0F1FD931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9E8335A-BB74-40D7-81FD-A940AE1312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2DB467D-C8BD-4CD8-A1E1-E20BBD13BD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CE96612-C57F-4AB0-84E1-E0FF521B5A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CDECB7A-D996-4881-A8E1-60B9D85573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39FA190-5277-42C2-8292-F2B44D721D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973AF99-98F1-460B-B355-A803A69C18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0201581-E695-46A1-A2BC-254F1E78D4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26D39FB-C49F-4A47-80B7-52C56274A2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549BFDA-F4EC-4059-8291-E15EEA2B5D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0ABFFA76-77ED-4395-AAF0-7FF0AE6518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F20FF9E-832F-45ED-B8F7-12DDAE33E4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BB1EAB4B-E022-4D9F-A9B0-0776534D4C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186E1D08-FD0A-45C3-A17A-6654521DF9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DF27F84-4698-4A81-9A06-EA64326C14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60716BE1-5FE9-417D-B2B8-29BEE2DAAF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FA8708FE-981C-4177-AEFC-E2F43CBBDF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8"/>
              <c:layout>
                <c:manualLayout>
                  <c:x val="-1.468110671037552E-2"/>
                  <c:y val="-1.4162521062568234E-2"/>
                </c:manualLayout>
              </c:layout>
              <c:tx>
                <c:rich>
                  <a:bodyPr/>
                  <a:lstStyle/>
                  <a:p>
                    <a:fld id="{269C2C0A-6055-4AB2-AED2-C2A47A7C3A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93A78488-58C2-40B5-92E6-6EF65376EF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DE86568E-F67E-445D-9CB7-45D8C93303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>
                <c:manualLayout>
                  <c:x val="-1.9085438723488175E-2"/>
                  <c:y val="-3.0348259419789074E-2"/>
                </c:manualLayout>
              </c:layout>
              <c:tx>
                <c:rich>
                  <a:bodyPr/>
                  <a:lstStyle/>
                  <a:p>
                    <a:fld id="{DAFC3EDB-9B8B-4106-949D-3E2FA0E838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2"/>
              <c:layout>
                <c:manualLayout>
                  <c:x val="-6.0192537512539633E-2"/>
                  <c:y val="6.06965188395774E-3"/>
                </c:manualLayout>
              </c:layout>
              <c:tx>
                <c:rich>
                  <a:bodyPr/>
                  <a:lstStyle/>
                  <a:p>
                    <a:fld id="{D476485F-BCC4-42CA-90D6-46060433E3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D3529F3D-6F48-4735-995F-72EFC49CFC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"/>
            <c:backward val="1"/>
            <c:dispRSqr val="0"/>
            <c:dispEq val="1"/>
            <c:trendlineLbl>
              <c:layout>
                <c:manualLayout>
                  <c:x val="0.17284090049978187"/>
                  <c:y val="2.0871796366843387E-2"/>
                </c:manualLayout>
              </c:layout>
              <c:numFmt formatCode="0.0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'Cities by NBA Team'!$P$2:$P$35</c:f>
              <c:numCache>
                <c:formatCode>0.00%</c:formatCode>
                <c:ptCount val="34"/>
                <c:pt idx="0">
                  <c:v>0.26315789473684209</c:v>
                </c:pt>
                <c:pt idx="1">
                  <c:v>0.31578947368421051</c:v>
                </c:pt>
                <c:pt idx="2">
                  <c:v>0.39473684210526316</c:v>
                </c:pt>
                <c:pt idx="3">
                  <c:v>0.5</c:v>
                </c:pt>
                <c:pt idx="4">
                  <c:v>0.44736842105263158</c:v>
                </c:pt>
                <c:pt idx="5">
                  <c:v>0.65789473684210531</c:v>
                </c:pt>
                <c:pt idx="6">
                  <c:v>0.31578947368421051</c:v>
                </c:pt>
                <c:pt idx="7">
                  <c:v>0.65789473684210531</c:v>
                </c:pt>
                <c:pt idx="8">
                  <c:v>0.5</c:v>
                </c:pt>
                <c:pt idx="9">
                  <c:v>0.34210526315789475</c:v>
                </c:pt>
                <c:pt idx="10">
                  <c:v>0.31578947368421051</c:v>
                </c:pt>
                <c:pt idx="11">
                  <c:v>0.55263157894736847</c:v>
                </c:pt>
                <c:pt idx="12">
                  <c:v>0.65789473684210531</c:v>
                </c:pt>
                <c:pt idx="13">
                  <c:v>0.28947368421052633</c:v>
                </c:pt>
                <c:pt idx="14">
                  <c:v>0.44736842105263158</c:v>
                </c:pt>
                <c:pt idx="15">
                  <c:v>0.28947368421052633</c:v>
                </c:pt>
                <c:pt idx="16">
                  <c:v>0.5</c:v>
                </c:pt>
                <c:pt idx="17">
                  <c:v>0.31578947368421051</c:v>
                </c:pt>
                <c:pt idx="18">
                  <c:v>0.28947368421052633</c:v>
                </c:pt>
                <c:pt idx="19">
                  <c:v>0.44736842105263158</c:v>
                </c:pt>
                <c:pt idx="20">
                  <c:v>0.65789473684210531</c:v>
                </c:pt>
                <c:pt idx="21">
                  <c:v>0.34210526315789475</c:v>
                </c:pt>
                <c:pt idx="22">
                  <c:v>0.65789473684210531</c:v>
                </c:pt>
                <c:pt idx="23">
                  <c:v>0.68421052631578949</c:v>
                </c:pt>
                <c:pt idx="24">
                  <c:v>0.44736842105263158</c:v>
                </c:pt>
                <c:pt idx="25">
                  <c:v>0.34210526315789475</c:v>
                </c:pt>
                <c:pt idx="26">
                  <c:v>0.5</c:v>
                </c:pt>
                <c:pt idx="28">
                  <c:v>0.28947368421052633</c:v>
                </c:pt>
                <c:pt idx="29">
                  <c:v>0.4210526315789474</c:v>
                </c:pt>
                <c:pt idx="30">
                  <c:v>0.60526315789473684</c:v>
                </c:pt>
                <c:pt idx="31">
                  <c:v>0.44736842105263158</c:v>
                </c:pt>
                <c:pt idx="32">
                  <c:v>0.28947368421052633</c:v>
                </c:pt>
                <c:pt idx="33">
                  <c:v>0.71052631578947378</c:v>
                </c:pt>
              </c:numCache>
            </c:numRef>
          </c:xVal>
          <c:yVal>
            <c:numRef>
              <c:f>'Cities by NBA Team'!$F$2:$F$35</c:f>
              <c:numCache>
                <c:formatCode>0.00%</c:formatCode>
                <c:ptCount val="34"/>
                <c:pt idx="0">
                  <c:v>1</c:v>
                </c:pt>
                <c:pt idx="1">
                  <c:v>0.74528687018787199</c:v>
                </c:pt>
                <c:pt idx="2">
                  <c:v>0.97873070045804511</c:v>
                </c:pt>
                <c:pt idx="3">
                  <c:v>0.94250621205069784</c:v>
                </c:pt>
                <c:pt idx="4">
                  <c:v>0.80091228012878601</c:v>
                </c:pt>
                <c:pt idx="5">
                  <c:v>0.73847334601598658</c:v>
                </c:pt>
                <c:pt idx="6">
                  <c:v>0.67715843246759244</c:v>
                </c:pt>
                <c:pt idx="7">
                  <c:v>0.66700958819479017</c:v>
                </c:pt>
                <c:pt idx="8">
                  <c:v>0.65978102010989814</c:v>
                </c:pt>
                <c:pt idx="9">
                  <c:v>0.65664845916648296</c:v>
                </c:pt>
                <c:pt idx="10">
                  <c:v>0.51440950817976694</c:v>
                </c:pt>
                <c:pt idx="11">
                  <c:v>0.50432053909441488</c:v>
                </c:pt>
                <c:pt idx="12">
                  <c:v>0.47424686539785693</c:v>
                </c:pt>
                <c:pt idx="13">
                  <c:v>0.46167307603332319</c:v>
                </c:pt>
                <c:pt idx="14">
                  <c:v>0.44372412779542281</c:v>
                </c:pt>
                <c:pt idx="15">
                  <c:v>0.41356608451654864</c:v>
                </c:pt>
                <c:pt idx="16">
                  <c:v>0.40795686809224041</c:v>
                </c:pt>
                <c:pt idx="17">
                  <c:v>0.3755181244914011</c:v>
                </c:pt>
                <c:pt idx="18">
                  <c:v>0.32385672411963057</c:v>
                </c:pt>
                <c:pt idx="19">
                  <c:v>0.29565006763174578</c:v>
                </c:pt>
                <c:pt idx="20">
                  <c:v>0.25546565205439931</c:v>
                </c:pt>
                <c:pt idx="21">
                  <c:v>0.24955978129226983</c:v>
                </c:pt>
                <c:pt idx="22">
                  <c:v>0.24377366090504066</c:v>
                </c:pt>
                <c:pt idx="23">
                  <c:v>0.19653758120572298</c:v>
                </c:pt>
                <c:pt idx="24">
                  <c:v>0.17462326259896416</c:v>
                </c:pt>
                <c:pt idx="25">
                  <c:v>0.17253035263763808</c:v>
                </c:pt>
                <c:pt idx="26">
                  <c:v>0.31126116195966042</c:v>
                </c:pt>
                <c:pt idx="28">
                  <c:v>0.5194417455250101</c:v>
                </c:pt>
                <c:pt idx="29">
                  <c:v>0.49220942163290515</c:v>
                </c:pt>
                <c:pt idx="30">
                  <c:v>0.33082946185814477</c:v>
                </c:pt>
                <c:pt idx="31">
                  <c:v>0.31576540901557026</c:v>
                </c:pt>
                <c:pt idx="32">
                  <c:v>0.31395826699434726</c:v>
                </c:pt>
                <c:pt idx="33">
                  <c:v>0.10442777011193938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'Cities by NBA Team'!$B$2:$B$35</c15:f>
                <c15:dlblRangeCache>
                  <c:ptCount val="34"/>
                  <c:pt idx="0">
                    <c:v>New York</c:v>
                  </c:pt>
                  <c:pt idx="1">
                    <c:v>Los Angeles</c:v>
                  </c:pt>
                  <c:pt idx="2">
                    <c:v>Washington/Baltimore, DC</c:v>
                  </c:pt>
                  <c:pt idx="3">
                    <c:v>Chicago</c:v>
                  </c:pt>
                  <c:pt idx="4">
                    <c:v>Philadelphia</c:v>
                  </c:pt>
                  <c:pt idx="5">
                    <c:v>Dallas-Ft. Worth</c:v>
                  </c:pt>
                  <c:pt idx="6">
                    <c:v>San Francisco</c:v>
                  </c:pt>
                  <c:pt idx="7">
                    <c:v>Houston</c:v>
                  </c:pt>
                  <c:pt idx="8">
                    <c:v>Boston</c:v>
                  </c:pt>
                  <c:pt idx="9">
                    <c:v>Atlanta</c:v>
                  </c:pt>
                  <c:pt idx="10">
                    <c:v>Phoenix</c:v>
                  </c:pt>
                  <c:pt idx="11">
                    <c:v>Detroit</c:v>
                  </c:pt>
                  <c:pt idx="12">
                    <c:v>Minneapolis</c:v>
                  </c:pt>
                  <c:pt idx="13">
                    <c:v>Miami</c:v>
                  </c:pt>
                  <c:pt idx="14">
                    <c:v>Denver</c:v>
                  </c:pt>
                  <c:pt idx="15">
                    <c:v>Orlando</c:v>
                  </c:pt>
                  <c:pt idx="16">
                    <c:v>Cleveland</c:v>
                  </c:pt>
                  <c:pt idx="17">
                    <c:v>Sacramento</c:v>
                  </c:pt>
                  <c:pt idx="18">
                    <c:v>Charlotte</c:v>
                  </c:pt>
                  <c:pt idx="19">
                    <c:v>Indianapolis</c:v>
                  </c:pt>
                  <c:pt idx="20">
                    <c:v>San Antonio</c:v>
                  </c:pt>
                  <c:pt idx="21">
                    <c:v>Salt Lake City</c:v>
                  </c:pt>
                  <c:pt idx="22">
                    <c:v>Milwaukee</c:v>
                  </c:pt>
                  <c:pt idx="23">
                    <c:v>Oklahoma City</c:v>
                  </c:pt>
                  <c:pt idx="24">
                    <c:v>New Orleans</c:v>
                  </c:pt>
                  <c:pt idx="25">
                    <c:v>Memphis</c:v>
                  </c:pt>
                  <c:pt idx="26">
                    <c:v>Portland</c:v>
                  </c:pt>
                  <c:pt idx="28">
                    <c:v>Tampa</c:v>
                  </c:pt>
                  <c:pt idx="29">
                    <c:v>Seattle</c:v>
                  </c:pt>
                  <c:pt idx="30">
                    <c:v>St. Louis</c:v>
                  </c:pt>
                  <c:pt idx="31">
                    <c:v>Pittsburgh</c:v>
                  </c:pt>
                  <c:pt idx="32">
                    <c:v>Raleigh</c:v>
                  </c:pt>
                  <c:pt idx="33">
                    <c:v>Portland</c:v>
                  </c:pt>
                </c15:dlblRangeCache>
              </c15:datalabelsRange>
            </c:ext>
          </c:extLst>
        </c:ser>
        <c:ser>
          <c:idx val="1"/>
          <c:order val="1"/>
          <c:tx>
            <c:v>Market without Team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1">
                    <a:lumMod val="75000"/>
                  </a:schemeClr>
                </a:solidFill>
                <a:ln w="9525">
                  <a:solidFill>
                    <a:schemeClr val="bg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bg1"/>
                </a:solidFill>
                <a:round/>
              </a:ln>
              <a:effectLst/>
            </c:spPr>
          </c:dPt>
          <c:xVal>
            <c:numRef>
              <c:f>'Cities by NBA Team'!$P$30:$P$101</c:f>
              <c:numCache>
                <c:formatCode>0.00%</c:formatCode>
                <c:ptCount val="72"/>
                <c:pt idx="0">
                  <c:v>0.28947368421052633</c:v>
                </c:pt>
                <c:pt idx="1">
                  <c:v>0.4210526315789474</c:v>
                </c:pt>
                <c:pt idx="2">
                  <c:v>0.60526315789473684</c:v>
                </c:pt>
                <c:pt idx="3">
                  <c:v>0.44736842105263158</c:v>
                </c:pt>
                <c:pt idx="4">
                  <c:v>0.28947368421052633</c:v>
                </c:pt>
                <c:pt idx="5">
                  <c:v>0.71052631578947378</c:v>
                </c:pt>
                <c:pt idx="6">
                  <c:v>0.31578947368421051</c:v>
                </c:pt>
                <c:pt idx="7">
                  <c:v>0.34210526315789475</c:v>
                </c:pt>
                <c:pt idx="8">
                  <c:v>0.39473684210526316</c:v>
                </c:pt>
                <c:pt idx="9">
                  <c:v>0.5</c:v>
                </c:pt>
                <c:pt idx="10">
                  <c:v>0.60526315789473684</c:v>
                </c:pt>
                <c:pt idx="11">
                  <c:v>0.5</c:v>
                </c:pt>
                <c:pt idx="12">
                  <c:v>0.36842105263157893</c:v>
                </c:pt>
                <c:pt idx="13">
                  <c:v>0.28947368421052633</c:v>
                </c:pt>
                <c:pt idx="14">
                  <c:v>0.65789473684210531</c:v>
                </c:pt>
                <c:pt idx="15">
                  <c:v>0.28947368421052633</c:v>
                </c:pt>
                <c:pt idx="16">
                  <c:v>0.28947368421052633</c:v>
                </c:pt>
                <c:pt idx="17">
                  <c:v>0.44736842105263158</c:v>
                </c:pt>
                <c:pt idx="18">
                  <c:v>0.55263157894736847</c:v>
                </c:pt>
                <c:pt idx="19">
                  <c:v>0.71052631578947378</c:v>
                </c:pt>
                <c:pt idx="20">
                  <c:v>0.28947368421052633</c:v>
                </c:pt>
                <c:pt idx="21">
                  <c:v>0.28947368421052633</c:v>
                </c:pt>
                <c:pt idx="22">
                  <c:v>0.52631578947368418</c:v>
                </c:pt>
                <c:pt idx="23">
                  <c:v>0.4210526315789474</c:v>
                </c:pt>
                <c:pt idx="24">
                  <c:v>0.39473684210526316</c:v>
                </c:pt>
                <c:pt idx="25">
                  <c:v>0.26315789473684209</c:v>
                </c:pt>
                <c:pt idx="26">
                  <c:v>0.31578947368421051</c:v>
                </c:pt>
                <c:pt idx="27">
                  <c:v>0.28947368421052633</c:v>
                </c:pt>
                <c:pt idx="28">
                  <c:v>0.44736842105263158</c:v>
                </c:pt>
                <c:pt idx="29">
                  <c:v>0.47368421052631582</c:v>
                </c:pt>
                <c:pt idx="30">
                  <c:v>0.68421052631578949</c:v>
                </c:pt>
                <c:pt idx="31">
                  <c:v>0.26315789473684209</c:v>
                </c:pt>
                <c:pt idx="32">
                  <c:v>0.71052631578947378</c:v>
                </c:pt>
                <c:pt idx="33">
                  <c:v>0.28947368421052633</c:v>
                </c:pt>
                <c:pt idx="34">
                  <c:v>0.34210526315789475</c:v>
                </c:pt>
                <c:pt idx="35">
                  <c:v>0.4210526315789474</c:v>
                </c:pt>
                <c:pt idx="36">
                  <c:v>0.5</c:v>
                </c:pt>
                <c:pt idx="37">
                  <c:v>0.31578947368421051</c:v>
                </c:pt>
                <c:pt idx="38">
                  <c:v>0.81578947368421062</c:v>
                </c:pt>
                <c:pt idx="39">
                  <c:v>0.28947368421052633</c:v>
                </c:pt>
                <c:pt idx="40">
                  <c:v>0.65789473684210531</c:v>
                </c:pt>
                <c:pt idx="41">
                  <c:v>0.92105263157894746</c:v>
                </c:pt>
                <c:pt idx="42">
                  <c:v>0.44736842105263158</c:v>
                </c:pt>
                <c:pt idx="43">
                  <c:v>0.31578947368421051</c:v>
                </c:pt>
                <c:pt idx="44">
                  <c:v>0.55263157894736847</c:v>
                </c:pt>
                <c:pt idx="45">
                  <c:v>0.4210526315789474</c:v>
                </c:pt>
                <c:pt idx="46">
                  <c:v>1</c:v>
                </c:pt>
                <c:pt idx="47">
                  <c:v>0.60526315789473684</c:v>
                </c:pt>
                <c:pt idx="48">
                  <c:v>0.26315789473684209</c:v>
                </c:pt>
                <c:pt idx="49">
                  <c:v>0.36842105263157893</c:v>
                </c:pt>
                <c:pt idx="50">
                  <c:v>0.5</c:v>
                </c:pt>
                <c:pt idx="51">
                  <c:v>0.71052631578947378</c:v>
                </c:pt>
                <c:pt idx="52">
                  <c:v>0.65789473684210531</c:v>
                </c:pt>
                <c:pt idx="53">
                  <c:v>0.44736842105263158</c:v>
                </c:pt>
                <c:pt idx="54">
                  <c:v>0.4210526315789474</c:v>
                </c:pt>
                <c:pt idx="55">
                  <c:v>0.65789473684210531</c:v>
                </c:pt>
                <c:pt idx="56">
                  <c:v>0.26315789473684209</c:v>
                </c:pt>
                <c:pt idx="57">
                  <c:v>0.5</c:v>
                </c:pt>
                <c:pt idx="58">
                  <c:v>0.65789473684210531</c:v>
                </c:pt>
                <c:pt idx="59">
                  <c:v>0.44736842105263158</c:v>
                </c:pt>
                <c:pt idx="60">
                  <c:v>0.34210526315789475</c:v>
                </c:pt>
                <c:pt idx="61">
                  <c:v>0.92105263157894746</c:v>
                </c:pt>
                <c:pt idx="62">
                  <c:v>0.34210526315789475</c:v>
                </c:pt>
                <c:pt idx="63">
                  <c:v>0.65789473684210531</c:v>
                </c:pt>
                <c:pt idx="64">
                  <c:v>0.44736842105263158</c:v>
                </c:pt>
                <c:pt idx="65">
                  <c:v>0.36842105263157893</c:v>
                </c:pt>
                <c:pt idx="66">
                  <c:v>0.76315789473684215</c:v>
                </c:pt>
                <c:pt idx="67">
                  <c:v>0.44736842105263158</c:v>
                </c:pt>
                <c:pt idx="68">
                  <c:v>0.39473684210526316</c:v>
                </c:pt>
                <c:pt idx="69">
                  <c:v>0.34210526315789475</c:v>
                </c:pt>
                <c:pt idx="70">
                  <c:v>0.47368421052631582</c:v>
                </c:pt>
                <c:pt idx="71">
                  <c:v>0.28947368421052633</c:v>
                </c:pt>
              </c:numCache>
            </c:numRef>
          </c:xVal>
          <c:yVal>
            <c:numRef>
              <c:f>'Cities by NBA Team'!$F$30:$F$101</c:f>
              <c:numCache>
                <c:formatCode>0.00%</c:formatCode>
                <c:ptCount val="72"/>
                <c:pt idx="0">
                  <c:v>0.5194417455250101</c:v>
                </c:pt>
                <c:pt idx="1">
                  <c:v>0.49220942163290515</c:v>
                </c:pt>
                <c:pt idx="2">
                  <c:v>0.33082946185814477</c:v>
                </c:pt>
                <c:pt idx="3">
                  <c:v>0.31576540901557026</c:v>
                </c:pt>
                <c:pt idx="4">
                  <c:v>0.31395826699434726</c:v>
                </c:pt>
                <c:pt idx="5">
                  <c:v>0.10442777011193938</c:v>
                </c:pt>
                <c:pt idx="6">
                  <c:v>0.29004085120743756</c:v>
                </c:pt>
                <c:pt idx="7">
                  <c:v>0.27530883349526847</c:v>
                </c:pt>
                <c:pt idx="8">
                  <c:v>0.26234857701173819</c:v>
                </c:pt>
                <c:pt idx="9">
                  <c:v>0.25058854587664076</c:v>
                </c:pt>
                <c:pt idx="10">
                  <c:v>0.25012043077475771</c:v>
                </c:pt>
                <c:pt idx="11">
                  <c:v>0.23509175872476734</c:v>
                </c:pt>
                <c:pt idx="12">
                  <c:v>0.2302445901407339</c:v>
                </c:pt>
                <c:pt idx="13">
                  <c:v>0.22451018014266619</c:v>
                </c:pt>
                <c:pt idx="14">
                  <c:v>0.20989246960653835</c:v>
                </c:pt>
                <c:pt idx="15">
                  <c:v>0.20625369116922632</c:v>
                </c:pt>
                <c:pt idx="16">
                  <c:v>0.19518494628923524</c:v>
                </c:pt>
                <c:pt idx="17">
                  <c:v>0.19462429680674737</c:v>
                </c:pt>
                <c:pt idx="18">
                  <c:v>0.19314374671707066</c:v>
                </c:pt>
                <c:pt idx="19">
                  <c:v>0.18952674107519507</c:v>
                </c:pt>
                <c:pt idx="20">
                  <c:v>0.18780396863628815</c:v>
                </c:pt>
                <c:pt idx="21">
                  <c:v>0.1873821207247075</c:v>
                </c:pt>
                <c:pt idx="22">
                  <c:v>0.18441285574706545</c:v>
                </c:pt>
                <c:pt idx="23">
                  <c:v>0.18021614942669506</c:v>
                </c:pt>
                <c:pt idx="24">
                  <c:v>0.16772672964447746</c:v>
                </c:pt>
                <c:pt idx="25">
                  <c:v>0.16240055956084271</c:v>
                </c:pt>
                <c:pt idx="26">
                  <c:v>0.15599663610310505</c:v>
                </c:pt>
                <c:pt idx="27">
                  <c:v>0.15363700939768282</c:v>
                </c:pt>
                <c:pt idx="28">
                  <c:v>0.15095623395957336</c:v>
                </c:pt>
                <c:pt idx="29">
                  <c:v>0.14913004074234346</c:v>
                </c:pt>
                <c:pt idx="30">
                  <c:v>0.14457952649613123</c:v>
                </c:pt>
                <c:pt idx="31">
                  <c:v>0.1440052690164956</c:v>
                </c:pt>
                <c:pt idx="32">
                  <c:v>0.1437875410621314</c:v>
                </c:pt>
                <c:pt idx="33">
                  <c:v>0.14117752720919027</c:v>
                </c:pt>
                <c:pt idx="34">
                  <c:v>0.14005622824421454</c:v>
                </c:pt>
                <c:pt idx="35">
                  <c:v>0.13047891985161839</c:v>
                </c:pt>
                <c:pt idx="36">
                  <c:v>0.12683741981487678</c:v>
                </c:pt>
                <c:pt idx="37">
                  <c:v>0.12051786593945529</c:v>
                </c:pt>
                <c:pt idx="38">
                  <c:v>0.11968505651401215</c:v>
                </c:pt>
                <c:pt idx="39">
                  <c:v>0.1196469541219984</c:v>
                </c:pt>
                <c:pt idx="40">
                  <c:v>0.11922510621041772</c:v>
                </c:pt>
                <c:pt idx="41">
                  <c:v>0.11810380724544198</c:v>
                </c:pt>
                <c:pt idx="42">
                  <c:v>0.11734175940516722</c:v>
                </c:pt>
                <c:pt idx="43">
                  <c:v>0.1159020333069338</c:v>
                </c:pt>
                <c:pt idx="44">
                  <c:v>0.11512637746951127</c:v>
                </c:pt>
                <c:pt idx="45">
                  <c:v>0.11500118389575184</c:v>
                </c:pt>
                <c:pt idx="46">
                  <c:v>0.1132756898574154</c:v>
                </c:pt>
                <c:pt idx="47">
                  <c:v>0.11131885986756697</c:v>
                </c:pt>
                <c:pt idx="48">
                  <c:v>0.10999888414423387</c:v>
                </c:pt>
                <c:pt idx="49">
                  <c:v>0.10907898353704504</c:v>
                </c:pt>
                <c:pt idx="50">
                  <c:v>0.10891024437241277</c:v>
                </c:pt>
                <c:pt idx="51">
                  <c:v>0.10490949321097022</c:v>
                </c:pt>
                <c:pt idx="52">
                  <c:v>0.10473531084747885</c:v>
                </c:pt>
                <c:pt idx="53">
                  <c:v>0.10117818039305339</c:v>
                </c:pt>
                <c:pt idx="54">
                  <c:v>0.10053316132824937</c:v>
                </c:pt>
                <c:pt idx="55">
                  <c:v>0.10041613255277862</c:v>
                </c:pt>
                <c:pt idx="56">
                  <c:v>0.10041341095334905</c:v>
                </c:pt>
                <c:pt idx="57">
                  <c:v>9.9079827232868206E-2</c:v>
                </c:pt>
                <c:pt idx="58">
                  <c:v>9.7357054793961312E-2</c:v>
                </c:pt>
                <c:pt idx="59">
                  <c:v>9.6396330195329186E-2</c:v>
                </c:pt>
                <c:pt idx="60">
                  <c:v>9.5588015164752016E-2</c:v>
                </c:pt>
                <c:pt idx="61">
                  <c:v>9.3350860433659644E-2</c:v>
                </c:pt>
                <c:pt idx="62">
                  <c:v>9.2547988601941578E-2</c:v>
                </c:pt>
                <c:pt idx="63">
                  <c:v>9.0702744188704817E-2</c:v>
                </c:pt>
                <c:pt idx="64">
                  <c:v>9.0060446723330356E-2</c:v>
                </c:pt>
                <c:pt idx="65">
                  <c:v>8.9007187744093441E-2</c:v>
                </c:pt>
                <c:pt idx="66">
                  <c:v>8.7589234441296446E-2</c:v>
                </c:pt>
                <c:pt idx="67">
                  <c:v>8.5243215733021974E-2</c:v>
                </c:pt>
                <c:pt idx="68">
                  <c:v>8.3681017660458684E-2</c:v>
                </c:pt>
                <c:pt idx="69">
                  <c:v>8.3490505700390003E-2</c:v>
                </c:pt>
                <c:pt idx="70">
                  <c:v>8.291896982018393E-2</c:v>
                </c:pt>
                <c:pt idx="71">
                  <c:v>8.2189581173063783E-2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865144"/>
        <c:axId val="577863576"/>
      </c:scatterChart>
      <c:valAx>
        <c:axId val="577865144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 State High School Participation In Basketball Normalized </a:t>
                </a:r>
                <a:endParaRPr lang="en-US" sz="1000">
                  <a:effectLst/>
                </a:endParaRPr>
              </a:p>
              <a:p>
                <a:pPr>
                  <a:defRPr/>
                </a:pPr>
                <a:r>
                  <a:rPr lang="en-US" sz="1000" b="0" i="0" baseline="0">
                    <a:effectLst/>
                  </a:rPr>
                  <a:t>(Participants Divided by State Population in Thousands)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863576"/>
        <c:crosses val="autoZero"/>
        <c:crossBetween val="midCat"/>
      </c:valAx>
      <c:valAx>
        <c:axId val="5778635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Millions of TV Homes per Team Normalized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865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State High School</a:t>
            </a:r>
            <a:r>
              <a:rPr lang="en-US" baseline="0"/>
              <a:t> Basketball Participation v. Market Population</a:t>
            </a:r>
          </a:p>
          <a:p>
            <a:pPr>
              <a:defRPr/>
            </a:pPr>
            <a:r>
              <a:rPr lang="en-US" baseline="0"/>
              <a:t>(Normalized)</a:t>
            </a:r>
            <a:endParaRPr lang="en-US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462620399524927E-2"/>
          <c:y val="8.9021560964714613E-2"/>
          <c:w val="0.88662266804491818"/>
          <c:h val="0.79644761277086618"/>
        </c:manualLayout>
      </c:layout>
      <c:scatterChart>
        <c:scatterStyle val="lineMarker"/>
        <c:varyColors val="0"/>
        <c:ser>
          <c:idx val="0"/>
          <c:order val="0"/>
          <c:tx>
            <c:v>Market with Team(s)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DECC83A-4131-4DA7-9140-B5163F2E6C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2528323-BCC5-43B9-823C-EB31B57CC8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E3D4A81-5CFB-416E-8B59-E02D94CF08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96D5D4A-6911-4403-AB69-420066EB43F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A018BB3-47C9-4691-8475-E74EBF245E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74D67A-F664-4BDA-9BC2-E43F8417A6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C690D0D-94E7-4110-A655-5E60F525AA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2FF531B-49F1-419E-B280-8E05A7685E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931F5B0-97F9-435F-8886-C02A9E9E5B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5F2553D-0A78-4527-80ED-74A21BB3B6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55B8873-6BF1-4D71-9B43-B8635BC77D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4D87141-7040-4C6F-AE6A-FD4D51D13B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8A41FBA-1DB0-4DDB-94FE-690C42A23E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C688A20-D152-43D6-9E18-7F815262C8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0840013-DDC9-4ED8-8E6E-BAFFE2B1AE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EF0BFF1-6356-4A6F-9E6C-47572D715B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B88CC09-658A-4A96-84AF-2E0EF47A39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2F78C50-103F-4DBD-BBAB-CF72453EBFF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D6721AA-2C0E-48B4-AC4B-5C309D70F7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558E43E-F6C4-4C36-ACA0-6D48FD832A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>
                <c:manualLayout>
                  <c:x val="-5.8724426841502081E-3"/>
                  <c:y val="6.0696518839578146E-3"/>
                </c:manualLayout>
              </c:layout>
              <c:tx>
                <c:rich>
                  <a:bodyPr/>
                  <a:lstStyle/>
                  <a:p>
                    <a:fld id="{16825C91-7CE8-4778-A59E-208CFE67AC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AECE51D-9DAD-4E30-AF0A-C992373CA9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140D8A77-3A40-4D1A-A681-260DC08C72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70626F98-DBE5-4673-843D-10544A0521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35931F8-A559-4C0C-9DEB-1775243FE5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854155F8-186E-453A-9F4F-AF2C9E20EC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1A41DAA-3365-4FB7-BA53-BF91154EA6D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0.5"/>
            <c:backward val="0.5"/>
            <c:dispRSqr val="0"/>
            <c:dispEq val="1"/>
            <c:trendlineLbl>
              <c:layout>
                <c:manualLayout>
                  <c:x val="-1.2504719340011426E-2"/>
                  <c:y val="-0.10783445494446428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'Cities by NBA Team'!$P$2:$P$28</c:f>
              <c:numCache>
                <c:formatCode>0.00%</c:formatCode>
                <c:ptCount val="27"/>
                <c:pt idx="0">
                  <c:v>0.26315789473684209</c:v>
                </c:pt>
                <c:pt idx="1">
                  <c:v>0.31578947368421051</c:v>
                </c:pt>
                <c:pt idx="2">
                  <c:v>0.39473684210526316</c:v>
                </c:pt>
                <c:pt idx="3">
                  <c:v>0.5</c:v>
                </c:pt>
                <c:pt idx="4">
                  <c:v>0.44736842105263158</c:v>
                </c:pt>
                <c:pt idx="5">
                  <c:v>0.65789473684210531</c:v>
                </c:pt>
                <c:pt idx="6">
                  <c:v>0.31578947368421051</c:v>
                </c:pt>
                <c:pt idx="7">
                  <c:v>0.65789473684210531</c:v>
                </c:pt>
                <c:pt idx="8">
                  <c:v>0.5</c:v>
                </c:pt>
                <c:pt idx="9">
                  <c:v>0.34210526315789475</c:v>
                </c:pt>
                <c:pt idx="10">
                  <c:v>0.31578947368421051</c:v>
                </c:pt>
                <c:pt idx="11">
                  <c:v>0.55263157894736847</c:v>
                </c:pt>
                <c:pt idx="12">
                  <c:v>0.65789473684210531</c:v>
                </c:pt>
                <c:pt idx="13">
                  <c:v>0.28947368421052633</c:v>
                </c:pt>
                <c:pt idx="14">
                  <c:v>0.44736842105263158</c:v>
                </c:pt>
                <c:pt idx="15">
                  <c:v>0.28947368421052633</c:v>
                </c:pt>
                <c:pt idx="16">
                  <c:v>0.5</c:v>
                </c:pt>
                <c:pt idx="17">
                  <c:v>0.31578947368421051</c:v>
                </c:pt>
                <c:pt idx="18">
                  <c:v>0.28947368421052633</c:v>
                </c:pt>
                <c:pt idx="19">
                  <c:v>0.44736842105263158</c:v>
                </c:pt>
                <c:pt idx="20">
                  <c:v>0.65789473684210531</c:v>
                </c:pt>
                <c:pt idx="21">
                  <c:v>0.34210526315789475</c:v>
                </c:pt>
                <c:pt idx="22">
                  <c:v>0.65789473684210531</c:v>
                </c:pt>
                <c:pt idx="23">
                  <c:v>0.68421052631578949</c:v>
                </c:pt>
                <c:pt idx="24">
                  <c:v>0.44736842105263158</c:v>
                </c:pt>
                <c:pt idx="25">
                  <c:v>0.34210526315789475</c:v>
                </c:pt>
                <c:pt idx="26">
                  <c:v>0.5</c:v>
                </c:pt>
              </c:numCache>
            </c:numRef>
          </c:xVal>
          <c:yVal>
            <c:numRef>
              <c:f>'Cities by NBA Team'!$H$2:$H$28</c:f>
              <c:numCache>
                <c:formatCode>0.00%</c:formatCode>
                <c:ptCount val="27"/>
                <c:pt idx="0">
                  <c:v>1</c:v>
                </c:pt>
                <c:pt idx="1">
                  <c:v>0.77234666352828196</c:v>
                </c:pt>
                <c:pt idx="2">
                  <c:v>0.71774702338906404</c:v>
                </c:pt>
                <c:pt idx="3">
                  <c:v>0.86392436932971051</c:v>
                </c:pt>
                <c:pt idx="4">
                  <c:v>0.58382098187889409</c:v>
                </c:pt>
                <c:pt idx="5">
                  <c:v>0.49262587285343568</c:v>
                </c:pt>
                <c:pt idx="6">
                  <c:v>0.68296302830230293</c:v>
                </c:pt>
                <c:pt idx="7">
                  <c:v>0.44052837128915678</c:v>
                </c:pt>
                <c:pt idx="8">
                  <c:v>0.54897528828603392</c:v>
                </c:pt>
                <c:pt idx="9">
                  <c:v>0.38794567795596818</c:v>
                </c:pt>
                <c:pt idx="10">
                  <c:v>0.30678270828611409</c:v>
                </c:pt>
                <c:pt idx="11">
                  <c:v>0.51476063644744907</c:v>
                </c:pt>
                <c:pt idx="12">
                  <c:v>0.34112500244694954</c:v>
                </c:pt>
                <c:pt idx="13">
                  <c:v>0.36569855515589372</c:v>
                </c:pt>
                <c:pt idx="14">
                  <c:v>0.2435398527301943</c:v>
                </c:pt>
                <c:pt idx="15">
                  <c:v>0.1551482521233036</c:v>
                </c:pt>
                <c:pt idx="16">
                  <c:v>0.27791035461782426</c:v>
                </c:pt>
                <c:pt idx="17">
                  <c:v>0.16951589078515358</c:v>
                </c:pt>
                <c:pt idx="18">
                  <c:v>0.14144363655145917</c:v>
                </c:pt>
                <c:pt idx="19">
                  <c:v>0.15165058834101069</c:v>
                </c:pt>
                <c:pt idx="20">
                  <c:v>0.15022576794710724</c:v>
                </c:pt>
                <c:pt idx="21">
                  <c:v>0.12584174474695947</c:v>
                </c:pt>
                <c:pt idx="22">
                  <c:v>0.1593945999184429</c:v>
                </c:pt>
                <c:pt idx="23">
                  <c:v>0.10220310365183931</c:v>
                </c:pt>
                <c:pt idx="24">
                  <c:v>0.12620136967853332</c:v>
                </c:pt>
                <c:pt idx="25">
                  <c:v>0.10713407844814106</c:v>
                </c:pt>
                <c:pt idx="26">
                  <c:v>0.21370164385480755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'Cities by NBA Team'!$B$2:$B$28</c15:f>
                <c15:dlblRangeCache>
                  <c:ptCount val="27"/>
                  <c:pt idx="0">
                    <c:v>New York</c:v>
                  </c:pt>
                  <c:pt idx="1">
                    <c:v>Los Angeles</c:v>
                  </c:pt>
                  <c:pt idx="2">
                    <c:v>Washington/Baltimore, DC</c:v>
                  </c:pt>
                  <c:pt idx="3">
                    <c:v>Chicago</c:v>
                  </c:pt>
                  <c:pt idx="4">
                    <c:v>Philadelphia</c:v>
                  </c:pt>
                  <c:pt idx="5">
                    <c:v>Dallas-Ft. Worth</c:v>
                  </c:pt>
                  <c:pt idx="6">
                    <c:v>San Francisco</c:v>
                  </c:pt>
                  <c:pt idx="7">
                    <c:v>Houston</c:v>
                  </c:pt>
                  <c:pt idx="8">
                    <c:v>Boston</c:v>
                  </c:pt>
                  <c:pt idx="9">
                    <c:v>Atlanta</c:v>
                  </c:pt>
                  <c:pt idx="10">
                    <c:v>Phoenix</c:v>
                  </c:pt>
                  <c:pt idx="11">
                    <c:v>Detroit</c:v>
                  </c:pt>
                  <c:pt idx="12">
                    <c:v>Minneapolis</c:v>
                  </c:pt>
                  <c:pt idx="13">
                    <c:v>Miami</c:v>
                  </c:pt>
                  <c:pt idx="14">
                    <c:v>Denver</c:v>
                  </c:pt>
                  <c:pt idx="15">
                    <c:v>Orlando</c:v>
                  </c:pt>
                  <c:pt idx="16">
                    <c:v>Cleveland</c:v>
                  </c:pt>
                  <c:pt idx="17">
                    <c:v>Sacramento</c:v>
                  </c:pt>
                  <c:pt idx="18">
                    <c:v>Charlotte</c:v>
                  </c:pt>
                  <c:pt idx="19">
                    <c:v>Indianapolis</c:v>
                  </c:pt>
                  <c:pt idx="20">
                    <c:v>San Antonio</c:v>
                  </c:pt>
                  <c:pt idx="21">
                    <c:v>Salt Lake City</c:v>
                  </c:pt>
                  <c:pt idx="22">
                    <c:v>Milwaukee</c:v>
                  </c:pt>
                  <c:pt idx="23">
                    <c:v>Oklahoma City</c:v>
                  </c:pt>
                  <c:pt idx="24">
                    <c:v>New Orleans</c:v>
                  </c:pt>
                  <c:pt idx="25">
                    <c:v>Memphis</c:v>
                  </c:pt>
                  <c:pt idx="26">
                    <c:v>Portland</c:v>
                  </c:pt>
                </c15:dlblRangeCache>
              </c15:datalabelsRange>
            </c:ext>
          </c:extLst>
        </c:ser>
        <c:ser>
          <c:idx val="1"/>
          <c:order val="1"/>
          <c:tx>
            <c:v>Market without Team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44"/>
            <c:marker>
              <c:symbol val="circle"/>
              <c:size val="5"/>
              <c:spPr>
                <a:solidFill>
                  <a:schemeClr val="accent1">
                    <a:lumMod val="75000"/>
                  </a:schemeClr>
                </a:solidFill>
                <a:ln w="9525">
                  <a:solidFill>
                    <a:schemeClr val="bg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bg1"/>
                </a:solidFill>
                <a:round/>
              </a:ln>
              <a:effectLst/>
            </c:spPr>
          </c:dPt>
          <c:xVal>
            <c:numRef>
              <c:f>'Cities by NBA Team'!$P$30:$P$101</c:f>
              <c:numCache>
                <c:formatCode>0.00%</c:formatCode>
                <c:ptCount val="72"/>
                <c:pt idx="0">
                  <c:v>0.28947368421052633</c:v>
                </c:pt>
                <c:pt idx="1">
                  <c:v>0.4210526315789474</c:v>
                </c:pt>
                <c:pt idx="2">
                  <c:v>0.60526315789473684</c:v>
                </c:pt>
                <c:pt idx="3">
                  <c:v>0.44736842105263158</c:v>
                </c:pt>
                <c:pt idx="4">
                  <c:v>0.28947368421052633</c:v>
                </c:pt>
                <c:pt idx="5">
                  <c:v>0.71052631578947378</c:v>
                </c:pt>
                <c:pt idx="6">
                  <c:v>0.31578947368421051</c:v>
                </c:pt>
                <c:pt idx="7">
                  <c:v>0.34210526315789475</c:v>
                </c:pt>
                <c:pt idx="8">
                  <c:v>0.39473684210526316</c:v>
                </c:pt>
                <c:pt idx="9">
                  <c:v>0.5</c:v>
                </c:pt>
                <c:pt idx="10">
                  <c:v>0.60526315789473684</c:v>
                </c:pt>
                <c:pt idx="11">
                  <c:v>0.5</c:v>
                </c:pt>
                <c:pt idx="12">
                  <c:v>0.36842105263157893</c:v>
                </c:pt>
                <c:pt idx="13">
                  <c:v>0.28947368421052633</c:v>
                </c:pt>
                <c:pt idx="14">
                  <c:v>0.65789473684210531</c:v>
                </c:pt>
                <c:pt idx="15">
                  <c:v>0.28947368421052633</c:v>
                </c:pt>
                <c:pt idx="16">
                  <c:v>0.28947368421052633</c:v>
                </c:pt>
                <c:pt idx="17">
                  <c:v>0.44736842105263158</c:v>
                </c:pt>
                <c:pt idx="18">
                  <c:v>0.55263157894736847</c:v>
                </c:pt>
                <c:pt idx="19">
                  <c:v>0.71052631578947378</c:v>
                </c:pt>
                <c:pt idx="20">
                  <c:v>0.28947368421052633</c:v>
                </c:pt>
                <c:pt idx="21">
                  <c:v>0.28947368421052633</c:v>
                </c:pt>
                <c:pt idx="22">
                  <c:v>0.52631578947368418</c:v>
                </c:pt>
                <c:pt idx="23">
                  <c:v>0.4210526315789474</c:v>
                </c:pt>
                <c:pt idx="24">
                  <c:v>0.39473684210526316</c:v>
                </c:pt>
                <c:pt idx="25">
                  <c:v>0.26315789473684209</c:v>
                </c:pt>
                <c:pt idx="26">
                  <c:v>0.31578947368421051</c:v>
                </c:pt>
                <c:pt idx="27">
                  <c:v>0.28947368421052633</c:v>
                </c:pt>
                <c:pt idx="28">
                  <c:v>0.44736842105263158</c:v>
                </c:pt>
                <c:pt idx="29">
                  <c:v>0.47368421052631582</c:v>
                </c:pt>
                <c:pt idx="30">
                  <c:v>0.68421052631578949</c:v>
                </c:pt>
                <c:pt idx="31">
                  <c:v>0.26315789473684209</c:v>
                </c:pt>
                <c:pt idx="32">
                  <c:v>0.71052631578947378</c:v>
                </c:pt>
                <c:pt idx="33">
                  <c:v>0.28947368421052633</c:v>
                </c:pt>
                <c:pt idx="34">
                  <c:v>0.34210526315789475</c:v>
                </c:pt>
                <c:pt idx="35">
                  <c:v>0.4210526315789474</c:v>
                </c:pt>
                <c:pt idx="36">
                  <c:v>0.5</c:v>
                </c:pt>
                <c:pt idx="37">
                  <c:v>0.31578947368421051</c:v>
                </c:pt>
                <c:pt idx="38">
                  <c:v>0.81578947368421062</c:v>
                </c:pt>
                <c:pt idx="39">
                  <c:v>0.28947368421052633</c:v>
                </c:pt>
                <c:pt idx="40">
                  <c:v>0.65789473684210531</c:v>
                </c:pt>
                <c:pt idx="41">
                  <c:v>0.92105263157894746</c:v>
                </c:pt>
                <c:pt idx="42">
                  <c:v>0.44736842105263158</c:v>
                </c:pt>
                <c:pt idx="43">
                  <c:v>0.31578947368421051</c:v>
                </c:pt>
                <c:pt idx="44">
                  <c:v>0.55263157894736847</c:v>
                </c:pt>
                <c:pt idx="45">
                  <c:v>0.4210526315789474</c:v>
                </c:pt>
                <c:pt idx="46">
                  <c:v>1</c:v>
                </c:pt>
                <c:pt idx="47">
                  <c:v>0.60526315789473684</c:v>
                </c:pt>
                <c:pt idx="48">
                  <c:v>0.26315789473684209</c:v>
                </c:pt>
                <c:pt idx="49">
                  <c:v>0.36842105263157893</c:v>
                </c:pt>
                <c:pt idx="50">
                  <c:v>0.5</c:v>
                </c:pt>
                <c:pt idx="51">
                  <c:v>0.71052631578947378</c:v>
                </c:pt>
                <c:pt idx="52">
                  <c:v>0.65789473684210531</c:v>
                </c:pt>
                <c:pt idx="53">
                  <c:v>0.44736842105263158</c:v>
                </c:pt>
                <c:pt idx="54">
                  <c:v>0.4210526315789474</c:v>
                </c:pt>
                <c:pt idx="55">
                  <c:v>0.65789473684210531</c:v>
                </c:pt>
                <c:pt idx="56">
                  <c:v>0.26315789473684209</c:v>
                </c:pt>
                <c:pt idx="57">
                  <c:v>0.5</c:v>
                </c:pt>
                <c:pt idx="58">
                  <c:v>0.65789473684210531</c:v>
                </c:pt>
                <c:pt idx="59">
                  <c:v>0.44736842105263158</c:v>
                </c:pt>
                <c:pt idx="60">
                  <c:v>0.34210526315789475</c:v>
                </c:pt>
                <c:pt idx="61">
                  <c:v>0.92105263157894746</c:v>
                </c:pt>
                <c:pt idx="62">
                  <c:v>0.34210526315789475</c:v>
                </c:pt>
                <c:pt idx="63">
                  <c:v>0.65789473684210531</c:v>
                </c:pt>
                <c:pt idx="64">
                  <c:v>0.44736842105263158</c:v>
                </c:pt>
                <c:pt idx="65">
                  <c:v>0.36842105263157893</c:v>
                </c:pt>
                <c:pt idx="66">
                  <c:v>0.76315789473684215</c:v>
                </c:pt>
                <c:pt idx="67">
                  <c:v>0.44736842105263158</c:v>
                </c:pt>
                <c:pt idx="68">
                  <c:v>0.39473684210526316</c:v>
                </c:pt>
                <c:pt idx="69">
                  <c:v>0.34210526315789475</c:v>
                </c:pt>
                <c:pt idx="70">
                  <c:v>0.47368421052631582</c:v>
                </c:pt>
                <c:pt idx="71">
                  <c:v>0.28947368421052633</c:v>
                </c:pt>
              </c:numCache>
            </c:numRef>
          </c:xVal>
          <c:yVal>
            <c:numRef>
              <c:f>'Cities by NBA Team'!$H$30:$H$101</c:f>
              <c:numCache>
                <c:formatCode>0.00%</c:formatCode>
                <c:ptCount val="72"/>
                <c:pt idx="0">
                  <c:v>0.22603889222879486</c:v>
                </c:pt>
                <c:pt idx="1">
                  <c:v>0.33535685250825897</c:v>
                </c:pt>
                <c:pt idx="2">
                  <c:v>0.24562486600740147</c:v>
                </c:pt>
                <c:pt idx="3">
                  <c:v>0.2225198132157917</c:v>
                </c:pt>
                <c:pt idx="4">
                  <c:v>0.11207061931762301</c:v>
                </c:pt>
                <c:pt idx="5">
                  <c:v>2.2975995366008226E-2</c:v>
                </c:pt>
                <c:pt idx="6">
                  <c:v>0.26545763381040399</c:v>
                </c:pt>
                <c:pt idx="7">
                  <c:v>0.11616215480617448</c:v>
                </c:pt>
                <c:pt idx="8">
                  <c:v>0.11161486169841175</c:v>
                </c:pt>
                <c:pt idx="9">
                  <c:v>0.14529875544018794</c:v>
                </c:pt>
                <c:pt idx="10">
                  <c:v>0.16755408583969758</c:v>
                </c:pt>
                <c:pt idx="11">
                  <c:v>0.18671835881973778</c:v>
                </c:pt>
                <c:pt idx="12">
                  <c:v>9.0796898942516843E-2</c:v>
                </c:pt>
                <c:pt idx="13">
                  <c:v>0.10671615125851037</c:v>
                </c:pt>
                <c:pt idx="14">
                  <c:v>0.11790292060822086</c:v>
                </c:pt>
                <c:pt idx="15">
                  <c:v>0.1474803731061495</c:v>
                </c:pt>
                <c:pt idx="16">
                  <c:v>0.14807084856436586</c:v>
                </c:pt>
                <c:pt idx="17">
                  <c:v>5.9377830943734784E-2</c:v>
                </c:pt>
                <c:pt idx="18">
                  <c:v>0.10269065392633396</c:v>
                </c:pt>
                <c:pt idx="19">
                  <c:v>8.6897345808570003E-2</c:v>
                </c:pt>
                <c:pt idx="20">
                  <c:v>0.11806763863826492</c:v>
                </c:pt>
                <c:pt idx="21">
                  <c:v>0.10382056678191112</c:v>
                </c:pt>
                <c:pt idx="22">
                  <c:v>6.7239862140631559E-2</c:v>
                </c:pt>
                <c:pt idx="23">
                  <c:v>9.6755144431344267E-2</c:v>
                </c:pt>
                <c:pt idx="24">
                  <c:v>0.11213401594774305</c:v>
                </c:pt>
                <c:pt idx="25">
                  <c:v>0.11038853313452703</c:v>
                </c:pt>
                <c:pt idx="26">
                  <c:v>8.703036552355406E-2</c:v>
                </c:pt>
                <c:pt idx="27">
                  <c:v>9.4011164693737451E-2</c:v>
                </c:pt>
                <c:pt idx="28">
                  <c:v>5.8941507410542472E-2</c:v>
                </c:pt>
                <c:pt idx="29">
                  <c:v>5.5080067726846371E-2</c:v>
                </c:pt>
                <c:pt idx="30">
                  <c:v>7.5777369337021713E-2</c:v>
                </c:pt>
                <c:pt idx="31">
                  <c:v>8.2602695819053565E-2</c:v>
                </c:pt>
                <c:pt idx="32">
                  <c:v>5.0968060409818654E-2</c:v>
                </c:pt>
                <c:pt idx="33">
                  <c:v>4.1593472411262995E-2</c:v>
                </c:pt>
                <c:pt idx="34">
                  <c:v>6.4835224186569118E-2</c:v>
                </c:pt>
                <c:pt idx="35">
                  <c:v>4.5207646369446221E-2</c:v>
                </c:pt>
                <c:pt idx="36">
                  <c:v>8.967585406793864E-2</c:v>
                </c:pt>
                <c:pt idx="37">
                  <c:v>8.2656752767057709E-2</c:v>
                </c:pt>
                <c:pt idx="38">
                  <c:v>5.1436176598294379E-2</c:v>
                </c:pt>
                <c:pt idx="39">
                  <c:v>2.2257877585541229E-2</c:v>
                </c:pt>
                <c:pt idx="40">
                  <c:v>2.139428718060233E-2</c:v>
                </c:pt>
                <c:pt idx="41">
                  <c:v>4.3021217352091634E-2</c:v>
                </c:pt>
                <c:pt idx="42">
                  <c:v>2.3741849299512049E-2</c:v>
                </c:pt>
                <c:pt idx="43">
                  <c:v>7.959918612689279E-2</c:v>
                </c:pt>
                <c:pt idx="44">
                  <c:v>0.51476063644744907</c:v>
                </c:pt>
                <c:pt idx="45">
                  <c:v>3.9428458624618599E-2</c:v>
                </c:pt>
                <c:pt idx="46">
                  <c:v>6.7641751492285448E-2</c:v>
                </c:pt>
                <c:pt idx="47">
                  <c:v>8.967585406793864E-2</c:v>
                </c:pt>
                <c:pt idx="48">
                  <c:v>0.1036045276703413</c:v>
                </c:pt>
                <c:pt idx="49">
                  <c:v>5.0631548832976062E-2</c:v>
                </c:pt>
                <c:pt idx="50">
                  <c:v>5.8321409122180742E-2</c:v>
                </c:pt>
                <c:pt idx="51">
                  <c:v>3.2299828324378485E-2</c:v>
                </c:pt>
                <c:pt idx="52">
                  <c:v>6.8540625140773304E-2</c:v>
                </c:pt>
                <c:pt idx="53">
                  <c:v>3.700985831749401E-2</c:v>
                </c:pt>
                <c:pt idx="54">
                  <c:v>1.9531539469708883E-2</c:v>
                </c:pt>
                <c:pt idx="55">
                  <c:v>3.1625390067342413E-2</c:v>
                </c:pt>
                <c:pt idx="56">
                  <c:v>6.9068081329763192E-2</c:v>
                </c:pt>
                <c:pt idx="57">
                  <c:v>2.7771403261294354E-2</c:v>
                </c:pt>
                <c:pt idx="58">
                  <c:v>4.9667203069453505E-2</c:v>
                </c:pt>
                <c:pt idx="59">
                  <c:v>4.876719733828494E-2</c:v>
                </c:pt>
                <c:pt idx="60">
                  <c:v>4.3883392653679638E-2</c:v>
                </c:pt>
                <c:pt idx="61">
                  <c:v>1.8085115164648457E-2</c:v>
                </c:pt>
                <c:pt idx="62">
                  <c:v>2.7641685454129077E-2</c:v>
                </c:pt>
                <c:pt idx="63">
                  <c:v>6.4115691302751215E-2</c:v>
                </c:pt>
                <c:pt idx="64">
                  <c:v>5.6877154642258343E-2</c:v>
                </c:pt>
                <c:pt idx="65">
                  <c:v>2.3741849299512049E-2</c:v>
                </c:pt>
                <c:pt idx="66">
                  <c:v>4.158526481182781E-2</c:v>
                </c:pt>
                <c:pt idx="67">
                  <c:v>2.5052895384003626E-2</c:v>
                </c:pt>
                <c:pt idx="68">
                  <c:v>1.5980384780752144E-2</c:v>
                </c:pt>
                <c:pt idx="69">
                  <c:v>4.529189218893611E-2</c:v>
                </c:pt>
                <c:pt idx="70">
                  <c:v>1.9555784907120875E-2</c:v>
                </c:pt>
                <c:pt idx="71">
                  <c:v>1.2622533209527513E-2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304624"/>
        <c:axId val="713273640"/>
      </c:scatterChart>
      <c:valAx>
        <c:axId val="239304624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State Basketball</a:t>
                </a:r>
                <a:r>
                  <a:rPr lang="en-US" baseline="0"/>
                  <a:t> </a:t>
                </a:r>
                <a:r>
                  <a:rPr lang="en-US"/>
                  <a:t>High School</a:t>
                </a:r>
                <a:r>
                  <a:rPr lang="en-US" baseline="0"/>
                  <a:t> Participation Normalized</a:t>
                </a:r>
              </a:p>
              <a:p>
                <a:pPr>
                  <a:defRPr/>
                </a:pPr>
                <a:r>
                  <a:rPr lang="en-US" baseline="0"/>
                  <a:t>(Participants divided by State Population in thousands)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3640"/>
        <c:crosses val="autoZero"/>
        <c:crossBetween val="midCat"/>
      </c:valAx>
      <c:valAx>
        <c:axId val="7132736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Market Population in Millions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304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State High School</a:t>
            </a:r>
            <a:r>
              <a:rPr lang="en-US" baseline="0"/>
              <a:t> Basketball Participation v. Median Income</a:t>
            </a:r>
          </a:p>
          <a:p>
            <a:pPr>
              <a:defRPr/>
            </a:pPr>
            <a:r>
              <a:rPr lang="en-US" baseline="0"/>
              <a:t>(Normalized)</a:t>
            </a:r>
            <a:endParaRPr lang="en-US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462620399524927E-2"/>
          <c:y val="0.11330016850054588"/>
          <c:w val="0.88662266804491818"/>
          <c:h val="0.77216900523503496"/>
        </c:manualLayout>
      </c:layout>
      <c:scatterChart>
        <c:scatterStyle val="lineMarker"/>
        <c:varyColors val="0"/>
        <c:ser>
          <c:idx val="0"/>
          <c:order val="0"/>
          <c:tx>
            <c:v>Market with Team(s)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78E35B6-47DD-45D1-9C5B-B2CBD835B4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9CCDAF0-55D5-437B-8178-EEC35EE8F2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E66EFAE-EAC1-48AD-8CC2-698C910213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058B982-A0C3-417A-90B1-0631873930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6AA8F2A-DED7-49BE-957D-8A4EFECD0E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7A315F0-3E8D-4910-9E55-3A6C99B966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2E5E9F4-765B-48C3-8FBD-7FE32AFB2F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CDA1F18-0166-409F-868F-AC3273DBCD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C5E67D3-B313-4CF5-A931-477518CC18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8E01815-4BA0-4EEF-9AF5-310ED5C82F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>
                <c:manualLayout>
                  <c:x val="-5.3830102754769715E-17"/>
                  <c:y val="8.0928691786104189E-3"/>
                </c:manualLayout>
              </c:layout>
              <c:tx>
                <c:rich>
                  <a:bodyPr/>
                  <a:lstStyle/>
                  <a:p>
                    <a:fld id="{C929F246-EFB4-46E4-9AD7-57C2B26154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89B233F-68E9-4698-986B-AD15EC8B54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BE2D41C-D825-42FC-905B-976DFB4357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57A4A8C-F3DF-49DC-8AC5-F3F8490DC1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228025A-9846-46F2-BA71-8EE9690554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F6CB60B-D193-4767-BAB4-0AE0D92102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68A319B-4176-4336-9481-1731E2F9C0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>
                <c:manualLayout>
                  <c:x val="-0.15855595247205564"/>
                  <c:y val="-2.2255390241178653E-2"/>
                </c:manualLayout>
              </c:layout>
              <c:tx>
                <c:rich>
                  <a:bodyPr/>
                  <a:lstStyle/>
                  <a:p>
                    <a:fld id="{CB51F015-247E-4819-8F54-24995B9D11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8"/>
              <c:layout>
                <c:manualLayout>
                  <c:x val="-7.0469312209802487E-2"/>
                  <c:y val="-7.4183777159938077E-17"/>
                </c:manualLayout>
              </c:layout>
              <c:tx>
                <c:rich>
                  <a:bodyPr/>
                  <a:lstStyle/>
                  <a:p>
                    <a:fld id="{254BDDDB-523E-4D4F-B18E-F28ABF178B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CBFBFFC-5461-4E94-A673-7A4147FBD6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A3D3AB5-86E3-4FFB-87E5-A811590A9C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B228992-81C7-42FD-A9E8-48A7AA65EF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A5599DD-E56E-47CE-AB4A-573755DDB5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74C8B57-8355-4EBB-A72E-C9F40B2480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30D8BC9-3543-4C2F-818F-640587AF27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9FFAA7A-AE1F-48EF-941E-98650376C7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>
                <c:manualLayout>
                  <c:x val="1.1744885368300416E-2"/>
                  <c:y val="-6.0696518839578146E-3"/>
                </c:manualLayout>
              </c:layout>
              <c:tx>
                <c:rich>
                  <a:bodyPr/>
                  <a:lstStyle/>
                  <a:p>
                    <a:fld id="{B7758C73-1776-4A10-8830-7AE540972C8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"/>
            <c:backward val="1"/>
            <c:dispRSqr val="0"/>
            <c:dispEq val="1"/>
            <c:trendlineLbl>
              <c:layout>
                <c:manualLayout>
                  <c:x val="0"/>
                  <c:y val="-3.3542553118614218E-2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'Cities by NBA Team'!$P$2:$P$28</c:f>
              <c:numCache>
                <c:formatCode>0.00%</c:formatCode>
                <c:ptCount val="27"/>
                <c:pt idx="0">
                  <c:v>0.26315789473684209</c:v>
                </c:pt>
                <c:pt idx="1">
                  <c:v>0.31578947368421051</c:v>
                </c:pt>
                <c:pt idx="2">
                  <c:v>0.39473684210526316</c:v>
                </c:pt>
                <c:pt idx="3">
                  <c:v>0.5</c:v>
                </c:pt>
                <c:pt idx="4">
                  <c:v>0.44736842105263158</c:v>
                </c:pt>
                <c:pt idx="5">
                  <c:v>0.65789473684210531</c:v>
                </c:pt>
                <c:pt idx="6">
                  <c:v>0.31578947368421051</c:v>
                </c:pt>
                <c:pt idx="7">
                  <c:v>0.65789473684210531</c:v>
                </c:pt>
                <c:pt idx="8">
                  <c:v>0.5</c:v>
                </c:pt>
                <c:pt idx="9">
                  <c:v>0.34210526315789475</c:v>
                </c:pt>
                <c:pt idx="10">
                  <c:v>0.31578947368421051</c:v>
                </c:pt>
                <c:pt idx="11">
                  <c:v>0.55263157894736847</c:v>
                </c:pt>
                <c:pt idx="12">
                  <c:v>0.65789473684210531</c:v>
                </c:pt>
                <c:pt idx="13">
                  <c:v>0.28947368421052633</c:v>
                </c:pt>
                <c:pt idx="14">
                  <c:v>0.44736842105263158</c:v>
                </c:pt>
                <c:pt idx="15">
                  <c:v>0.28947368421052633</c:v>
                </c:pt>
                <c:pt idx="16">
                  <c:v>0.5</c:v>
                </c:pt>
                <c:pt idx="17">
                  <c:v>0.31578947368421051</c:v>
                </c:pt>
                <c:pt idx="18">
                  <c:v>0.28947368421052633</c:v>
                </c:pt>
                <c:pt idx="19">
                  <c:v>0.44736842105263158</c:v>
                </c:pt>
                <c:pt idx="20">
                  <c:v>0.65789473684210531</c:v>
                </c:pt>
                <c:pt idx="21">
                  <c:v>0.34210526315789475</c:v>
                </c:pt>
                <c:pt idx="22">
                  <c:v>0.65789473684210531</c:v>
                </c:pt>
                <c:pt idx="23">
                  <c:v>0.68421052631578949</c:v>
                </c:pt>
                <c:pt idx="24">
                  <c:v>0.44736842105263158</c:v>
                </c:pt>
                <c:pt idx="25">
                  <c:v>0.34210526315789475</c:v>
                </c:pt>
                <c:pt idx="26">
                  <c:v>0.5</c:v>
                </c:pt>
              </c:numCache>
            </c:numRef>
          </c:xVal>
          <c:yVal>
            <c:numRef>
              <c:f>'Cities by NBA Team'!$K$2:$K$28</c:f>
              <c:numCache>
                <c:formatCode>0.00%</c:formatCode>
                <c:ptCount val="27"/>
                <c:pt idx="0">
                  <c:v>0.93296204620462053</c:v>
                </c:pt>
                <c:pt idx="1">
                  <c:v>0.72834158415841588</c:v>
                </c:pt>
                <c:pt idx="2">
                  <c:v>0.90903465346534662</c:v>
                </c:pt>
                <c:pt idx="3">
                  <c:v>0.80994541761868488</c:v>
                </c:pt>
                <c:pt idx="4">
                  <c:v>0.75412541254125409</c:v>
                </c:pt>
                <c:pt idx="5">
                  <c:v>0.75238004569687733</c:v>
                </c:pt>
                <c:pt idx="6">
                  <c:v>1</c:v>
                </c:pt>
                <c:pt idx="7">
                  <c:v>0.71022150291952268</c:v>
                </c:pt>
                <c:pt idx="8">
                  <c:v>0.83764914953033776</c:v>
                </c:pt>
                <c:pt idx="9">
                  <c:v>0.82425742574257432</c:v>
                </c:pt>
                <c:pt idx="10">
                  <c:v>0.71007870017771013</c:v>
                </c:pt>
                <c:pt idx="11">
                  <c:v>0.78002030972328018</c:v>
                </c:pt>
                <c:pt idx="12">
                  <c:v>0.86164001015486169</c:v>
                </c:pt>
                <c:pt idx="13">
                  <c:v>0.61297283574511297</c:v>
                </c:pt>
                <c:pt idx="14">
                  <c:v>0.81061183041381057</c:v>
                </c:pt>
                <c:pt idx="15">
                  <c:v>0.66436595582635194</c:v>
                </c:pt>
                <c:pt idx="16">
                  <c:v>0.66982419395785731</c:v>
                </c:pt>
                <c:pt idx="17">
                  <c:v>0.73156257933485658</c:v>
                </c:pt>
                <c:pt idx="18">
                  <c:v>0.73176884996191938</c:v>
                </c:pt>
                <c:pt idx="19">
                  <c:v>0.72270880934247284</c:v>
                </c:pt>
                <c:pt idx="20">
                  <c:v>0.62103325717187108</c:v>
                </c:pt>
                <c:pt idx="21">
                  <c:v>0.77103960396039606</c:v>
                </c:pt>
                <c:pt idx="22">
                  <c:v>0.73197512058898206</c:v>
                </c:pt>
                <c:pt idx="23">
                  <c:v>0.60708618938816961</c:v>
                </c:pt>
                <c:pt idx="24">
                  <c:v>0.56037382584412287</c:v>
                </c:pt>
                <c:pt idx="25">
                  <c:v>0.6378681137344504</c:v>
                </c:pt>
                <c:pt idx="26">
                  <c:v>0.73130870779385637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'Cities by NBA Team'!$B$2:$B$28</c15:f>
                <c15:dlblRangeCache>
                  <c:ptCount val="27"/>
                  <c:pt idx="0">
                    <c:v>New York</c:v>
                  </c:pt>
                  <c:pt idx="1">
                    <c:v>Los Angeles</c:v>
                  </c:pt>
                  <c:pt idx="2">
                    <c:v>Washington/Baltimore, DC</c:v>
                  </c:pt>
                  <c:pt idx="3">
                    <c:v>Chicago</c:v>
                  </c:pt>
                  <c:pt idx="4">
                    <c:v>Philadelphia</c:v>
                  </c:pt>
                  <c:pt idx="5">
                    <c:v>Dallas-Ft. Worth</c:v>
                  </c:pt>
                  <c:pt idx="6">
                    <c:v>San Francisco</c:v>
                  </c:pt>
                  <c:pt idx="7">
                    <c:v>Houston</c:v>
                  </c:pt>
                  <c:pt idx="8">
                    <c:v>Boston</c:v>
                  </c:pt>
                  <c:pt idx="9">
                    <c:v>Atlanta</c:v>
                  </c:pt>
                  <c:pt idx="10">
                    <c:v>Phoenix</c:v>
                  </c:pt>
                  <c:pt idx="11">
                    <c:v>Detroit</c:v>
                  </c:pt>
                  <c:pt idx="12">
                    <c:v>Minneapolis</c:v>
                  </c:pt>
                  <c:pt idx="13">
                    <c:v>Miami</c:v>
                  </c:pt>
                  <c:pt idx="14">
                    <c:v>Denver</c:v>
                  </c:pt>
                  <c:pt idx="15">
                    <c:v>Orlando</c:v>
                  </c:pt>
                  <c:pt idx="16">
                    <c:v>Cleveland</c:v>
                  </c:pt>
                  <c:pt idx="17">
                    <c:v>Sacramento</c:v>
                  </c:pt>
                  <c:pt idx="18">
                    <c:v>Charlotte</c:v>
                  </c:pt>
                  <c:pt idx="19">
                    <c:v>Indianapolis</c:v>
                  </c:pt>
                  <c:pt idx="20">
                    <c:v>San Antonio</c:v>
                  </c:pt>
                  <c:pt idx="21">
                    <c:v>Salt Lake City</c:v>
                  </c:pt>
                  <c:pt idx="22">
                    <c:v>Milwaukee</c:v>
                  </c:pt>
                  <c:pt idx="23">
                    <c:v>Oklahoma City</c:v>
                  </c:pt>
                  <c:pt idx="24">
                    <c:v>New Orleans</c:v>
                  </c:pt>
                  <c:pt idx="25">
                    <c:v>Memphis</c:v>
                  </c:pt>
                  <c:pt idx="26">
                    <c:v>Portland</c:v>
                  </c:pt>
                </c15:dlblRangeCache>
              </c15:datalabelsRange>
            </c:ext>
          </c:extLst>
        </c:ser>
        <c:ser>
          <c:idx val="1"/>
          <c:order val="1"/>
          <c:tx>
            <c:v>Market without Team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'Cities by NBA Team'!$P$30:$P$101</c:f>
              <c:numCache>
                <c:formatCode>0.00%</c:formatCode>
                <c:ptCount val="72"/>
                <c:pt idx="0">
                  <c:v>0.28947368421052633</c:v>
                </c:pt>
                <c:pt idx="1">
                  <c:v>0.4210526315789474</c:v>
                </c:pt>
                <c:pt idx="2">
                  <c:v>0.60526315789473684</c:v>
                </c:pt>
                <c:pt idx="3">
                  <c:v>0.44736842105263158</c:v>
                </c:pt>
                <c:pt idx="4">
                  <c:v>0.28947368421052633</c:v>
                </c:pt>
                <c:pt idx="5">
                  <c:v>0.71052631578947378</c:v>
                </c:pt>
                <c:pt idx="6">
                  <c:v>0.31578947368421051</c:v>
                </c:pt>
                <c:pt idx="7">
                  <c:v>0.34210526315789475</c:v>
                </c:pt>
                <c:pt idx="8">
                  <c:v>0.39473684210526316</c:v>
                </c:pt>
                <c:pt idx="9">
                  <c:v>0.5</c:v>
                </c:pt>
                <c:pt idx="10">
                  <c:v>0.60526315789473684</c:v>
                </c:pt>
                <c:pt idx="11">
                  <c:v>0.5</c:v>
                </c:pt>
                <c:pt idx="12">
                  <c:v>0.36842105263157893</c:v>
                </c:pt>
                <c:pt idx="13">
                  <c:v>0.28947368421052633</c:v>
                </c:pt>
                <c:pt idx="14">
                  <c:v>0.65789473684210531</c:v>
                </c:pt>
                <c:pt idx="15">
                  <c:v>0.28947368421052633</c:v>
                </c:pt>
                <c:pt idx="16">
                  <c:v>0.28947368421052633</c:v>
                </c:pt>
                <c:pt idx="17">
                  <c:v>0.44736842105263158</c:v>
                </c:pt>
                <c:pt idx="18">
                  <c:v>0.55263157894736847</c:v>
                </c:pt>
                <c:pt idx="19">
                  <c:v>0.71052631578947378</c:v>
                </c:pt>
                <c:pt idx="20">
                  <c:v>0.28947368421052633</c:v>
                </c:pt>
                <c:pt idx="21">
                  <c:v>0.28947368421052633</c:v>
                </c:pt>
                <c:pt idx="22">
                  <c:v>0.52631578947368418</c:v>
                </c:pt>
                <c:pt idx="23">
                  <c:v>0.4210526315789474</c:v>
                </c:pt>
                <c:pt idx="24">
                  <c:v>0.39473684210526316</c:v>
                </c:pt>
                <c:pt idx="25">
                  <c:v>0.26315789473684209</c:v>
                </c:pt>
                <c:pt idx="26">
                  <c:v>0.31578947368421051</c:v>
                </c:pt>
                <c:pt idx="27">
                  <c:v>0.28947368421052633</c:v>
                </c:pt>
                <c:pt idx="28">
                  <c:v>0.44736842105263158</c:v>
                </c:pt>
                <c:pt idx="29">
                  <c:v>0.47368421052631582</c:v>
                </c:pt>
                <c:pt idx="30">
                  <c:v>0.68421052631578949</c:v>
                </c:pt>
                <c:pt idx="31">
                  <c:v>0.26315789473684209</c:v>
                </c:pt>
                <c:pt idx="32">
                  <c:v>0.71052631578947378</c:v>
                </c:pt>
                <c:pt idx="33">
                  <c:v>0.28947368421052633</c:v>
                </c:pt>
                <c:pt idx="34">
                  <c:v>0.34210526315789475</c:v>
                </c:pt>
                <c:pt idx="35">
                  <c:v>0.4210526315789474</c:v>
                </c:pt>
                <c:pt idx="36">
                  <c:v>0.5</c:v>
                </c:pt>
                <c:pt idx="37">
                  <c:v>0.31578947368421051</c:v>
                </c:pt>
                <c:pt idx="38">
                  <c:v>0.81578947368421062</c:v>
                </c:pt>
                <c:pt idx="39">
                  <c:v>0.28947368421052633</c:v>
                </c:pt>
                <c:pt idx="40">
                  <c:v>0.65789473684210531</c:v>
                </c:pt>
                <c:pt idx="41">
                  <c:v>0.92105263157894746</c:v>
                </c:pt>
                <c:pt idx="42">
                  <c:v>0.44736842105263158</c:v>
                </c:pt>
                <c:pt idx="43">
                  <c:v>0.31578947368421051</c:v>
                </c:pt>
                <c:pt idx="44">
                  <c:v>0.55263157894736847</c:v>
                </c:pt>
                <c:pt idx="45">
                  <c:v>0.4210526315789474</c:v>
                </c:pt>
                <c:pt idx="46">
                  <c:v>1</c:v>
                </c:pt>
                <c:pt idx="47">
                  <c:v>0.60526315789473684</c:v>
                </c:pt>
                <c:pt idx="48">
                  <c:v>0.26315789473684209</c:v>
                </c:pt>
                <c:pt idx="49">
                  <c:v>0.36842105263157893</c:v>
                </c:pt>
                <c:pt idx="50">
                  <c:v>0.5</c:v>
                </c:pt>
                <c:pt idx="51">
                  <c:v>0.71052631578947378</c:v>
                </c:pt>
                <c:pt idx="52">
                  <c:v>0.65789473684210531</c:v>
                </c:pt>
                <c:pt idx="53">
                  <c:v>0.44736842105263158</c:v>
                </c:pt>
                <c:pt idx="54">
                  <c:v>0.4210526315789474</c:v>
                </c:pt>
                <c:pt idx="55">
                  <c:v>0.65789473684210531</c:v>
                </c:pt>
                <c:pt idx="56">
                  <c:v>0.26315789473684209</c:v>
                </c:pt>
                <c:pt idx="57">
                  <c:v>0.5</c:v>
                </c:pt>
                <c:pt idx="58">
                  <c:v>0.65789473684210531</c:v>
                </c:pt>
                <c:pt idx="59">
                  <c:v>0.44736842105263158</c:v>
                </c:pt>
                <c:pt idx="60">
                  <c:v>0.34210526315789475</c:v>
                </c:pt>
                <c:pt idx="61">
                  <c:v>0.92105263157894746</c:v>
                </c:pt>
                <c:pt idx="62">
                  <c:v>0.34210526315789475</c:v>
                </c:pt>
                <c:pt idx="63">
                  <c:v>0.65789473684210531</c:v>
                </c:pt>
                <c:pt idx="64">
                  <c:v>0.44736842105263158</c:v>
                </c:pt>
                <c:pt idx="65">
                  <c:v>0.36842105263157893</c:v>
                </c:pt>
                <c:pt idx="66">
                  <c:v>0.76315789473684215</c:v>
                </c:pt>
                <c:pt idx="67">
                  <c:v>0.44736842105263158</c:v>
                </c:pt>
                <c:pt idx="68">
                  <c:v>0.39473684210526316</c:v>
                </c:pt>
                <c:pt idx="69">
                  <c:v>0.34210526315789475</c:v>
                </c:pt>
                <c:pt idx="70">
                  <c:v>0.47368421052631582</c:v>
                </c:pt>
                <c:pt idx="71">
                  <c:v>0.28947368421052633</c:v>
                </c:pt>
              </c:numCache>
            </c:numRef>
          </c:xVal>
          <c:yVal>
            <c:numRef>
              <c:f>'Cities by NBA Team'!$K$30:$K$101</c:f>
              <c:numCache>
                <c:formatCode>0.00%</c:formatCode>
                <c:ptCount val="72"/>
                <c:pt idx="0">
                  <c:v>0.59351992891596861</c:v>
                </c:pt>
                <c:pt idx="1">
                  <c:v>0.80497905559786753</c:v>
                </c:pt>
                <c:pt idx="2">
                  <c:v>0.70508060421426755</c:v>
                </c:pt>
                <c:pt idx="3">
                  <c:v>0.59448781416603202</c:v>
                </c:pt>
                <c:pt idx="4">
                  <c:v>0.7750222137598376</c:v>
                </c:pt>
                <c:pt idx="5">
                  <c:v>0.70936468646864692</c:v>
                </c:pt>
                <c:pt idx="6">
                  <c:v>0.74681073876618431</c:v>
                </c:pt>
                <c:pt idx="7">
                  <c:v>0.70168507235338917</c:v>
                </c:pt>
                <c:pt idx="8">
                  <c:v>0.82806549885757808</c:v>
                </c:pt>
                <c:pt idx="9">
                  <c:v>0.71055470931708564</c:v>
                </c:pt>
                <c:pt idx="10">
                  <c:v>0.73294300583904548</c:v>
                </c:pt>
                <c:pt idx="11">
                  <c:v>0.71264914953033764</c:v>
                </c:pt>
                <c:pt idx="12">
                  <c:v>0.61021198273673527</c:v>
                </c:pt>
                <c:pt idx="13">
                  <c:v>0.71499746128458996</c:v>
                </c:pt>
                <c:pt idx="14">
                  <c:v>0.77668824574765172</c:v>
                </c:pt>
                <c:pt idx="15">
                  <c:v>0.70792079207920788</c:v>
                </c:pt>
                <c:pt idx="16">
                  <c:v>0.67352119827367352</c:v>
                </c:pt>
                <c:pt idx="17">
                  <c:v>0.68262883980705769</c:v>
                </c:pt>
                <c:pt idx="18">
                  <c:v>0.73172124904798175</c:v>
                </c:pt>
                <c:pt idx="19">
                  <c:v>0.62322289921299823</c:v>
                </c:pt>
                <c:pt idx="20">
                  <c:v>0.64916539730896172</c:v>
                </c:pt>
                <c:pt idx="21">
                  <c:v>0.67337839553186096</c:v>
                </c:pt>
                <c:pt idx="22">
                  <c:v>0.62020817466362022</c:v>
                </c:pt>
                <c:pt idx="23">
                  <c:v>0.64770563594821018</c:v>
                </c:pt>
                <c:pt idx="24">
                  <c:v>0.66241431835491249</c:v>
                </c:pt>
                <c:pt idx="25">
                  <c:v>0.61068799187611078</c:v>
                </c:pt>
                <c:pt idx="26">
                  <c:v>0.55470931708555471</c:v>
                </c:pt>
                <c:pt idx="27">
                  <c:v>0.74257425742574257</c:v>
                </c:pt>
                <c:pt idx="28">
                  <c:v>0.5420316070068546</c:v>
                </c:pt>
                <c:pt idx="29">
                  <c:v>0.62111259202843361</c:v>
                </c:pt>
                <c:pt idx="30">
                  <c:v>0.60708618938816961</c:v>
                </c:pt>
                <c:pt idx="31">
                  <c:v>0.5526307438436151</c:v>
                </c:pt>
                <c:pt idx="32">
                  <c:v>0.56532432089362783</c:v>
                </c:pt>
                <c:pt idx="33">
                  <c:v>0.63974041634932732</c:v>
                </c:pt>
                <c:pt idx="34">
                  <c:v>0.58507870017771013</c:v>
                </c:pt>
                <c:pt idx="35">
                  <c:v>0.62471439451637478</c:v>
                </c:pt>
                <c:pt idx="36">
                  <c:v>0.65927265803503432</c:v>
                </c:pt>
                <c:pt idx="37">
                  <c:v>0.82371794871794879</c:v>
                </c:pt>
                <c:pt idx="38">
                  <c:v>0.6799155877126174</c:v>
                </c:pt>
                <c:pt idx="39">
                  <c:v>0.6233815689261234</c:v>
                </c:pt>
                <c:pt idx="40">
                  <c:v>0.73744922569180005</c:v>
                </c:pt>
                <c:pt idx="41">
                  <c:v>0.74021007870017774</c:v>
                </c:pt>
                <c:pt idx="42">
                  <c:v>0.56197638994668697</c:v>
                </c:pt>
                <c:pt idx="43">
                  <c:v>0.58323813150545833</c:v>
                </c:pt>
                <c:pt idx="44">
                  <c:v>0.63323495811119579</c:v>
                </c:pt>
                <c:pt idx="45">
                  <c:v>0.59196496572734203</c:v>
                </c:pt>
                <c:pt idx="46">
                  <c:v>0.71371223660827621</c:v>
                </c:pt>
                <c:pt idx="47">
                  <c:v>0.65927265803503432</c:v>
                </c:pt>
                <c:pt idx="48">
                  <c:v>0.69743272404163503</c:v>
                </c:pt>
                <c:pt idx="49">
                  <c:v>0.66128776339172379</c:v>
                </c:pt>
                <c:pt idx="50">
                  <c:v>0.63312388931200825</c:v>
                </c:pt>
                <c:pt idx="51">
                  <c:v>0.68392993145468395</c:v>
                </c:pt>
                <c:pt idx="52">
                  <c:v>0.78101992891596861</c:v>
                </c:pt>
                <c:pt idx="53">
                  <c:v>0.51659685199289163</c:v>
                </c:pt>
                <c:pt idx="54">
                  <c:v>0.57617732927138876</c:v>
                </c:pt>
                <c:pt idx="55">
                  <c:v>0.41500063467885251</c:v>
                </c:pt>
                <c:pt idx="56">
                  <c:v>0.63071210967250579</c:v>
                </c:pt>
                <c:pt idx="57">
                  <c:v>0.59945417618684949</c:v>
                </c:pt>
                <c:pt idx="58">
                  <c:v>0.53249555724803255</c:v>
                </c:pt>
                <c:pt idx="59">
                  <c:v>0.74327240416349338</c:v>
                </c:pt>
                <c:pt idx="60">
                  <c:v>0.59359926377253114</c:v>
                </c:pt>
                <c:pt idx="61">
                  <c:v>0.73314927646610817</c:v>
                </c:pt>
                <c:pt idx="62">
                  <c:v>0.6286811373445037</c:v>
                </c:pt>
                <c:pt idx="63">
                  <c:v>0.49268532622493028</c:v>
                </c:pt>
                <c:pt idx="64">
                  <c:v>0.60989464331048493</c:v>
                </c:pt>
                <c:pt idx="65">
                  <c:v>0.62660256410256421</c:v>
                </c:pt>
                <c:pt idx="66">
                  <c:v>0.61701891342980453</c:v>
                </c:pt>
                <c:pt idx="67">
                  <c:v>0.31346788525006347</c:v>
                </c:pt>
                <c:pt idx="68">
                  <c:v>0.7414953033764915</c:v>
                </c:pt>
                <c:pt idx="69">
                  <c:v>0.50133282559025139</c:v>
                </c:pt>
                <c:pt idx="70">
                  <c:v>0.51407400355420163</c:v>
                </c:pt>
                <c:pt idx="71">
                  <c:v>0.52151561309977157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75208"/>
        <c:axId val="713275600"/>
      </c:scatterChart>
      <c:valAx>
        <c:axId val="71327520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State Basketball</a:t>
                </a:r>
                <a:r>
                  <a:rPr lang="en-US" baseline="0"/>
                  <a:t> </a:t>
                </a:r>
                <a:r>
                  <a:rPr lang="en-US"/>
                  <a:t>High School</a:t>
                </a:r>
                <a:r>
                  <a:rPr lang="en-US" baseline="0"/>
                  <a:t> Participation Normalized</a:t>
                </a:r>
              </a:p>
              <a:p>
                <a:pPr>
                  <a:defRPr/>
                </a:pPr>
                <a:r>
                  <a:rPr lang="en-US" baseline="0"/>
                  <a:t>(Participants divided by State Population in thousands)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5600"/>
        <c:crosses val="autoZero"/>
        <c:crossBetween val="midCat"/>
      </c:valAx>
      <c:valAx>
        <c:axId val="7132756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Median Income ($10,000)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5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State</a:t>
            </a:r>
            <a:r>
              <a:rPr lang="en-US" baseline="0"/>
              <a:t> High School Basketball Participation v. Weighted Median Market Income</a:t>
            </a:r>
          </a:p>
          <a:p>
            <a:pPr>
              <a:defRPr/>
            </a:pPr>
            <a:r>
              <a:rPr lang="en-US" baseline="0"/>
              <a:t>(Normalized)</a:t>
            </a:r>
            <a:endParaRPr lang="en-US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15270431765575E-2"/>
          <c:y val="8.9021560964714613E-2"/>
          <c:w val="0.90748821985685579"/>
          <c:h val="0.79644761277086618"/>
        </c:manualLayout>
      </c:layout>
      <c:scatterChart>
        <c:scatterStyle val="lineMarker"/>
        <c:varyColors val="0"/>
        <c:ser>
          <c:idx val="0"/>
          <c:order val="0"/>
          <c:tx>
            <c:v>Market with Team(s)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DDFB3D9-E3D6-4F9F-B9D7-076621933E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DBE91BA-95B6-4367-A273-A45ECB7199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27EDD2A-850B-4F52-BC61-DBF25F2BA3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67F664F-0F75-47DF-8C82-D7002FE5EC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B564283-EBC7-4167-9042-FB8FC1AA30D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7C446AA-3D8F-4717-8F59-D659B2859C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9A50F8F-6CD2-4CD5-986A-B560066BDE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52E2D7B-775D-4DAD-A0E6-D0B6F6667E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3CCD39A-3346-4AAF-AD2F-AFF277C1B2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B4A071E-F650-4565-9199-F80F17F0F6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BF857AE-8AB9-430F-813B-88781E4D15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BED0A41-1CBE-4813-AB7A-34FF947F5B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1907F9B-76C7-4DD0-B5E2-49EE70B5D1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FD8B647-6E86-4E02-B2A8-0698423228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1F4DFAB-E0FC-4A52-9C24-2672AF4C85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9812D0F-5012-4D56-8225-44B5EDDC96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648C6DB-5B8D-47B7-9080-FAE03FD4FF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FACAB15-E19C-4E26-94B5-B4A978B452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>
                <c:manualLayout>
                  <c:x val="-7.6341754893952701E-2"/>
                  <c:y val="-1.4162521062568234E-2"/>
                </c:manualLayout>
              </c:layout>
              <c:tx>
                <c:rich>
                  <a:bodyPr/>
                  <a:lstStyle/>
                  <a:p>
                    <a:fld id="{7F7CD5D7-D867-45F4-8183-D28B76A669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B0CA677-BA82-4C61-9A43-10CFB8E8D1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CC68BD5-6E86-4D80-B41D-6FBBFEE661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2C82349-64F6-4364-B101-A89F40CF89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48F572B7-ABC2-4876-BDFA-43C6F92018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0D4F6E10-6242-49AE-8D01-4F688FAF68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24B74EF0-853A-43FF-A85B-020E4BC47A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65BE68E1-59FB-4F25-9D0F-52D571E957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BF04D7FA-D823-498D-814E-F7E58AD863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0.5"/>
            <c:backward val="0.5"/>
            <c:dispRSqr val="0"/>
            <c:dispEq val="1"/>
            <c:trendlineLbl>
              <c:layout>
                <c:manualLayout>
                  <c:x val="0.21516502835534382"/>
                  <c:y val="2.7899688567914228E-3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'Cities by NBA Team'!$P$2:$P$28</c:f>
              <c:numCache>
                <c:formatCode>0.00%</c:formatCode>
                <c:ptCount val="27"/>
                <c:pt idx="0">
                  <c:v>0.26315789473684209</c:v>
                </c:pt>
                <c:pt idx="1">
                  <c:v>0.31578947368421051</c:v>
                </c:pt>
                <c:pt idx="2">
                  <c:v>0.39473684210526316</c:v>
                </c:pt>
                <c:pt idx="3">
                  <c:v>0.5</c:v>
                </c:pt>
                <c:pt idx="4">
                  <c:v>0.44736842105263158</c:v>
                </c:pt>
                <c:pt idx="5">
                  <c:v>0.65789473684210531</c:v>
                </c:pt>
                <c:pt idx="6">
                  <c:v>0.31578947368421051</c:v>
                </c:pt>
                <c:pt idx="7">
                  <c:v>0.65789473684210531</c:v>
                </c:pt>
                <c:pt idx="8">
                  <c:v>0.5</c:v>
                </c:pt>
                <c:pt idx="9">
                  <c:v>0.34210526315789475</c:v>
                </c:pt>
                <c:pt idx="10">
                  <c:v>0.31578947368421051</c:v>
                </c:pt>
                <c:pt idx="11">
                  <c:v>0.55263157894736847</c:v>
                </c:pt>
                <c:pt idx="12">
                  <c:v>0.65789473684210531</c:v>
                </c:pt>
                <c:pt idx="13">
                  <c:v>0.28947368421052633</c:v>
                </c:pt>
                <c:pt idx="14">
                  <c:v>0.44736842105263158</c:v>
                </c:pt>
                <c:pt idx="15">
                  <c:v>0.28947368421052633</c:v>
                </c:pt>
                <c:pt idx="16">
                  <c:v>0.5</c:v>
                </c:pt>
                <c:pt idx="17">
                  <c:v>0.31578947368421051</c:v>
                </c:pt>
                <c:pt idx="18">
                  <c:v>0.28947368421052633</c:v>
                </c:pt>
                <c:pt idx="19">
                  <c:v>0.44736842105263158</c:v>
                </c:pt>
                <c:pt idx="20">
                  <c:v>0.65789473684210531</c:v>
                </c:pt>
                <c:pt idx="21">
                  <c:v>0.34210526315789475</c:v>
                </c:pt>
                <c:pt idx="22">
                  <c:v>0.65789473684210531</c:v>
                </c:pt>
                <c:pt idx="23">
                  <c:v>0.68421052631578949</c:v>
                </c:pt>
                <c:pt idx="24">
                  <c:v>0.44736842105263158</c:v>
                </c:pt>
                <c:pt idx="25">
                  <c:v>0.34210526315789475</c:v>
                </c:pt>
                <c:pt idx="26">
                  <c:v>0.5</c:v>
                </c:pt>
              </c:numCache>
            </c:numRef>
          </c:xVal>
          <c:yVal>
            <c:numRef>
              <c:f>'Cities by NBA Team'!$M$2:$M$28</c:f>
              <c:numCache>
                <c:formatCode>0.00000000%</c:formatCode>
                <c:ptCount val="27"/>
                <c:pt idx="0">
                  <c:v>1</c:v>
                </c:pt>
                <c:pt idx="1">
                  <c:v>0.60295292259968247</c:v>
                </c:pt>
                <c:pt idx="2">
                  <c:v>0.69933918462869893</c:v>
                </c:pt>
                <c:pt idx="3">
                  <c:v>0.75001077155741414</c:v>
                </c:pt>
                <c:pt idx="4">
                  <c:v>0.47191012817803152</c:v>
                </c:pt>
                <c:pt idx="5">
                  <c:v>0.39727433526019507</c:v>
                </c:pt>
                <c:pt idx="6">
                  <c:v>0.73203731178632858</c:v>
                </c:pt>
                <c:pt idx="7">
                  <c:v>0.33535417995669903</c:v>
                </c:pt>
                <c:pt idx="8">
                  <c:v>0.49289109371241524</c:v>
                </c:pt>
                <c:pt idx="9">
                  <c:v>0.34274395956490133</c:v>
                </c:pt>
                <c:pt idx="10">
                  <c:v>0.2334927424143298</c:v>
                </c:pt>
                <c:pt idx="11">
                  <c:v>0.430375225560921</c:v>
                </c:pt>
                <c:pt idx="12">
                  <c:v>0.31504706088333384</c:v>
                </c:pt>
                <c:pt idx="13">
                  <c:v>0.24027052471610885</c:v>
                </c:pt>
                <c:pt idx="14">
                  <c:v>0.21160162581472755</c:v>
                </c:pt>
                <c:pt idx="15">
                  <c:v>0.11048168276084364</c:v>
                </c:pt>
                <c:pt idx="16">
                  <c:v>0.19952695828485942</c:v>
                </c:pt>
                <c:pt idx="17">
                  <c:v>0.1329223228378083</c:v>
                </c:pt>
                <c:pt idx="18">
                  <c:v>0.11094132679325745</c:v>
                </c:pt>
                <c:pt idx="19">
                  <c:v>0.11747446381326813</c:v>
                </c:pt>
                <c:pt idx="20">
                  <c:v>9.9998921026714344E-2</c:v>
                </c:pt>
                <c:pt idx="21">
                  <c:v>0.10400098206149339</c:v>
                </c:pt>
                <c:pt idx="22">
                  <c:v>0.12505640714021679</c:v>
                </c:pt>
                <c:pt idx="23">
                  <c:v>6.6504412469991378E-2</c:v>
                </c:pt>
                <c:pt idx="24">
                  <c:v>7.5801523375172389E-2</c:v>
                </c:pt>
                <c:pt idx="25">
                  <c:v>7.3247794821233683E-2</c:v>
                </c:pt>
                <c:pt idx="26">
                  <c:v>0.1675115013056018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'Cities by NBA Team'!$B$2:$B$28</c15:f>
                <c15:dlblRangeCache>
                  <c:ptCount val="27"/>
                  <c:pt idx="0">
                    <c:v>New York</c:v>
                  </c:pt>
                  <c:pt idx="1">
                    <c:v>Los Angeles</c:v>
                  </c:pt>
                  <c:pt idx="2">
                    <c:v>Washington/Baltimore, DC</c:v>
                  </c:pt>
                  <c:pt idx="3">
                    <c:v>Chicago</c:v>
                  </c:pt>
                  <c:pt idx="4">
                    <c:v>Philadelphia</c:v>
                  </c:pt>
                  <c:pt idx="5">
                    <c:v>Dallas-Ft. Worth</c:v>
                  </c:pt>
                  <c:pt idx="6">
                    <c:v>San Francisco</c:v>
                  </c:pt>
                  <c:pt idx="7">
                    <c:v>Houston</c:v>
                  </c:pt>
                  <c:pt idx="8">
                    <c:v>Boston</c:v>
                  </c:pt>
                  <c:pt idx="9">
                    <c:v>Atlanta</c:v>
                  </c:pt>
                  <c:pt idx="10">
                    <c:v>Phoenix</c:v>
                  </c:pt>
                  <c:pt idx="11">
                    <c:v>Detroit</c:v>
                  </c:pt>
                  <c:pt idx="12">
                    <c:v>Minneapolis</c:v>
                  </c:pt>
                  <c:pt idx="13">
                    <c:v>Miami</c:v>
                  </c:pt>
                  <c:pt idx="14">
                    <c:v>Denver</c:v>
                  </c:pt>
                  <c:pt idx="15">
                    <c:v>Orlando</c:v>
                  </c:pt>
                  <c:pt idx="16">
                    <c:v>Cleveland</c:v>
                  </c:pt>
                  <c:pt idx="17">
                    <c:v>Sacramento</c:v>
                  </c:pt>
                  <c:pt idx="18">
                    <c:v>Charlotte</c:v>
                  </c:pt>
                  <c:pt idx="19">
                    <c:v>Indianapolis</c:v>
                  </c:pt>
                  <c:pt idx="20">
                    <c:v>San Antonio</c:v>
                  </c:pt>
                  <c:pt idx="21">
                    <c:v>Salt Lake City</c:v>
                  </c:pt>
                  <c:pt idx="22">
                    <c:v>Milwaukee</c:v>
                  </c:pt>
                  <c:pt idx="23">
                    <c:v>Oklahoma City</c:v>
                  </c:pt>
                  <c:pt idx="24">
                    <c:v>New Orleans</c:v>
                  </c:pt>
                  <c:pt idx="25">
                    <c:v>Memphis</c:v>
                  </c:pt>
                  <c:pt idx="26">
                    <c:v>Portland</c:v>
                  </c:pt>
                </c15:dlblRangeCache>
              </c15:datalabelsRange>
            </c:ext>
          </c:extLst>
        </c:ser>
        <c:ser>
          <c:idx val="1"/>
          <c:order val="1"/>
          <c:tx>
            <c:v>Market without Team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'Cities by NBA Team'!$P$30:$P$101</c:f>
              <c:numCache>
                <c:formatCode>0.00%</c:formatCode>
                <c:ptCount val="72"/>
                <c:pt idx="0">
                  <c:v>0.28947368421052633</c:v>
                </c:pt>
                <c:pt idx="1">
                  <c:v>0.4210526315789474</c:v>
                </c:pt>
                <c:pt idx="2">
                  <c:v>0.60526315789473684</c:v>
                </c:pt>
                <c:pt idx="3">
                  <c:v>0.44736842105263158</c:v>
                </c:pt>
                <c:pt idx="4">
                  <c:v>0.28947368421052633</c:v>
                </c:pt>
                <c:pt idx="5">
                  <c:v>0.71052631578947378</c:v>
                </c:pt>
                <c:pt idx="6">
                  <c:v>0.31578947368421051</c:v>
                </c:pt>
                <c:pt idx="7">
                  <c:v>0.34210526315789475</c:v>
                </c:pt>
                <c:pt idx="8">
                  <c:v>0.39473684210526316</c:v>
                </c:pt>
                <c:pt idx="9">
                  <c:v>0.5</c:v>
                </c:pt>
                <c:pt idx="10">
                  <c:v>0.60526315789473684</c:v>
                </c:pt>
                <c:pt idx="11">
                  <c:v>0.5</c:v>
                </c:pt>
                <c:pt idx="12">
                  <c:v>0.36842105263157893</c:v>
                </c:pt>
                <c:pt idx="13">
                  <c:v>0.28947368421052633</c:v>
                </c:pt>
                <c:pt idx="14">
                  <c:v>0.65789473684210531</c:v>
                </c:pt>
                <c:pt idx="15">
                  <c:v>0.28947368421052633</c:v>
                </c:pt>
                <c:pt idx="16">
                  <c:v>0.28947368421052633</c:v>
                </c:pt>
                <c:pt idx="17">
                  <c:v>0.44736842105263158</c:v>
                </c:pt>
                <c:pt idx="18">
                  <c:v>0.55263157894736847</c:v>
                </c:pt>
                <c:pt idx="19">
                  <c:v>0.71052631578947378</c:v>
                </c:pt>
                <c:pt idx="20">
                  <c:v>0.28947368421052633</c:v>
                </c:pt>
                <c:pt idx="21">
                  <c:v>0.28947368421052633</c:v>
                </c:pt>
                <c:pt idx="22">
                  <c:v>0.52631578947368418</c:v>
                </c:pt>
                <c:pt idx="23">
                  <c:v>0.4210526315789474</c:v>
                </c:pt>
                <c:pt idx="24">
                  <c:v>0.39473684210526316</c:v>
                </c:pt>
                <c:pt idx="25">
                  <c:v>0.26315789473684209</c:v>
                </c:pt>
                <c:pt idx="26">
                  <c:v>0.31578947368421051</c:v>
                </c:pt>
                <c:pt idx="27">
                  <c:v>0.28947368421052633</c:v>
                </c:pt>
                <c:pt idx="28">
                  <c:v>0.44736842105263158</c:v>
                </c:pt>
                <c:pt idx="29">
                  <c:v>0.47368421052631582</c:v>
                </c:pt>
                <c:pt idx="30">
                  <c:v>0.68421052631578949</c:v>
                </c:pt>
                <c:pt idx="31">
                  <c:v>0.26315789473684209</c:v>
                </c:pt>
                <c:pt idx="32">
                  <c:v>0.71052631578947378</c:v>
                </c:pt>
                <c:pt idx="33">
                  <c:v>0.28947368421052633</c:v>
                </c:pt>
                <c:pt idx="34">
                  <c:v>0.34210526315789475</c:v>
                </c:pt>
                <c:pt idx="35">
                  <c:v>0.4210526315789474</c:v>
                </c:pt>
                <c:pt idx="36">
                  <c:v>0.5</c:v>
                </c:pt>
                <c:pt idx="37">
                  <c:v>0.31578947368421051</c:v>
                </c:pt>
                <c:pt idx="38">
                  <c:v>0.81578947368421062</c:v>
                </c:pt>
                <c:pt idx="39">
                  <c:v>0.28947368421052633</c:v>
                </c:pt>
                <c:pt idx="40">
                  <c:v>0.65789473684210531</c:v>
                </c:pt>
                <c:pt idx="41">
                  <c:v>0.92105263157894746</c:v>
                </c:pt>
                <c:pt idx="42">
                  <c:v>0.44736842105263158</c:v>
                </c:pt>
                <c:pt idx="43">
                  <c:v>0.31578947368421051</c:v>
                </c:pt>
                <c:pt idx="44">
                  <c:v>0.55263157894736847</c:v>
                </c:pt>
                <c:pt idx="45">
                  <c:v>0.4210526315789474</c:v>
                </c:pt>
                <c:pt idx="46">
                  <c:v>1</c:v>
                </c:pt>
                <c:pt idx="47">
                  <c:v>0.60526315789473684</c:v>
                </c:pt>
                <c:pt idx="48">
                  <c:v>0.26315789473684209</c:v>
                </c:pt>
                <c:pt idx="49">
                  <c:v>0.36842105263157893</c:v>
                </c:pt>
                <c:pt idx="50">
                  <c:v>0.5</c:v>
                </c:pt>
                <c:pt idx="51">
                  <c:v>0.71052631578947378</c:v>
                </c:pt>
                <c:pt idx="52">
                  <c:v>0.65789473684210531</c:v>
                </c:pt>
                <c:pt idx="53">
                  <c:v>0.44736842105263158</c:v>
                </c:pt>
                <c:pt idx="54">
                  <c:v>0.4210526315789474</c:v>
                </c:pt>
                <c:pt idx="55">
                  <c:v>0.65789473684210531</c:v>
                </c:pt>
                <c:pt idx="56">
                  <c:v>0.26315789473684209</c:v>
                </c:pt>
                <c:pt idx="57">
                  <c:v>0.5</c:v>
                </c:pt>
                <c:pt idx="58">
                  <c:v>0.65789473684210531</c:v>
                </c:pt>
                <c:pt idx="59">
                  <c:v>0.44736842105263158</c:v>
                </c:pt>
                <c:pt idx="60">
                  <c:v>0.34210526315789475</c:v>
                </c:pt>
                <c:pt idx="61">
                  <c:v>0.92105263157894746</c:v>
                </c:pt>
                <c:pt idx="62">
                  <c:v>0.34210526315789475</c:v>
                </c:pt>
                <c:pt idx="63">
                  <c:v>0.65789473684210531</c:v>
                </c:pt>
                <c:pt idx="64">
                  <c:v>0.44736842105263158</c:v>
                </c:pt>
                <c:pt idx="65">
                  <c:v>0.36842105263157893</c:v>
                </c:pt>
                <c:pt idx="66">
                  <c:v>0.76315789473684215</c:v>
                </c:pt>
                <c:pt idx="67">
                  <c:v>0.44736842105263158</c:v>
                </c:pt>
                <c:pt idx="68">
                  <c:v>0.39473684210526316</c:v>
                </c:pt>
                <c:pt idx="69">
                  <c:v>0.34210526315789475</c:v>
                </c:pt>
                <c:pt idx="70">
                  <c:v>0.47368421052631582</c:v>
                </c:pt>
                <c:pt idx="71">
                  <c:v>0.28947368421052633</c:v>
                </c:pt>
              </c:numCache>
            </c:numRef>
          </c:xVal>
          <c:yVal>
            <c:numRef>
              <c:f>'Cities by NBA Team'!$M$30:$M$101</c:f>
              <c:numCache>
                <c:formatCode>0.00000000%</c:formatCode>
                <c:ptCount val="72"/>
                <c:pt idx="0">
                  <c:v>0.14379854764044117</c:v>
                </c:pt>
                <c:pt idx="1">
                  <c:v>0.28935286651646286</c:v>
                </c:pt>
                <c:pt idx="2">
                  <c:v>0.18562955442730147</c:v>
                </c:pt>
                <c:pt idx="3">
                  <c:v>0.14179067402091988</c:v>
                </c:pt>
                <c:pt idx="4">
                  <c:v>9.3098341818216232E-2</c:v>
                </c:pt>
                <c:pt idx="5">
                  <c:v>1.7469477794318438E-2</c:v>
                </c:pt>
                <c:pt idx="6">
                  <c:v>0.21249161466273717</c:v>
                </c:pt>
                <c:pt idx="7">
                  <c:v>8.7366094185163931E-2</c:v>
                </c:pt>
                <c:pt idx="8">
                  <c:v>9.9065569181732899E-2</c:v>
                </c:pt>
                <c:pt idx="9">
                  <c:v>0.11066121645134265</c:v>
                </c:pt>
                <c:pt idx="10">
                  <c:v>0.13163193059734263</c:v>
                </c:pt>
                <c:pt idx="11">
                  <c:v>0.1426260373140649</c:v>
                </c:pt>
                <c:pt idx="12">
                  <c:v>5.9386505544844523E-2</c:v>
                </c:pt>
                <c:pt idx="13">
                  <c:v>8.1784438647102747E-2</c:v>
                </c:pt>
                <c:pt idx="14">
                  <c:v>9.8153845537720219E-2</c:v>
                </c:pt>
                <c:pt idx="15">
                  <c:v>0.11190639851874974</c:v>
                </c:pt>
                <c:pt idx="16">
                  <c:v>0.10689486861783706</c:v>
                </c:pt>
                <c:pt idx="17">
                  <c:v>4.3445518509861697E-2</c:v>
                </c:pt>
                <c:pt idx="18">
                  <c:v>8.0540182596078452E-2</c:v>
                </c:pt>
                <c:pt idx="19">
                  <c:v>5.8047823069593239E-2</c:v>
                </c:pt>
                <c:pt idx="20">
                  <c:v>8.2152779802502296E-2</c:v>
                </c:pt>
                <c:pt idx="21">
                  <c:v>7.4933945027254312E-2</c:v>
                </c:pt>
                <c:pt idx="22">
                  <c:v>4.4699259024014115E-2</c:v>
                </c:pt>
                <c:pt idx="23">
                  <c:v>6.7171920454972098E-2</c:v>
                </c:pt>
                <c:pt idx="24">
                  <c:v>7.9616505345097316E-2</c:v>
                </c:pt>
                <c:pt idx="25">
                  <c:v>7.2256906805926571E-2</c:v>
                </c:pt>
                <c:pt idx="26">
                  <c:v>5.174546469673718E-2</c:v>
                </c:pt>
                <c:pt idx="27">
                  <c:v>7.4826485274697055E-2</c:v>
                </c:pt>
                <c:pt idx="28">
                  <c:v>3.4243793851112113E-2</c:v>
                </c:pt>
                <c:pt idx="29">
                  <c:v>3.6669148304688877E-2</c:v>
                </c:pt>
                <c:pt idx="30">
                  <c:v>4.930896661854433E-2</c:v>
                </c:pt>
                <c:pt idx="31">
                  <c:v>4.8928881319100948E-2</c:v>
                </c:pt>
                <c:pt idx="32">
                  <c:v>3.0883875990092156E-2</c:v>
                </c:pt>
                <c:pt idx="33">
                  <c:v>2.852101590417716E-2</c:v>
                </c:pt>
                <c:pt idx="34">
                  <c:v>4.0659433947100282E-2</c:v>
                </c:pt>
                <c:pt idx="35">
                  <c:v>3.0271185783054752E-2</c:v>
                </c:pt>
                <c:pt idx="36">
                  <c:v>6.3368964379034512E-2</c:v>
                </c:pt>
                <c:pt idx="37">
                  <c:v>7.2978157165071417E-2</c:v>
                </c:pt>
                <c:pt idx="38">
                  <c:v>3.7485188581668265E-2</c:v>
                </c:pt>
                <c:pt idx="39">
                  <c:v>1.487214909404486E-2</c:v>
                </c:pt>
                <c:pt idx="40">
                  <c:v>1.6910870683053358E-2</c:v>
                </c:pt>
                <c:pt idx="41">
                  <c:v>3.4132941218259265E-2</c:v>
                </c:pt>
                <c:pt idx="42">
                  <c:v>1.4301073461965642E-2</c:v>
                </c:pt>
                <c:pt idx="43">
                  <c:v>4.9761167428907384E-2</c:v>
                </c:pt>
                <c:pt idx="44">
                  <c:v>0.34938659228866553</c:v>
                </c:pt>
                <c:pt idx="45">
                  <c:v>2.5017380131758547E-2</c:v>
                </c:pt>
                <c:pt idx="46">
                  <c:v>5.1745669550068735E-2</c:v>
                </c:pt>
                <c:pt idx="47">
                  <c:v>6.3368964379034512E-2</c:v>
                </c:pt>
                <c:pt idx="48">
                  <c:v>7.7449225560806342E-2</c:v>
                </c:pt>
                <c:pt idx="49">
                  <c:v>3.5887873275258816E-2</c:v>
                </c:pt>
                <c:pt idx="50">
                  <c:v>3.957789871925127E-2</c:v>
                </c:pt>
                <c:pt idx="51">
                  <c:v>2.3678154391979626E-2</c:v>
                </c:pt>
                <c:pt idx="52">
                  <c:v>5.7378104921925271E-2</c:v>
                </c:pt>
                <c:pt idx="53">
                  <c:v>2.0492984015050762E-2</c:v>
                </c:pt>
                <c:pt idx="54">
                  <c:v>1.2062259439166292E-2</c:v>
                </c:pt>
                <c:pt idx="55">
                  <c:v>1.4067621510762782E-2</c:v>
                </c:pt>
                <c:pt idx="56">
                  <c:v>4.6692226617086802E-2</c:v>
                </c:pt>
                <c:pt idx="57">
                  <c:v>1.7843902365885487E-2</c:v>
                </c:pt>
                <c:pt idx="58">
                  <c:v>2.8347953791915844E-2</c:v>
                </c:pt>
                <c:pt idx="59">
                  <c:v>3.885186129210734E-2</c:v>
                </c:pt>
                <c:pt idx="60">
                  <c:v>2.7920910263215512E-2</c:v>
                </c:pt>
                <c:pt idx="61">
                  <c:v>1.4211820461194008E-2</c:v>
                </c:pt>
                <c:pt idx="62">
                  <c:v>1.8626487883526967E-2</c:v>
                </c:pt>
                <c:pt idx="63">
                  <c:v>3.3858676689088728E-2</c:v>
                </c:pt>
                <c:pt idx="64">
                  <c:v>3.7181653942058981E-2</c:v>
                </c:pt>
                <c:pt idx="65">
                  <c:v>1.5945668645504691E-2</c:v>
                </c:pt>
                <c:pt idx="66">
                  <c:v>2.7502613866520656E-2</c:v>
                </c:pt>
                <c:pt idx="67">
                  <c:v>8.4175751493456626E-3</c:v>
                </c:pt>
                <c:pt idx="68">
                  <c:v>1.2700817047468648E-2</c:v>
                </c:pt>
                <c:pt idx="69">
                  <c:v>2.4337873528489009E-2</c:v>
                </c:pt>
                <c:pt idx="70">
                  <c:v>1.0775487256684793E-2</c:v>
                </c:pt>
                <c:pt idx="71">
                  <c:v>7.0558584590001581E-3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71680"/>
        <c:axId val="713270504"/>
      </c:scatterChart>
      <c:valAx>
        <c:axId val="713271680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State</a:t>
                </a:r>
                <a:r>
                  <a:rPr lang="en-US" baseline="0"/>
                  <a:t> Basketball</a:t>
                </a:r>
                <a:r>
                  <a:rPr lang="en-US"/>
                  <a:t> High School</a:t>
                </a:r>
                <a:r>
                  <a:rPr lang="en-US" baseline="0"/>
                  <a:t> Participation Normalized</a:t>
                </a:r>
              </a:p>
              <a:p>
                <a:pPr>
                  <a:defRPr/>
                </a:pPr>
                <a:r>
                  <a:rPr lang="en-US" baseline="0"/>
                  <a:t>(Participants divided by State Population in thousands)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0504"/>
        <c:crosses val="autoZero"/>
        <c:crossBetween val="midCat"/>
      </c:valAx>
      <c:valAx>
        <c:axId val="7132705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Weighted Median Market Income in Billions (Market Population*Median</a:t>
                </a:r>
                <a:r>
                  <a:rPr lang="en-US" baseline="0"/>
                  <a:t> Income) Normalized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1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7993691516886621"/>
          <c:y val="4.6533997777009908E-2"/>
          <c:w val="0.21125442080490844"/>
          <c:h val="0.1024260924298059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Basketball Fan</a:t>
            </a:r>
            <a:r>
              <a:rPr lang="en-US" baseline="0"/>
              <a:t> Score v. Market Size</a:t>
            </a:r>
          </a:p>
          <a:p>
            <a:pPr>
              <a:defRPr/>
            </a:pPr>
            <a:r>
              <a:rPr lang="en-US" baseline="0"/>
              <a:t>(Normalized)</a:t>
            </a:r>
            <a:endParaRPr lang="en-US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26101111903092E-2"/>
          <c:y val="0.11734660308985108"/>
          <c:w val="0.91753009684675257"/>
          <c:h val="0.79281585807274035"/>
        </c:manualLayout>
      </c:layout>
      <c:scatterChart>
        <c:scatterStyle val="lineMarker"/>
        <c:varyColors val="0"/>
        <c:ser>
          <c:idx val="0"/>
          <c:order val="0"/>
          <c:tx>
            <c:v>Market with Team(s)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E1D4058-6589-4854-9EB7-049E24CB88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6CC707C-59C6-41D2-A0C9-3A2A135DA6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0F247A5-0676-47BE-8367-0A4A278F50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7D0C6D2-F1E0-41D1-8B5B-96F76B16DA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A454731-F193-4D7A-8BF9-96761932FC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9E28DD1-99F6-4247-BF29-D4097E6619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9DB87AE-DCFB-4608-B430-5B22B41538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4628EEE-F6C4-4867-BD26-5644D23C42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C653ADB-B973-44BA-B92B-47B9365EB7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580576A-64FB-4CE3-B945-ED1F3530F9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6868AC5-439C-462C-A6CE-084410286C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35E3112-04BE-4058-B34C-5B0D5E8DD5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12D4B5E-F937-4BF4-8BA1-6C23F8A954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B6CB23D-493D-4AC7-8B8F-9C4FBC5873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61F7039-3D60-43D7-B3B7-8C0F3791EC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9D42E22-B61C-44F6-827F-81CA3DCEBC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B33F89F-170F-4185-8856-48A9FA174E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C5823F9-4F7A-4503-900B-CF6FE4D3C9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BB807FD-016A-4F8A-B834-35B228A639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234F04C-2A1F-45C4-BDA6-229D84001B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A4BC411F-642B-4F8D-B037-759D1A592D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BC80C8B1-E4A5-4E72-994B-48D23C19FB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5E07F90-3671-470F-A583-DE14785BAF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8B3421BA-9882-4E3D-839C-B1125CBDF9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1347CD73-8C48-496A-9313-D5070CB2CC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612008EB-A7B5-4919-81F2-9AE0DF1793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429B1D5-A83E-407E-81D9-0034537BF8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"/>
            <c:dispRSqr val="0"/>
            <c:dispEq val="1"/>
            <c:trendlineLbl>
              <c:layout>
                <c:manualLayout>
                  <c:x val="0.22689649848535667"/>
                  <c:y val="-4.6790901137357829E-2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'Cities by NBA Team'!$R$2:$R$28</c:f>
              <c:numCache>
                <c:formatCode>0.00%</c:formatCode>
                <c:ptCount val="27"/>
                <c:pt idx="0">
                  <c:v>0.63304261971367448</c:v>
                </c:pt>
                <c:pt idx="1">
                  <c:v>1</c:v>
                </c:pt>
                <c:pt idx="2">
                  <c:v>0.59535955241072891</c:v>
                </c:pt>
                <c:pt idx="3">
                  <c:v>0.70018101036695735</c:v>
                </c:pt>
                <c:pt idx="4">
                  <c:v>0.58828369261148594</c:v>
                </c:pt>
                <c:pt idx="5">
                  <c:v>0.66891558334704615</c:v>
                </c:pt>
                <c:pt idx="6">
                  <c:v>0.81207832812242886</c:v>
                </c:pt>
                <c:pt idx="7">
                  <c:v>0.60868849761395427</c:v>
                </c:pt>
                <c:pt idx="8">
                  <c:v>0.94750699358235968</c:v>
                </c:pt>
                <c:pt idx="9">
                  <c:v>0.61905545499424053</c:v>
                </c:pt>
                <c:pt idx="10">
                  <c:v>0.48724699687345724</c:v>
                </c:pt>
                <c:pt idx="11">
                  <c:v>0.49712028961658711</c:v>
                </c:pt>
                <c:pt idx="12">
                  <c:v>0.48675333223630074</c:v>
                </c:pt>
                <c:pt idx="13">
                  <c:v>0.70742142504525263</c:v>
                </c:pt>
                <c:pt idx="14">
                  <c:v>0.44758927102188578</c:v>
                </c:pt>
                <c:pt idx="15">
                  <c:v>0.67253579068619374</c:v>
                </c:pt>
                <c:pt idx="16">
                  <c:v>0.75481323021227575</c:v>
                </c:pt>
                <c:pt idx="17">
                  <c:v>0.5719927595853217</c:v>
                </c:pt>
                <c:pt idx="18">
                  <c:v>0.58779002797432944</c:v>
                </c:pt>
                <c:pt idx="19">
                  <c:v>0.66068783939443798</c:v>
                </c:pt>
                <c:pt idx="20">
                  <c:v>0.79414184630574292</c:v>
                </c:pt>
                <c:pt idx="21">
                  <c:v>0.79183807799901262</c:v>
                </c:pt>
                <c:pt idx="22">
                  <c:v>0.57347375349679119</c:v>
                </c:pt>
                <c:pt idx="23">
                  <c:v>0.769129504689814</c:v>
                </c:pt>
                <c:pt idx="24">
                  <c:v>0.62415665624485761</c:v>
                </c:pt>
                <c:pt idx="25">
                  <c:v>0.64933355273983873</c:v>
                </c:pt>
                <c:pt idx="26">
                  <c:v>0.63962481487576095</c:v>
                </c:pt>
              </c:numCache>
            </c:numRef>
          </c:xVal>
          <c:yVal>
            <c:numRef>
              <c:f>'Cities by NBA Team'!$F$2:$F$28</c:f>
              <c:numCache>
                <c:formatCode>0.00%</c:formatCode>
                <c:ptCount val="27"/>
                <c:pt idx="0">
                  <c:v>1</c:v>
                </c:pt>
                <c:pt idx="1">
                  <c:v>0.74528687018787199</c:v>
                </c:pt>
                <c:pt idx="2">
                  <c:v>0.97873070045804511</c:v>
                </c:pt>
                <c:pt idx="3">
                  <c:v>0.94250621205069784</c:v>
                </c:pt>
                <c:pt idx="4">
                  <c:v>0.80091228012878601</c:v>
                </c:pt>
                <c:pt idx="5">
                  <c:v>0.73847334601598658</c:v>
                </c:pt>
                <c:pt idx="6">
                  <c:v>0.67715843246759244</c:v>
                </c:pt>
                <c:pt idx="7">
                  <c:v>0.66700958819479017</c:v>
                </c:pt>
                <c:pt idx="8">
                  <c:v>0.65978102010989814</c:v>
                </c:pt>
                <c:pt idx="9">
                  <c:v>0.65664845916648296</c:v>
                </c:pt>
                <c:pt idx="10">
                  <c:v>0.51440950817976694</c:v>
                </c:pt>
                <c:pt idx="11">
                  <c:v>0.50432053909441488</c:v>
                </c:pt>
                <c:pt idx="12">
                  <c:v>0.47424686539785693</c:v>
                </c:pt>
                <c:pt idx="13">
                  <c:v>0.46167307603332319</c:v>
                </c:pt>
                <c:pt idx="14">
                  <c:v>0.44372412779542281</c:v>
                </c:pt>
                <c:pt idx="15">
                  <c:v>0.41356608451654864</c:v>
                </c:pt>
                <c:pt idx="16">
                  <c:v>0.40795686809224041</c:v>
                </c:pt>
                <c:pt idx="17">
                  <c:v>0.3755181244914011</c:v>
                </c:pt>
                <c:pt idx="18">
                  <c:v>0.32385672411963057</c:v>
                </c:pt>
                <c:pt idx="19">
                  <c:v>0.29565006763174578</c:v>
                </c:pt>
                <c:pt idx="20">
                  <c:v>0.25546565205439931</c:v>
                </c:pt>
                <c:pt idx="21">
                  <c:v>0.24955978129226983</c:v>
                </c:pt>
                <c:pt idx="22">
                  <c:v>0.24377366090504066</c:v>
                </c:pt>
                <c:pt idx="23">
                  <c:v>0.19653758120572298</c:v>
                </c:pt>
                <c:pt idx="24">
                  <c:v>0.17462326259896416</c:v>
                </c:pt>
                <c:pt idx="25">
                  <c:v>0.17253035263763808</c:v>
                </c:pt>
                <c:pt idx="26">
                  <c:v>0.31126116195966042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'Cities by NBA Team'!$B$2:$B$28</c15:f>
                <c15:dlblRangeCache>
                  <c:ptCount val="27"/>
                  <c:pt idx="0">
                    <c:v>New York</c:v>
                  </c:pt>
                  <c:pt idx="1">
                    <c:v>Los Angeles</c:v>
                  </c:pt>
                  <c:pt idx="2">
                    <c:v>Washington/Baltimore, DC</c:v>
                  </c:pt>
                  <c:pt idx="3">
                    <c:v>Chicago</c:v>
                  </c:pt>
                  <c:pt idx="4">
                    <c:v>Philadelphia</c:v>
                  </c:pt>
                  <c:pt idx="5">
                    <c:v>Dallas-Ft. Worth</c:v>
                  </c:pt>
                  <c:pt idx="6">
                    <c:v>San Francisco</c:v>
                  </c:pt>
                  <c:pt idx="7">
                    <c:v>Houston</c:v>
                  </c:pt>
                  <c:pt idx="8">
                    <c:v>Boston</c:v>
                  </c:pt>
                  <c:pt idx="9">
                    <c:v>Atlanta</c:v>
                  </c:pt>
                  <c:pt idx="10">
                    <c:v>Phoenix</c:v>
                  </c:pt>
                  <c:pt idx="11">
                    <c:v>Detroit</c:v>
                  </c:pt>
                  <c:pt idx="12">
                    <c:v>Minneapolis</c:v>
                  </c:pt>
                  <c:pt idx="13">
                    <c:v>Miami</c:v>
                  </c:pt>
                  <c:pt idx="14">
                    <c:v>Denver</c:v>
                  </c:pt>
                  <c:pt idx="15">
                    <c:v>Orlando</c:v>
                  </c:pt>
                  <c:pt idx="16">
                    <c:v>Cleveland</c:v>
                  </c:pt>
                  <c:pt idx="17">
                    <c:v>Sacramento</c:v>
                  </c:pt>
                  <c:pt idx="18">
                    <c:v>Charlotte</c:v>
                  </c:pt>
                  <c:pt idx="19">
                    <c:v>Indianapolis</c:v>
                  </c:pt>
                  <c:pt idx="20">
                    <c:v>San Antonio</c:v>
                  </c:pt>
                  <c:pt idx="21">
                    <c:v>Salt Lake City</c:v>
                  </c:pt>
                  <c:pt idx="22">
                    <c:v>Milwaukee</c:v>
                  </c:pt>
                  <c:pt idx="23">
                    <c:v>Oklahoma City</c:v>
                  </c:pt>
                  <c:pt idx="24">
                    <c:v>New Orleans</c:v>
                  </c:pt>
                  <c:pt idx="25">
                    <c:v>Memphis</c:v>
                  </c:pt>
                  <c:pt idx="26">
                    <c:v>Portland</c:v>
                  </c:pt>
                </c15:dlblRangeCache>
              </c15:datalabelsRange>
            </c:ext>
          </c:extLst>
        </c:ser>
        <c:ser>
          <c:idx val="1"/>
          <c:order val="1"/>
          <c:tx>
            <c:v>Market without Team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'Cities by NBA Team'!$R$30:$R$101</c:f>
              <c:numCache>
                <c:formatCode>0.00%</c:formatCode>
                <c:ptCount val="72"/>
                <c:pt idx="0">
                  <c:v>0.50436070429488233</c:v>
                </c:pt>
                <c:pt idx="1">
                  <c:v>0.6840546322198453</c:v>
                </c:pt>
                <c:pt idx="2">
                  <c:v>0.62349843672864902</c:v>
                </c:pt>
                <c:pt idx="3">
                  <c:v>0.6587131808458121</c:v>
                </c:pt>
                <c:pt idx="4">
                  <c:v>0.90241895672206685</c:v>
                </c:pt>
                <c:pt idx="5">
                  <c:v>0.69359881520487077</c:v>
                </c:pt>
                <c:pt idx="6">
                  <c:v>0.72453513246667767</c:v>
                </c:pt>
                <c:pt idx="7">
                  <c:v>0.84252098074707915</c:v>
                </c:pt>
                <c:pt idx="8">
                  <c:v>0.61263781471120615</c:v>
                </c:pt>
                <c:pt idx="9">
                  <c:v>0.85058416982063512</c:v>
                </c:pt>
                <c:pt idx="10">
                  <c:v>0.77455981569853538</c:v>
                </c:pt>
                <c:pt idx="11">
                  <c:v>0.64867533322363002</c:v>
                </c:pt>
                <c:pt idx="12">
                  <c:v>0.63073885140694419</c:v>
                </c:pt>
                <c:pt idx="13">
                  <c:v>0.72535790686193835</c:v>
                </c:pt>
                <c:pt idx="14">
                  <c:v>0.66249794306401177</c:v>
                </c:pt>
                <c:pt idx="15">
                  <c:v>0.70511765673852211</c:v>
                </c:pt>
                <c:pt idx="18">
                  <c:v>0.62925785749547458</c:v>
                </c:pt>
                <c:pt idx="19">
                  <c:v>0.66842191870988965</c:v>
                </c:pt>
                <c:pt idx="20">
                  <c:v>0.66348527233832477</c:v>
                </c:pt>
                <c:pt idx="21">
                  <c:v>0.5993088695079809</c:v>
                </c:pt>
                <c:pt idx="22">
                  <c:v>0.65147276616751681</c:v>
                </c:pt>
                <c:pt idx="23">
                  <c:v>0.70807964456146122</c:v>
                </c:pt>
                <c:pt idx="24">
                  <c:v>0.68043442488069761</c:v>
                </c:pt>
                <c:pt idx="25">
                  <c:v>0.55751193022873113</c:v>
                </c:pt>
                <c:pt idx="26">
                  <c:v>0.61543524765509294</c:v>
                </c:pt>
                <c:pt idx="28">
                  <c:v>0.67994076024354122</c:v>
                </c:pt>
                <c:pt idx="29">
                  <c:v>0.67335856508145464</c:v>
                </c:pt>
                <c:pt idx="30">
                  <c:v>0.72437057758762535</c:v>
                </c:pt>
                <c:pt idx="31">
                  <c:v>0.53315780812901092</c:v>
                </c:pt>
                <c:pt idx="32">
                  <c:v>0.67154846141188085</c:v>
                </c:pt>
                <c:pt idx="33">
                  <c:v>0.60243541220997199</c:v>
                </c:pt>
                <c:pt idx="34">
                  <c:v>0.84268553562613113</c:v>
                </c:pt>
                <c:pt idx="35">
                  <c:v>0.72420602270857326</c:v>
                </c:pt>
                <c:pt idx="36">
                  <c:v>0.65064999177225602</c:v>
                </c:pt>
                <c:pt idx="37">
                  <c:v>0.61510613789698854</c:v>
                </c:pt>
                <c:pt idx="38">
                  <c:v>0.51884153365147268</c:v>
                </c:pt>
                <c:pt idx="39">
                  <c:v>0.69787724206022694</c:v>
                </c:pt>
                <c:pt idx="40">
                  <c:v>0.63106796116504837</c:v>
                </c:pt>
                <c:pt idx="41">
                  <c:v>0.65937140036202069</c:v>
                </c:pt>
                <c:pt idx="42">
                  <c:v>0.6539410893532992</c:v>
                </c:pt>
                <c:pt idx="44">
                  <c:v>0.64406779661016944</c:v>
                </c:pt>
                <c:pt idx="45">
                  <c:v>0.70248477867368764</c:v>
                </c:pt>
                <c:pt idx="46">
                  <c:v>0.64077669902912615</c:v>
                </c:pt>
                <c:pt idx="48">
                  <c:v>0.69244693105150557</c:v>
                </c:pt>
                <c:pt idx="49">
                  <c:v>0.69985190060885305</c:v>
                </c:pt>
                <c:pt idx="50">
                  <c:v>0.64094125390817835</c:v>
                </c:pt>
                <c:pt idx="51">
                  <c:v>0.65904229060391628</c:v>
                </c:pt>
                <c:pt idx="56">
                  <c:v>0.64094125390817835</c:v>
                </c:pt>
                <c:pt idx="57">
                  <c:v>0.70232022379463543</c:v>
                </c:pt>
                <c:pt idx="58">
                  <c:v>0.61839723547803183</c:v>
                </c:pt>
                <c:pt idx="59">
                  <c:v>0.52706927760408095</c:v>
                </c:pt>
                <c:pt idx="60">
                  <c:v>0.59947342438703299</c:v>
                </c:pt>
                <c:pt idx="62">
                  <c:v>0.52871482639460254</c:v>
                </c:pt>
                <c:pt idx="63">
                  <c:v>0.67911798584828031</c:v>
                </c:pt>
                <c:pt idx="64">
                  <c:v>0.73358565081454663</c:v>
                </c:pt>
                <c:pt idx="65">
                  <c:v>0.64653611979595194</c:v>
                </c:pt>
                <c:pt idx="66">
                  <c:v>0.52690472272502875</c:v>
                </c:pt>
                <c:pt idx="67">
                  <c:v>0.72321869343426037</c:v>
                </c:pt>
                <c:pt idx="68">
                  <c:v>0.58713180845812074</c:v>
                </c:pt>
                <c:pt idx="69">
                  <c:v>0.6827381931874279</c:v>
                </c:pt>
                <c:pt idx="71">
                  <c:v>0.64571334540069103</c:v>
                </c:pt>
              </c:numCache>
            </c:numRef>
          </c:xVal>
          <c:yVal>
            <c:numRef>
              <c:f>'Cities by NBA Team'!$F$30:$F$101</c:f>
              <c:numCache>
                <c:formatCode>0.00%</c:formatCode>
                <c:ptCount val="72"/>
                <c:pt idx="0">
                  <c:v>0.5194417455250101</c:v>
                </c:pt>
                <c:pt idx="1">
                  <c:v>0.49220942163290515</c:v>
                </c:pt>
                <c:pt idx="2">
                  <c:v>0.33082946185814477</c:v>
                </c:pt>
                <c:pt idx="3">
                  <c:v>0.31576540901557026</c:v>
                </c:pt>
                <c:pt idx="4">
                  <c:v>0.31395826699434726</c:v>
                </c:pt>
                <c:pt idx="5">
                  <c:v>0.10442777011193938</c:v>
                </c:pt>
                <c:pt idx="6">
                  <c:v>0.29004085120743756</c:v>
                </c:pt>
                <c:pt idx="7">
                  <c:v>0.27530883349526847</c:v>
                </c:pt>
                <c:pt idx="8">
                  <c:v>0.26234857701173819</c:v>
                </c:pt>
                <c:pt idx="9">
                  <c:v>0.25058854587664076</c:v>
                </c:pt>
                <c:pt idx="10">
                  <c:v>0.25012043077475771</c:v>
                </c:pt>
                <c:pt idx="11">
                  <c:v>0.23509175872476734</c:v>
                </c:pt>
                <c:pt idx="12">
                  <c:v>0.2302445901407339</c:v>
                </c:pt>
                <c:pt idx="13">
                  <c:v>0.22451018014266619</c:v>
                </c:pt>
                <c:pt idx="14">
                  <c:v>0.20989246960653835</c:v>
                </c:pt>
                <c:pt idx="15">
                  <c:v>0.20625369116922632</c:v>
                </c:pt>
                <c:pt idx="16">
                  <c:v>0.19518494628923524</c:v>
                </c:pt>
                <c:pt idx="17">
                  <c:v>0.19462429680674737</c:v>
                </c:pt>
                <c:pt idx="18">
                  <c:v>0.19314374671707066</c:v>
                </c:pt>
                <c:pt idx="19">
                  <c:v>0.18952674107519507</c:v>
                </c:pt>
                <c:pt idx="20">
                  <c:v>0.18780396863628815</c:v>
                </c:pt>
                <c:pt idx="21">
                  <c:v>0.1873821207247075</c:v>
                </c:pt>
                <c:pt idx="22">
                  <c:v>0.18441285574706545</c:v>
                </c:pt>
                <c:pt idx="23">
                  <c:v>0.18021614942669506</c:v>
                </c:pt>
                <c:pt idx="24">
                  <c:v>0.16772672964447746</c:v>
                </c:pt>
                <c:pt idx="25">
                  <c:v>0.16240055956084271</c:v>
                </c:pt>
                <c:pt idx="26">
                  <c:v>0.15599663610310505</c:v>
                </c:pt>
                <c:pt idx="27">
                  <c:v>0.15363700939768282</c:v>
                </c:pt>
                <c:pt idx="28">
                  <c:v>0.15095623395957336</c:v>
                </c:pt>
                <c:pt idx="29">
                  <c:v>0.14913004074234346</c:v>
                </c:pt>
                <c:pt idx="30">
                  <c:v>0.14457952649613123</c:v>
                </c:pt>
                <c:pt idx="31">
                  <c:v>0.1440052690164956</c:v>
                </c:pt>
                <c:pt idx="32">
                  <c:v>0.1437875410621314</c:v>
                </c:pt>
                <c:pt idx="33">
                  <c:v>0.14117752720919027</c:v>
                </c:pt>
                <c:pt idx="34">
                  <c:v>0.14005622824421454</c:v>
                </c:pt>
                <c:pt idx="35">
                  <c:v>0.13047891985161839</c:v>
                </c:pt>
                <c:pt idx="36">
                  <c:v>0.12683741981487678</c:v>
                </c:pt>
                <c:pt idx="37">
                  <c:v>0.12051786593945529</c:v>
                </c:pt>
                <c:pt idx="38">
                  <c:v>0.11968505651401215</c:v>
                </c:pt>
                <c:pt idx="39">
                  <c:v>0.1196469541219984</c:v>
                </c:pt>
                <c:pt idx="40">
                  <c:v>0.11922510621041772</c:v>
                </c:pt>
                <c:pt idx="41">
                  <c:v>0.11810380724544198</c:v>
                </c:pt>
                <c:pt idx="42">
                  <c:v>0.11734175940516722</c:v>
                </c:pt>
                <c:pt idx="43">
                  <c:v>0.1159020333069338</c:v>
                </c:pt>
                <c:pt idx="44">
                  <c:v>0.11512637746951127</c:v>
                </c:pt>
                <c:pt idx="45">
                  <c:v>0.11500118389575184</c:v>
                </c:pt>
                <c:pt idx="46">
                  <c:v>0.1132756898574154</c:v>
                </c:pt>
                <c:pt idx="47">
                  <c:v>0.11131885986756697</c:v>
                </c:pt>
                <c:pt idx="48">
                  <c:v>0.10999888414423387</c:v>
                </c:pt>
                <c:pt idx="49">
                  <c:v>0.10907898353704504</c:v>
                </c:pt>
                <c:pt idx="50">
                  <c:v>0.10891024437241277</c:v>
                </c:pt>
                <c:pt idx="51">
                  <c:v>0.10490949321097022</c:v>
                </c:pt>
                <c:pt idx="52">
                  <c:v>0.10473531084747885</c:v>
                </c:pt>
                <c:pt idx="53">
                  <c:v>0.10117818039305339</c:v>
                </c:pt>
                <c:pt idx="54">
                  <c:v>0.10053316132824937</c:v>
                </c:pt>
                <c:pt idx="55">
                  <c:v>0.10041613255277862</c:v>
                </c:pt>
                <c:pt idx="56">
                  <c:v>0.10041341095334905</c:v>
                </c:pt>
                <c:pt idx="57">
                  <c:v>9.9079827232868206E-2</c:v>
                </c:pt>
                <c:pt idx="58">
                  <c:v>9.7357054793961312E-2</c:v>
                </c:pt>
                <c:pt idx="59">
                  <c:v>9.6396330195329186E-2</c:v>
                </c:pt>
                <c:pt idx="60">
                  <c:v>9.5588015164752016E-2</c:v>
                </c:pt>
                <c:pt idx="61">
                  <c:v>9.3350860433659644E-2</c:v>
                </c:pt>
                <c:pt idx="62">
                  <c:v>9.2547988601941578E-2</c:v>
                </c:pt>
                <c:pt idx="63">
                  <c:v>9.0702744188704817E-2</c:v>
                </c:pt>
                <c:pt idx="64">
                  <c:v>9.0060446723330356E-2</c:v>
                </c:pt>
                <c:pt idx="65">
                  <c:v>8.9007187744093441E-2</c:v>
                </c:pt>
                <c:pt idx="66">
                  <c:v>8.7589234441296446E-2</c:v>
                </c:pt>
                <c:pt idx="67">
                  <c:v>8.5243215733021974E-2</c:v>
                </c:pt>
                <c:pt idx="68">
                  <c:v>8.3681017660458684E-2</c:v>
                </c:pt>
                <c:pt idx="69">
                  <c:v>8.3490505700390003E-2</c:v>
                </c:pt>
                <c:pt idx="70">
                  <c:v>8.291896982018393E-2</c:v>
                </c:pt>
                <c:pt idx="71">
                  <c:v>8.2189581173063783E-2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76776"/>
        <c:axId val="713270896"/>
      </c:scatterChart>
      <c:valAx>
        <c:axId val="713276776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Basketball Fan Score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0896"/>
        <c:crosses val="autoZero"/>
        <c:crossBetween val="midCat"/>
      </c:valAx>
      <c:valAx>
        <c:axId val="7132708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</a:t>
                </a:r>
                <a:r>
                  <a:rPr lang="en-US" baseline="0"/>
                  <a:t> of TV Homes per Team Normalized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6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Basketball Fan Score</a:t>
            </a:r>
            <a:r>
              <a:rPr lang="en-US" baseline="0"/>
              <a:t> </a:t>
            </a:r>
            <a:r>
              <a:rPr lang="en-US"/>
              <a:t>v.</a:t>
            </a:r>
            <a:r>
              <a:rPr lang="en-US" baseline="0"/>
              <a:t> Market</a:t>
            </a:r>
            <a:r>
              <a:rPr lang="en-US"/>
              <a:t> Population</a:t>
            </a:r>
          </a:p>
          <a:p>
            <a:pPr>
              <a:defRPr/>
            </a:pPr>
            <a:r>
              <a:rPr lang="en-US"/>
              <a:t>(Normalized)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462620399524927E-2"/>
          <c:y val="0.11127695120589326"/>
          <c:w val="0.88662266804491818"/>
          <c:h val="0.79888550995669838"/>
        </c:manualLayout>
      </c:layout>
      <c:scatterChart>
        <c:scatterStyle val="lineMarker"/>
        <c:varyColors val="0"/>
        <c:ser>
          <c:idx val="0"/>
          <c:order val="0"/>
          <c:tx>
            <c:v>Market with Team(s)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C4A68A5-94CC-4E3B-B103-44FF69FE98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51175D1-0274-4601-9038-773308AD27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7FE24A9-A972-4A95-9F43-FF05184722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356B7E9-EF19-4E93-B85B-5EF56A9FB8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314323B-CDE1-47D3-91D8-6E0B4CB5C7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CB40E4A-077E-4D31-816C-8D6322B849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4ECAF75-E964-4974-AFBA-4B1222CA4F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6B1A756-99A5-4286-BB05-411AE3F170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62D682E-9EC8-4DDC-B148-E7024A96BE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52620A9-D739-420B-B130-9E3562FCB7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8A8F8CF-EDA9-4D03-8849-C73E4D3876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67EE148-76CD-4388-AA5F-91F59104E1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E490211-4BD3-48EA-A68C-6E066FC9E6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0B5C9E2-91E0-4D90-886D-01DD1E3177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C17A15E-AAB4-420F-8AD7-1242A601A5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>
                <c:manualLayout>
                  <c:x val="-5.8724426841502081E-3"/>
                  <c:y val="-1.6185738357220987E-2"/>
                </c:manualLayout>
              </c:layout>
              <c:tx>
                <c:rich>
                  <a:bodyPr/>
                  <a:lstStyle/>
                  <a:p>
                    <a:fld id="{4D12EA44-2FD9-4E88-9D26-29EE85ADAE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7453557-731E-4EBF-B306-7651A63370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>
                <c:manualLayout>
                  <c:x val="-1.468110671037552E-3"/>
                  <c:y val="-1.0116086473263024E-2"/>
                </c:manualLayout>
              </c:layout>
              <c:tx>
                <c:rich>
                  <a:bodyPr/>
                  <a:lstStyle/>
                  <a:p>
                    <a:fld id="{E87EBE55-C63D-47DC-859E-47222E4A74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60ECBC2-65FC-4EC1-B57B-4428879B73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1D4E8AA-568A-416F-B03C-4DF7880B0D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495D9D7-C630-4288-9403-1F66D2B857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9A9235A4-A11D-41E3-B6AE-331EBB1304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DFB6D47A-22A5-4546-9B5B-65427C8923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4CC1AE2-06B9-419C-A532-C9993BFB81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CBA31BF-B5D6-41D4-962E-1A8E013239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75E639F7-2461-47A5-86B7-32EF53270F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B8ED331-0F4A-4A18-8509-F79F3EAF93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"/>
            <c:backward val="1"/>
            <c:dispRSqr val="0"/>
            <c:dispEq val="1"/>
            <c:trendlineLbl>
              <c:layout>
                <c:manualLayout>
                  <c:x val="-3.5634745162575338E-2"/>
                  <c:y val="0.45538845692403107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'Cities by NBA Team'!$R$2:$R$28</c:f>
              <c:numCache>
                <c:formatCode>0.00%</c:formatCode>
                <c:ptCount val="27"/>
                <c:pt idx="0">
                  <c:v>0.63304261971367448</c:v>
                </c:pt>
                <c:pt idx="1">
                  <c:v>1</c:v>
                </c:pt>
                <c:pt idx="2">
                  <c:v>0.59535955241072891</c:v>
                </c:pt>
                <c:pt idx="3">
                  <c:v>0.70018101036695735</c:v>
                </c:pt>
                <c:pt idx="4">
                  <c:v>0.58828369261148594</c:v>
                </c:pt>
                <c:pt idx="5">
                  <c:v>0.66891558334704615</c:v>
                </c:pt>
                <c:pt idx="6">
                  <c:v>0.81207832812242886</c:v>
                </c:pt>
                <c:pt idx="7">
                  <c:v>0.60868849761395427</c:v>
                </c:pt>
                <c:pt idx="8">
                  <c:v>0.94750699358235968</c:v>
                </c:pt>
                <c:pt idx="9">
                  <c:v>0.61905545499424053</c:v>
                </c:pt>
                <c:pt idx="10">
                  <c:v>0.48724699687345724</c:v>
                </c:pt>
                <c:pt idx="11">
                  <c:v>0.49712028961658711</c:v>
                </c:pt>
                <c:pt idx="12">
                  <c:v>0.48675333223630074</c:v>
                </c:pt>
                <c:pt idx="13">
                  <c:v>0.70742142504525263</c:v>
                </c:pt>
                <c:pt idx="14">
                  <c:v>0.44758927102188578</c:v>
                </c:pt>
                <c:pt idx="15">
                  <c:v>0.67253579068619374</c:v>
                </c:pt>
                <c:pt idx="16">
                  <c:v>0.75481323021227575</c:v>
                </c:pt>
                <c:pt idx="17">
                  <c:v>0.5719927595853217</c:v>
                </c:pt>
                <c:pt idx="18">
                  <c:v>0.58779002797432944</c:v>
                </c:pt>
                <c:pt idx="19">
                  <c:v>0.66068783939443798</c:v>
                </c:pt>
                <c:pt idx="20">
                  <c:v>0.79414184630574292</c:v>
                </c:pt>
                <c:pt idx="21">
                  <c:v>0.79183807799901262</c:v>
                </c:pt>
                <c:pt idx="22">
                  <c:v>0.57347375349679119</c:v>
                </c:pt>
                <c:pt idx="23">
                  <c:v>0.769129504689814</c:v>
                </c:pt>
                <c:pt idx="24">
                  <c:v>0.62415665624485761</c:v>
                </c:pt>
                <c:pt idx="25">
                  <c:v>0.64933355273983873</c:v>
                </c:pt>
                <c:pt idx="26">
                  <c:v>0.63962481487576095</c:v>
                </c:pt>
              </c:numCache>
            </c:numRef>
          </c:xVal>
          <c:yVal>
            <c:numRef>
              <c:f>'Cities by NBA Team'!$H$2:$H$28</c:f>
              <c:numCache>
                <c:formatCode>0.00%</c:formatCode>
                <c:ptCount val="27"/>
                <c:pt idx="0">
                  <c:v>1</c:v>
                </c:pt>
                <c:pt idx="1">
                  <c:v>0.77234666352828196</c:v>
                </c:pt>
                <c:pt idx="2">
                  <c:v>0.71774702338906404</c:v>
                </c:pt>
                <c:pt idx="3">
                  <c:v>0.86392436932971051</c:v>
                </c:pt>
                <c:pt idx="4">
                  <c:v>0.58382098187889409</c:v>
                </c:pt>
                <c:pt idx="5">
                  <c:v>0.49262587285343568</c:v>
                </c:pt>
                <c:pt idx="6">
                  <c:v>0.68296302830230293</c:v>
                </c:pt>
                <c:pt idx="7">
                  <c:v>0.44052837128915678</c:v>
                </c:pt>
                <c:pt idx="8">
                  <c:v>0.54897528828603392</c:v>
                </c:pt>
                <c:pt idx="9">
                  <c:v>0.38794567795596818</c:v>
                </c:pt>
                <c:pt idx="10">
                  <c:v>0.30678270828611409</c:v>
                </c:pt>
                <c:pt idx="11">
                  <c:v>0.51476063644744907</c:v>
                </c:pt>
                <c:pt idx="12">
                  <c:v>0.34112500244694954</c:v>
                </c:pt>
                <c:pt idx="13">
                  <c:v>0.36569855515589372</c:v>
                </c:pt>
                <c:pt idx="14">
                  <c:v>0.2435398527301943</c:v>
                </c:pt>
                <c:pt idx="15">
                  <c:v>0.1551482521233036</c:v>
                </c:pt>
                <c:pt idx="16">
                  <c:v>0.27791035461782426</c:v>
                </c:pt>
                <c:pt idx="17">
                  <c:v>0.16951589078515358</c:v>
                </c:pt>
                <c:pt idx="18">
                  <c:v>0.14144363655145917</c:v>
                </c:pt>
                <c:pt idx="19">
                  <c:v>0.15165058834101069</c:v>
                </c:pt>
                <c:pt idx="20">
                  <c:v>0.15022576794710724</c:v>
                </c:pt>
                <c:pt idx="21">
                  <c:v>0.12584174474695947</c:v>
                </c:pt>
                <c:pt idx="22">
                  <c:v>0.1593945999184429</c:v>
                </c:pt>
                <c:pt idx="23">
                  <c:v>0.10220310365183931</c:v>
                </c:pt>
                <c:pt idx="24">
                  <c:v>0.12620136967853332</c:v>
                </c:pt>
                <c:pt idx="25">
                  <c:v>0.10713407844814106</c:v>
                </c:pt>
                <c:pt idx="26">
                  <c:v>0.21370164385480755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'Cities by NBA Team'!$B$2:$B$28</c15:f>
                <c15:dlblRangeCache>
                  <c:ptCount val="27"/>
                  <c:pt idx="0">
                    <c:v>New York</c:v>
                  </c:pt>
                  <c:pt idx="1">
                    <c:v>Los Angeles</c:v>
                  </c:pt>
                  <c:pt idx="2">
                    <c:v>Washington/Baltimore, DC</c:v>
                  </c:pt>
                  <c:pt idx="3">
                    <c:v>Chicago</c:v>
                  </c:pt>
                  <c:pt idx="4">
                    <c:v>Philadelphia</c:v>
                  </c:pt>
                  <c:pt idx="5">
                    <c:v>Dallas-Ft. Worth</c:v>
                  </c:pt>
                  <c:pt idx="6">
                    <c:v>San Francisco</c:v>
                  </c:pt>
                  <c:pt idx="7">
                    <c:v>Houston</c:v>
                  </c:pt>
                  <c:pt idx="8">
                    <c:v>Boston</c:v>
                  </c:pt>
                  <c:pt idx="9">
                    <c:v>Atlanta</c:v>
                  </c:pt>
                  <c:pt idx="10">
                    <c:v>Phoenix</c:v>
                  </c:pt>
                  <c:pt idx="11">
                    <c:v>Detroit</c:v>
                  </c:pt>
                  <c:pt idx="12">
                    <c:v>Minneapolis</c:v>
                  </c:pt>
                  <c:pt idx="13">
                    <c:v>Miami</c:v>
                  </c:pt>
                  <c:pt idx="14">
                    <c:v>Denver</c:v>
                  </c:pt>
                  <c:pt idx="15">
                    <c:v>Orlando</c:v>
                  </c:pt>
                  <c:pt idx="16">
                    <c:v>Cleveland</c:v>
                  </c:pt>
                  <c:pt idx="17">
                    <c:v>Sacramento</c:v>
                  </c:pt>
                  <c:pt idx="18">
                    <c:v>Charlotte</c:v>
                  </c:pt>
                  <c:pt idx="19">
                    <c:v>Indianapolis</c:v>
                  </c:pt>
                  <c:pt idx="20">
                    <c:v>San Antonio</c:v>
                  </c:pt>
                  <c:pt idx="21">
                    <c:v>Salt Lake City</c:v>
                  </c:pt>
                  <c:pt idx="22">
                    <c:v>Milwaukee</c:v>
                  </c:pt>
                  <c:pt idx="23">
                    <c:v>Oklahoma City</c:v>
                  </c:pt>
                  <c:pt idx="24">
                    <c:v>New Orleans</c:v>
                  </c:pt>
                  <c:pt idx="25">
                    <c:v>Memphis</c:v>
                  </c:pt>
                  <c:pt idx="26">
                    <c:v>Portland</c:v>
                  </c:pt>
                </c15:dlblRangeCache>
              </c15:datalabelsRange>
            </c:ext>
          </c:extLst>
        </c:ser>
        <c:ser>
          <c:idx val="1"/>
          <c:order val="1"/>
          <c:tx>
            <c:v>Market without Team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'Cities by NBA Team'!$R$30:$R$101</c:f>
              <c:numCache>
                <c:formatCode>0.00%</c:formatCode>
                <c:ptCount val="72"/>
                <c:pt idx="0">
                  <c:v>0.50436070429488233</c:v>
                </c:pt>
                <c:pt idx="1">
                  <c:v>0.6840546322198453</c:v>
                </c:pt>
                <c:pt idx="2">
                  <c:v>0.62349843672864902</c:v>
                </c:pt>
                <c:pt idx="3">
                  <c:v>0.6587131808458121</c:v>
                </c:pt>
                <c:pt idx="4">
                  <c:v>0.90241895672206685</c:v>
                </c:pt>
                <c:pt idx="5">
                  <c:v>0.69359881520487077</c:v>
                </c:pt>
                <c:pt idx="6">
                  <c:v>0.72453513246667767</c:v>
                </c:pt>
                <c:pt idx="7">
                  <c:v>0.84252098074707915</c:v>
                </c:pt>
                <c:pt idx="8">
                  <c:v>0.61263781471120615</c:v>
                </c:pt>
                <c:pt idx="9">
                  <c:v>0.85058416982063512</c:v>
                </c:pt>
                <c:pt idx="10">
                  <c:v>0.77455981569853538</c:v>
                </c:pt>
                <c:pt idx="11">
                  <c:v>0.64867533322363002</c:v>
                </c:pt>
                <c:pt idx="12">
                  <c:v>0.63073885140694419</c:v>
                </c:pt>
                <c:pt idx="13">
                  <c:v>0.72535790686193835</c:v>
                </c:pt>
                <c:pt idx="14">
                  <c:v>0.66249794306401177</c:v>
                </c:pt>
                <c:pt idx="15">
                  <c:v>0.70511765673852211</c:v>
                </c:pt>
                <c:pt idx="18">
                  <c:v>0.62925785749547458</c:v>
                </c:pt>
                <c:pt idx="19">
                  <c:v>0.66842191870988965</c:v>
                </c:pt>
                <c:pt idx="20">
                  <c:v>0.66348527233832477</c:v>
                </c:pt>
                <c:pt idx="21">
                  <c:v>0.5993088695079809</c:v>
                </c:pt>
                <c:pt idx="22">
                  <c:v>0.65147276616751681</c:v>
                </c:pt>
                <c:pt idx="23">
                  <c:v>0.70807964456146122</c:v>
                </c:pt>
                <c:pt idx="24">
                  <c:v>0.68043442488069761</c:v>
                </c:pt>
                <c:pt idx="25">
                  <c:v>0.55751193022873113</c:v>
                </c:pt>
                <c:pt idx="26">
                  <c:v>0.61543524765509294</c:v>
                </c:pt>
                <c:pt idx="28">
                  <c:v>0.67994076024354122</c:v>
                </c:pt>
                <c:pt idx="29">
                  <c:v>0.67335856508145464</c:v>
                </c:pt>
                <c:pt idx="30">
                  <c:v>0.72437057758762535</c:v>
                </c:pt>
                <c:pt idx="31">
                  <c:v>0.53315780812901092</c:v>
                </c:pt>
                <c:pt idx="32">
                  <c:v>0.67154846141188085</c:v>
                </c:pt>
                <c:pt idx="33">
                  <c:v>0.60243541220997199</c:v>
                </c:pt>
                <c:pt idx="34">
                  <c:v>0.84268553562613113</c:v>
                </c:pt>
                <c:pt idx="35">
                  <c:v>0.72420602270857326</c:v>
                </c:pt>
                <c:pt idx="36">
                  <c:v>0.65064999177225602</c:v>
                </c:pt>
                <c:pt idx="37">
                  <c:v>0.61510613789698854</c:v>
                </c:pt>
                <c:pt idx="38">
                  <c:v>0.51884153365147268</c:v>
                </c:pt>
                <c:pt idx="39">
                  <c:v>0.69787724206022694</c:v>
                </c:pt>
                <c:pt idx="40">
                  <c:v>0.63106796116504837</c:v>
                </c:pt>
                <c:pt idx="41">
                  <c:v>0.65937140036202069</c:v>
                </c:pt>
                <c:pt idx="42">
                  <c:v>0.6539410893532992</c:v>
                </c:pt>
                <c:pt idx="44">
                  <c:v>0.64406779661016944</c:v>
                </c:pt>
                <c:pt idx="45">
                  <c:v>0.70248477867368764</c:v>
                </c:pt>
                <c:pt idx="46">
                  <c:v>0.64077669902912615</c:v>
                </c:pt>
                <c:pt idx="48">
                  <c:v>0.69244693105150557</c:v>
                </c:pt>
                <c:pt idx="49">
                  <c:v>0.69985190060885305</c:v>
                </c:pt>
                <c:pt idx="50">
                  <c:v>0.64094125390817835</c:v>
                </c:pt>
                <c:pt idx="51">
                  <c:v>0.65904229060391628</c:v>
                </c:pt>
                <c:pt idx="56">
                  <c:v>0.64094125390817835</c:v>
                </c:pt>
                <c:pt idx="57">
                  <c:v>0.70232022379463543</c:v>
                </c:pt>
                <c:pt idx="58">
                  <c:v>0.61839723547803183</c:v>
                </c:pt>
                <c:pt idx="59">
                  <c:v>0.52706927760408095</c:v>
                </c:pt>
                <c:pt idx="60">
                  <c:v>0.59947342438703299</c:v>
                </c:pt>
                <c:pt idx="62">
                  <c:v>0.52871482639460254</c:v>
                </c:pt>
                <c:pt idx="63">
                  <c:v>0.67911798584828031</c:v>
                </c:pt>
                <c:pt idx="64">
                  <c:v>0.73358565081454663</c:v>
                </c:pt>
                <c:pt idx="65">
                  <c:v>0.64653611979595194</c:v>
                </c:pt>
                <c:pt idx="66">
                  <c:v>0.52690472272502875</c:v>
                </c:pt>
                <c:pt idx="67">
                  <c:v>0.72321869343426037</c:v>
                </c:pt>
                <c:pt idx="68">
                  <c:v>0.58713180845812074</c:v>
                </c:pt>
                <c:pt idx="69">
                  <c:v>0.6827381931874279</c:v>
                </c:pt>
                <c:pt idx="71">
                  <c:v>0.64571334540069103</c:v>
                </c:pt>
              </c:numCache>
            </c:numRef>
          </c:xVal>
          <c:yVal>
            <c:numRef>
              <c:f>'Cities by NBA Team'!$H$30:$H$101</c:f>
              <c:numCache>
                <c:formatCode>0.00%</c:formatCode>
                <c:ptCount val="72"/>
                <c:pt idx="0">
                  <c:v>0.22603889222879486</c:v>
                </c:pt>
                <c:pt idx="1">
                  <c:v>0.33535685250825897</c:v>
                </c:pt>
                <c:pt idx="2">
                  <c:v>0.24562486600740147</c:v>
                </c:pt>
                <c:pt idx="3">
                  <c:v>0.2225198132157917</c:v>
                </c:pt>
                <c:pt idx="4">
                  <c:v>0.11207061931762301</c:v>
                </c:pt>
                <c:pt idx="5">
                  <c:v>2.2975995366008226E-2</c:v>
                </c:pt>
                <c:pt idx="6">
                  <c:v>0.26545763381040399</c:v>
                </c:pt>
                <c:pt idx="7">
                  <c:v>0.11616215480617448</c:v>
                </c:pt>
                <c:pt idx="8">
                  <c:v>0.11161486169841175</c:v>
                </c:pt>
                <c:pt idx="9">
                  <c:v>0.14529875544018794</c:v>
                </c:pt>
                <c:pt idx="10">
                  <c:v>0.16755408583969758</c:v>
                </c:pt>
                <c:pt idx="11">
                  <c:v>0.18671835881973778</c:v>
                </c:pt>
                <c:pt idx="12">
                  <c:v>9.0796898942516843E-2</c:v>
                </c:pt>
                <c:pt idx="13">
                  <c:v>0.10671615125851037</c:v>
                </c:pt>
                <c:pt idx="14">
                  <c:v>0.11790292060822086</c:v>
                </c:pt>
                <c:pt idx="15">
                  <c:v>0.1474803731061495</c:v>
                </c:pt>
                <c:pt idx="16">
                  <c:v>0.14807084856436586</c:v>
                </c:pt>
                <c:pt idx="17">
                  <c:v>5.9377830943734784E-2</c:v>
                </c:pt>
                <c:pt idx="18">
                  <c:v>0.10269065392633396</c:v>
                </c:pt>
                <c:pt idx="19">
                  <c:v>8.6897345808570003E-2</c:v>
                </c:pt>
                <c:pt idx="20">
                  <c:v>0.11806763863826492</c:v>
                </c:pt>
                <c:pt idx="21">
                  <c:v>0.10382056678191112</c:v>
                </c:pt>
                <c:pt idx="22">
                  <c:v>6.7239862140631559E-2</c:v>
                </c:pt>
                <c:pt idx="23">
                  <c:v>9.6755144431344267E-2</c:v>
                </c:pt>
                <c:pt idx="24">
                  <c:v>0.11213401594774305</c:v>
                </c:pt>
                <c:pt idx="25">
                  <c:v>0.11038853313452703</c:v>
                </c:pt>
                <c:pt idx="26">
                  <c:v>8.703036552355406E-2</c:v>
                </c:pt>
                <c:pt idx="27">
                  <c:v>9.4011164693737451E-2</c:v>
                </c:pt>
                <c:pt idx="28">
                  <c:v>5.8941507410542472E-2</c:v>
                </c:pt>
                <c:pt idx="29">
                  <c:v>5.5080067726846371E-2</c:v>
                </c:pt>
                <c:pt idx="30">
                  <c:v>7.5777369337021713E-2</c:v>
                </c:pt>
                <c:pt idx="31">
                  <c:v>8.2602695819053565E-2</c:v>
                </c:pt>
                <c:pt idx="32">
                  <c:v>5.0968060409818654E-2</c:v>
                </c:pt>
                <c:pt idx="33">
                  <c:v>4.1593472411262995E-2</c:v>
                </c:pt>
                <c:pt idx="34">
                  <c:v>6.4835224186569118E-2</c:v>
                </c:pt>
                <c:pt idx="35">
                  <c:v>4.5207646369446221E-2</c:v>
                </c:pt>
                <c:pt idx="36">
                  <c:v>8.967585406793864E-2</c:v>
                </c:pt>
                <c:pt idx="37">
                  <c:v>8.2656752767057709E-2</c:v>
                </c:pt>
                <c:pt idx="38">
                  <c:v>5.1436176598294379E-2</c:v>
                </c:pt>
                <c:pt idx="39">
                  <c:v>2.2257877585541229E-2</c:v>
                </c:pt>
                <c:pt idx="40">
                  <c:v>2.139428718060233E-2</c:v>
                </c:pt>
                <c:pt idx="41">
                  <c:v>4.3021217352091634E-2</c:v>
                </c:pt>
                <c:pt idx="42">
                  <c:v>2.3741849299512049E-2</c:v>
                </c:pt>
                <c:pt idx="43">
                  <c:v>7.959918612689279E-2</c:v>
                </c:pt>
                <c:pt idx="44">
                  <c:v>0.51476063644744907</c:v>
                </c:pt>
                <c:pt idx="45">
                  <c:v>3.9428458624618599E-2</c:v>
                </c:pt>
                <c:pt idx="46">
                  <c:v>6.7641751492285448E-2</c:v>
                </c:pt>
                <c:pt idx="47">
                  <c:v>8.967585406793864E-2</c:v>
                </c:pt>
                <c:pt idx="48">
                  <c:v>0.1036045276703413</c:v>
                </c:pt>
                <c:pt idx="49">
                  <c:v>5.0631548832976062E-2</c:v>
                </c:pt>
                <c:pt idx="50">
                  <c:v>5.8321409122180742E-2</c:v>
                </c:pt>
                <c:pt idx="51">
                  <c:v>3.2299828324378485E-2</c:v>
                </c:pt>
                <c:pt idx="52">
                  <c:v>6.8540625140773304E-2</c:v>
                </c:pt>
                <c:pt idx="53">
                  <c:v>3.700985831749401E-2</c:v>
                </c:pt>
                <c:pt idx="54">
                  <c:v>1.9531539469708883E-2</c:v>
                </c:pt>
                <c:pt idx="55">
                  <c:v>3.1625390067342413E-2</c:v>
                </c:pt>
                <c:pt idx="56">
                  <c:v>6.9068081329763192E-2</c:v>
                </c:pt>
                <c:pt idx="57">
                  <c:v>2.7771403261294354E-2</c:v>
                </c:pt>
                <c:pt idx="58">
                  <c:v>4.9667203069453505E-2</c:v>
                </c:pt>
                <c:pt idx="59">
                  <c:v>4.876719733828494E-2</c:v>
                </c:pt>
                <c:pt idx="60">
                  <c:v>4.3883392653679638E-2</c:v>
                </c:pt>
                <c:pt idx="61">
                  <c:v>1.8085115164648457E-2</c:v>
                </c:pt>
                <c:pt idx="62">
                  <c:v>2.7641685454129077E-2</c:v>
                </c:pt>
                <c:pt idx="63">
                  <c:v>6.4115691302751215E-2</c:v>
                </c:pt>
                <c:pt idx="64">
                  <c:v>5.6877154642258343E-2</c:v>
                </c:pt>
                <c:pt idx="65">
                  <c:v>2.3741849299512049E-2</c:v>
                </c:pt>
                <c:pt idx="66">
                  <c:v>4.158526481182781E-2</c:v>
                </c:pt>
                <c:pt idx="67">
                  <c:v>2.5052895384003626E-2</c:v>
                </c:pt>
                <c:pt idx="68">
                  <c:v>1.5980384780752144E-2</c:v>
                </c:pt>
                <c:pt idx="69">
                  <c:v>4.529189218893611E-2</c:v>
                </c:pt>
                <c:pt idx="70">
                  <c:v>1.9555784907120875E-2</c:v>
                </c:pt>
                <c:pt idx="71">
                  <c:v>1.2622533209527513E-2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75992"/>
        <c:axId val="713269720"/>
      </c:scatterChart>
      <c:valAx>
        <c:axId val="713275992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Basketball Fan Score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69720"/>
        <c:crosses val="autoZero"/>
        <c:crossBetween val="midCat"/>
      </c:valAx>
      <c:valAx>
        <c:axId val="71326972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Market Population in Millions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5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Basketball Fan Score</a:t>
            </a:r>
            <a:r>
              <a:rPr lang="en-US" baseline="0"/>
              <a:t> </a:t>
            </a:r>
            <a:r>
              <a:rPr lang="en-US"/>
              <a:t>v.</a:t>
            </a:r>
            <a:r>
              <a:rPr lang="en-US" baseline="0"/>
              <a:t> Median Income</a:t>
            </a:r>
          </a:p>
          <a:p>
            <a:pPr>
              <a:defRPr/>
            </a:pPr>
            <a:r>
              <a:rPr lang="en-US" baseline="0"/>
              <a:t>(Normalized)</a:t>
            </a:r>
            <a:endParaRPr lang="en-US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26101111903092E-2"/>
          <c:y val="0.1213930376791563"/>
          <c:w val="0.91753009684675257"/>
          <c:h val="0.78876942348343515"/>
        </c:manualLayout>
      </c:layout>
      <c:scatterChart>
        <c:scatterStyle val="lineMarker"/>
        <c:varyColors val="0"/>
        <c:ser>
          <c:idx val="0"/>
          <c:order val="0"/>
          <c:tx>
            <c:v>Market with Team(s)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D0C9D4B-4A76-4EE5-AD39-46107FB43A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59A452C-9CF9-47B9-B795-E9CF994CDA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7B79110-2BF0-48C0-9CF8-0276C20BAA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5277568-66C0-4E7E-B6F2-394DF920EB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D21F978-E393-46B0-8BD9-C84A94F04B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3CFD73A-7CA8-484C-8A6B-E362D7902E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40D0E14-37D5-4AFA-8011-6B4D7CA38D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2F52756-58F1-4C13-A659-129C933800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9AE02CD-C3DD-42C7-AA49-AA92820BFA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11FD449-CC83-4118-BFA4-BF5F61F916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4A53611-9872-43D1-867B-656F1E63E0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ABEA194-1A25-4982-BB44-8C30D163D9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E7A9F53-3D54-4C47-A269-70F590F340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6DE86C9-C4C2-4621-AA79-155EF5F7DA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87A247B-DD5D-41B5-9A53-4122B08BCB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A02B71B-0973-457F-81F7-CA0F6655CB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B805DA0-ADB0-48D8-A691-41B479CE11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>
                <c:manualLayout>
                  <c:x val="-3.3766545433863801E-2"/>
                  <c:y val="5.4626866955620329E-2"/>
                </c:manualLayout>
              </c:layout>
              <c:tx>
                <c:rich>
                  <a:bodyPr/>
                  <a:lstStyle/>
                  <a:p>
                    <a:fld id="{33763039-57EC-425E-834A-49475CA6E0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8"/>
              <c:layout>
                <c:manualLayout>
                  <c:x val="1.3212996039337861E-2"/>
                  <c:y val="9.5091212848672432E-2"/>
                </c:manualLayout>
              </c:layout>
              <c:tx>
                <c:rich>
                  <a:bodyPr/>
                  <a:lstStyle/>
                  <a:p>
                    <a:fld id="{2620E2E6-98F2-47DF-9E1C-A44E664365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CF594AD-26F1-423C-BEE5-370DCA1FC9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503E2D5-229B-4D22-B575-67D7BA9713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0F6B059C-10EE-40BD-9E05-A5AA3D658C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>
                <c:manualLayout>
                  <c:x val="-8.0746086907065362E-2"/>
                  <c:y val="-3.7091888579969039E-17"/>
                </c:manualLayout>
              </c:layout>
              <c:tx>
                <c:rich>
                  <a:bodyPr/>
                  <a:lstStyle/>
                  <a:p>
                    <a:fld id="{336C9E17-2A05-4C7F-88F2-EB3961777F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A012475-5969-4333-83A2-8DAC33E260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F409C50-2202-4ADE-8869-3283908373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CD3A999C-ACE5-4E0D-A1EF-DC89C4A32F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B195659E-B7BD-4D62-B9AD-052D7745AA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"/>
            <c:dispRSqr val="0"/>
            <c:dispEq val="1"/>
            <c:trendlineLbl>
              <c:layout>
                <c:manualLayout>
                  <c:x val="0.22689649848535667"/>
                  <c:y val="-4.6790901137357829E-2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'Cities by NBA Team'!$R$2:$R$28</c:f>
              <c:numCache>
                <c:formatCode>0.00%</c:formatCode>
                <c:ptCount val="27"/>
                <c:pt idx="0">
                  <c:v>0.63304261971367448</c:v>
                </c:pt>
                <c:pt idx="1">
                  <c:v>1</c:v>
                </c:pt>
                <c:pt idx="2">
                  <c:v>0.59535955241072891</c:v>
                </c:pt>
                <c:pt idx="3">
                  <c:v>0.70018101036695735</c:v>
                </c:pt>
                <c:pt idx="4">
                  <c:v>0.58828369261148594</c:v>
                </c:pt>
                <c:pt idx="5">
                  <c:v>0.66891558334704615</c:v>
                </c:pt>
                <c:pt idx="6">
                  <c:v>0.81207832812242886</c:v>
                </c:pt>
                <c:pt idx="7">
                  <c:v>0.60868849761395427</c:v>
                </c:pt>
                <c:pt idx="8">
                  <c:v>0.94750699358235968</c:v>
                </c:pt>
                <c:pt idx="9">
                  <c:v>0.61905545499424053</c:v>
                </c:pt>
                <c:pt idx="10">
                  <c:v>0.48724699687345724</c:v>
                </c:pt>
                <c:pt idx="11">
                  <c:v>0.49712028961658711</c:v>
                </c:pt>
                <c:pt idx="12">
                  <c:v>0.48675333223630074</c:v>
                </c:pt>
                <c:pt idx="13">
                  <c:v>0.70742142504525263</c:v>
                </c:pt>
                <c:pt idx="14">
                  <c:v>0.44758927102188578</c:v>
                </c:pt>
                <c:pt idx="15">
                  <c:v>0.67253579068619374</c:v>
                </c:pt>
                <c:pt idx="16">
                  <c:v>0.75481323021227575</c:v>
                </c:pt>
                <c:pt idx="17">
                  <c:v>0.5719927595853217</c:v>
                </c:pt>
                <c:pt idx="18">
                  <c:v>0.58779002797432944</c:v>
                </c:pt>
                <c:pt idx="19">
                  <c:v>0.66068783939443798</c:v>
                </c:pt>
                <c:pt idx="20">
                  <c:v>0.79414184630574292</c:v>
                </c:pt>
                <c:pt idx="21">
                  <c:v>0.79183807799901262</c:v>
                </c:pt>
                <c:pt idx="22">
                  <c:v>0.57347375349679119</c:v>
                </c:pt>
                <c:pt idx="23">
                  <c:v>0.769129504689814</c:v>
                </c:pt>
                <c:pt idx="24">
                  <c:v>0.62415665624485761</c:v>
                </c:pt>
                <c:pt idx="25">
                  <c:v>0.64933355273983873</c:v>
                </c:pt>
                <c:pt idx="26">
                  <c:v>0.63962481487576095</c:v>
                </c:pt>
              </c:numCache>
            </c:numRef>
          </c:xVal>
          <c:yVal>
            <c:numRef>
              <c:f>'Cities by NBA Team'!$K$2:$K$28</c:f>
              <c:numCache>
                <c:formatCode>0.00%</c:formatCode>
                <c:ptCount val="27"/>
                <c:pt idx="0">
                  <c:v>0.93296204620462053</c:v>
                </c:pt>
                <c:pt idx="1">
                  <c:v>0.72834158415841588</c:v>
                </c:pt>
                <c:pt idx="2">
                  <c:v>0.90903465346534662</c:v>
                </c:pt>
                <c:pt idx="3">
                  <c:v>0.80994541761868488</c:v>
                </c:pt>
                <c:pt idx="4">
                  <c:v>0.75412541254125409</c:v>
                </c:pt>
                <c:pt idx="5">
                  <c:v>0.75238004569687733</c:v>
                </c:pt>
                <c:pt idx="6">
                  <c:v>1</c:v>
                </c:pt>
                <c:pt idx="7">
                  <c:v>0.71022150291952268</c:v>
                </c:pt>
                <c:pt idx="8">
                  <c:v>0.83764914953033776</c:v>
                </c:pt>
                <c:pt idx="9">
                  <c:v>0.82425742574257432</c:v>
                </c:pt>
                <c:pt idx="10">
                  <c:v>0.71007870017771013</c:v>
                </c:pt>
                <c:pt idx="11">
                  <c:v>0.78002030972328018</c:v>
                </c:pt>
                <c:pt idx="12">
                  <c:v>0.86164001015486169</c:v>
                </c:pt>
                <c:pt idx="13">
                  <c:v>0.61297283574511297</c:v>
                </c:pt>
                <c:pt idx="14">
                  <c:v>0.81061183041381057</c:v>
                </c:pt>
                <c:pt idx="15">
                  <c:v>0.66436595582635194</c:v>
                </c:pt>
                <c:pt idx="16">
                  <c:v>0.66982419395785731</c:v>
                </c:pt>
                <c:pt idx="17">
                  <c:v>0.73156257933485658</c:v>
                </c:pt>
                <c:pt idx="18">
                  <c:v>0.73176884996191938</c:v>
                </c:pt>
                <c:pt idx="19">
                  <c:v>0.72270880934247284</c:v>
                </c:pt>
                <c:pt idx="20">
                  <c:v>0.62103325717187108</c:v>
                </c:pt>
                <c:pt idx="21">
                  <c:v>0.77103960396039606</c:v>
                </c:pt>
                <c:pt idx="22">
                  <c:v>0.73197512058898206</c:v>
                </c:pt>
                <c:pt idx="23">
                  <c:v>0.60708618938816961</c:v>
                </c:pt>
                <c:pt idx="24">
                  <c:v>0.56037382584412287</c:v>
                </c:pt>
                <c:pt idx="25">
                  <c:v>0.6378681137344504</c:v>
                </c:pt>
                <c:pt idx="26">
                  <c:v>0.73130870779385637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'Cities by NBA Team'!$B$2:$B$28</c15:f>
                <c15:dlblRangeCache>
                  <c:ptCount val="27"/>
                  <c:pt idx="0">
                    <c:v>New York</c:v>
                  </c:pt>
                  <c:pt idx="1">
                    <c:v>Los Angeles</c:v>
                  </c:pt>
                  <c:pt idx="2">
                    <c:v>Washington/Baltimore, DC</c:v>
                  </c:pt>
                  <c:pt idx="3">
                    <c:v>Chicago</c:v>
                  </c:pt>
                  <c:pt idx="4">
                    <c:v>Philadelphia</c:v>
                  </c:pt>
                  <c:pt idx="5">
                    <c:v>Dallas-Ft. Worth</c:v>
                  </c:pt>
                  <c:pt idx="6">
                    <c:v>San Francisco</c:v>
                  </c:pt>
                  <c:pt idx="7">
                    <c:v>Houston</c:v>
                  </c:pt>
                  <c:pt idx="8">
                    <c:v>Boston</c:v>
                  </c:pt>
                  <c:pt idx="9">
                    <c:v>Atlanta</c:v>
                  </c:pt>
                  <c:pt idx="10">
                    <c:v>Phoenix</c:v>
                  </c:pt>
                  <c:pt idx="11">
                    <c:v>Detroit</c:v>
                  </c:pt>
                  <c:pt idx="12">
                    <c:v>Minneapolis</c:v>
                  </c:pt>
                  <c:pt idx="13">
                    <c:v>Miami</c:v>
                  </c:pt>
                  <c:pt idx="14">
                    <c:v>Denver</c:v>
                  </c:pt>
                  <c:pt idx="15">
                    <c:v>Orlando</c:v>
                  </c:pt>
                  <c:pt idx="16">
                    <c:v>Cleveland</c:v>
                  </c:pt>
                  <c:pt idx="17">
                    <c:v>Sacramento</c:v>
                  </c:pt>
                  <c:pt idx="18">
                    <c:v>Charlotte</c:v>
                  </c:pt>
                  <c:pt idx="19">
                    <c:v>Indianapolis</c:v>
                  </c:pt>
                  <c:pt idx="20">
                    <c:v>San Antonio</c:v>
                  </c:pt>
                  <c:pt idx="21">
                    <c:v>Salt Lake City</c:v>
                  </c:pt>
                  <c:pt idx="22">
                    <c:v>Milwaukee</c:v>
                  </c:pt>
                  <c:pt idx="23">
                    <c:v>Oklahoma City</c:v>
                  </c:pt>
                  <c:pt idx="24">
                    <c:v>New Orleans</c:v>
                  </c:pt>
                  <c:pt idx="25">
                    <c:v>Memphis</c:v>
                  </c:pt>
                  <c:pt idx="26">
                    <c:v>Portland</c:v>
                  </c:pt>
                </c15:dlblRangeCache>
              </c15:datalabelsRange>
            </c:ext>
          </c:extLst>
        </c:ser>
        <c:ser>
          <c:idx val="1"/>
          <c:order val="1"/>
          <c:tx>
            <c:v>Market without Team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'Cities by NBA Team'!$R$30:$R$101</c:f>
              <c:numCache>
                <c:formatCode>0.00%</c:formatCode>
                <c:ptCount val="72"/>
                <c:pt idx="0">
                  <c:v>0.50436070429488233</c:v>
                </c:pt>
                <c:pt idx="1">
                  <c:v>0.6840546322198453</c:v>
                </c:pt>
                <c:pt idx="2">
                  <c:v>0.62349843672864902</c:v>
                </c:pt>
                <c:pt idx="3">
                  <c:v>0.6587131808458121</c:v>
                </c:pt>
                <c:pt idx="4">
                  <c:v>0.90241895672206685</c:v>
                </c:pt>
                <c:pt idx="5">
                  <c:v>0.69359881520487077</c:v>
                </c:pt>
                <c:pt idx="6">
                  <c:v>0.72453513246667767</c:v>
                </c:pt>
                <c:pt idx="7">
                  <c:v>0.84252098074707915</c:v>
                </c:pt>
                <c:pt idx="8">
                  <c:v>0.61263781471120615</c:v>
                </c:pt>
                <c:pt idx="9">
                  <c:v>0.85058416982063512</c:v>
                </c:pt>
                <c:pt idx="10">
                  <c:v>0.77455981569853538</c:v>
                </c:pt>
                <c:pt idx="11">
                  <c:v>0.64867533322363002</c:v>
                </c:pt>
                <c:pt idx="12">
                  <c:v>0.63073885140694419</c:v>
                </c:pt>
                <c:pt idx="13">
                  <c:v>0.72535790686193835</c:v>
                </c:pt>
                <c:pt idx="14">
                  <c:v>0.66249794306401177</c:v>
                </c:pt>
                <c:pt idx="15">
                  <c:v>0.70511765673852211</c:v>
                </c:pt>
                <c:pt idx="18">
                  <c:v>0.62925785749547458</c:v>
                </c:pt>
                <c:pt idx="19">
                  <c:v>0.66842191870988965</c:v>
                </c:pt>
                <c:pt idx="20">
                  <c:v>0.66348527233832477</c:v>
                </c:pt>
                <c:pt idx="21">
                  <c:v>0.5993088695079809</c:v>
                </c:pt>
                <c:pt idx="22">
                  <c:v>0.65147276616751681</c:v>
                </c:pt>
                <c:pt idx="23">
                  <c:v>0.70807964456146122</c:v>
                </c:pt>
                <c:pt idx="24">
                  <c:v>0.68043442488069761</c:v>
                </c:pt>
                <c:pt idx="25">
                  <c:v>0.55751193022873113</c:v>
                </c:pt>
                <c:pt idx="26">
                  <c:v>0.61543524765509294</c:v>
                </c:pt>
                <c:pt idx="28">
                  <c:v>0.67994076024354122</c:v>
                </c:pt>
                <c:pt idx="29">
                  <c:v>0.67335856508145464</c:v>
                </c:pt>
                <c:pt idx="30">
                  <c:v>0.72437057758762535</c:v>
                </c:pt>
                <c:pt idx="31">
                  <c:v>0.53315780812901092</c:v>
                </c:pt>
                <c:pt idx="32">
                  <c:v>0.67154846141188085</c:v>
                </c:pt>
                <c:pt idx="33">
                  <c:v>0.60243541220997199</c:v>
                </c:pt>
                <c:pt idx="34">
                  <c:v>0.84268553562613113</c:v>
                </c:pt>
                <c:pt idx="35">
                  <c:v>0.72420602270857326</c:v>
                </c:pt>
                <c:pt idx="36">
                  <c:v>0.65064999177225602</c:v>
                </c:pt>
                <c:pt idx="37">
                  <c:v>0.61510613789698854</c:v>
                </c:pt>
                <c:pt idx="38">
                  <c:v>0.51884153365147268</c:v>
                </c:pt>
                <c:pt idx="39">
                  <c:v>0.69787724206022694</c:v>
                </c:pt>
                <c:pt idx="40">
                  <c:v>0.63106796116504837</c:v>
                </c:pt>
                <c:pt idx="41">
                  <c:v>0.65937140036202069</c:v>
                </c:pt>
                <c:pt idx="42">
                  <c:v>0.6539410893532992</c:v>
                </c:pt>
                <c:pt idx="44">
                  <c:v>0.64406779661016944</c:v>
                </c:pt>
                <c:pt idx="45">
                  <c:v>0.70248477867368764</c:v>
                </c:pt>
                <c:pt idx="46">
                  <c:v>0.64077669902912615</c:v>
                </c:pt>
                <c:pt idx="48">
                  <c:v>0.69244693105150557</c:v>
                </c:pt>
                <c:pt idx="49">
                  <c:v>0.69985190060885305</c:v>
                </c:pt>
                <c:pt idx="50">
                  <c:v>0.64094125390817835</c:v>
                </c:pt>
                <c:pt idx="51">
                  <c:v>0.65904229060391628</c:v>
                </c:pt>
                <c:pt idx="56">
                  <c:v>0.64094125390817835</c:v>
                </c:pt>
                <c:pt idx="57">
                  <c:v>0.70232022379463543</c:v>
                </c:pt>
                <c:pt idx="58">
                  <c:v>0.61839723547803183</c:v>
                </c:pt>
                <c:pt idx="59">
                  <c:v>0.52706927760408095</c:v>
                </c:pt>
                <c:pt idx="60">
                  <c:v>0.59947342438703299</c:v>
                </c:pt>
                <c:pt idx="62">
                  <c:v>0.52871482639460254</c:v>
                </c:pt>
                <c:pt idx="63">
                  <c:v>0.67911798584828031</c:v>
                </c:pt>
                <c:pt idx="64">
                  <c:v>0.73358565081454663</c:v>
                </c:pt>
                <c:pt idx="65">
                  <c:v>0.64653611979595194</c:v>
                </c:pt>
                <c:pt idx="66">
                  <c:v>0.52690472272502875</c:v>
                </c:pt>
                <c:pt idx="67">
                  <c:v>0.72321869343426037</c:v>
                </c:pt>
                <c:pt idx="68">
                  <c:v>0.58713180845812074</c:v>
                </c:pt>
                <c:pt idx="69">
                  <c:v>0.6827381931874279</c:v>
                </c:pt>
                <c:pt idx="71">
                  <c:v>0.64571334540069103</c:v>
                </c:pt>
              </c:numCache>
            </c:numRef>
          </c:xVal>
          <c:yVal>
            <c:numRef>
              <c:f>'Cities by NBA Team'!$K$30:$K$101</c:f>
              <c:numCache>
                <c:formatCode>0.00%</c:formatCode>
                <c:ptCount val="72"/>
                <c:pt idx="0">
                  <c:v>0.59351992891596861</c:v>
                </c:pt>
                <c:pt idx="1">
                  <c:v>0.80497905559786753</c:v>
                </c:pt>
                <c:pt idx="2">
                  <c:v>0.70508060421426755</c:v>
                </c:pt>
                <c:pt idx="3">
                  <c:v>0.59448781416603202</c:v>
                </c:pt>
                <c:pt idx="4">
                  <c:v>0.7750222137598376</c:v>
                </c:pt>
                <c:pt idx="5">
                  <c:v>0.70936468646864692</c:v>
                </c:pt>
                <c:pt idx="6">
                  <c:v>0.74681073876618431</c:v>
                </c:pt>
                <c:pt idx="7">
                  <c:v>0.70168507235338917</c:v>
                </c:pt>
                <c:pt idx="8">
                  <c:v>0.82806549885757808</c:v>
                </c:pt>
                <c:pt idx="9">
                  <c:v>0.71055470931708564</c:v>
                </c:pt>
                <c:pt idx="10">
                  <c:v>0.73294300583904548</c:v>
                </c:pt>
                <c:pt idx="11">
                  <c:v>0.71264914953033764</c:v>
                </c:pt>
                <c:pt idx="12">
                  <c:v>0.61021198273673527</c:v>
                </c:pt>
                <c:pt idx="13">
                  <c:v>0.71499746128458996</c:v>
                </c:pt>
                <c:pt idx="14">
                  <c:v>0.77668824574765172</c:v>
                </c:pt>
                <c:pt idx="15">
                  <c:v>0.70792079207920788</c:v>
                </c:pt>
                <c:pt idx="16">
                  <c:v>0.67352119827367352</c:v>
                </c:pt>
                <c:pt idx="17">
                  <c:v>0.68262883980705769</c:v>
                </c:pt>
                <c:pt idx="18">
                  <c:v>0.73172124904798175</c:v>
                </c:pt>
                <c:pt idx="19">
                  <c:v>0.62322289921299823</c:v>
                </c:pt>
                <c:pt idx="20">
                  <c:v>0.64916539730896172</c:v>
                </c:pt>
                <c:pt idx="21">
                  <c:v>0.67337839553186096</c:v>
                </c:pt>
                <c:pt idx="22">
                  <c:v>0.62020817466362022</c:v>
                </c:pt>
                <c:pt idx="23">
                  <c:v>0.64770563594821018</c:v>
                </c:pt>
                <c:pt idx="24">
                  <c:v>0.66241431835491249</c:v>
                </c:pt>
                <c:pt idx="25">
                  <c:v>0.61068799187611078</c:v>
                </c:pt>
                <c:pt idx="26">
                  <c:v>0.55470931708555471</c:v>
                </c:pt>
                <c:pt idx="27">
                  <c:v>0.74257425742574257</c:v>
                </c:pt>
                <c:pt idx="28">
                  <c:v>0.5420316070068546</c:v>
                </c:pt>
                <c:pt idx="29">
                  <c:v>0.62111259202843361</c:v>
                </c:pt>
                <c:pt idx="30">
                  <c:v>0.60708618938816961</c:v>
                </c:pt>
                <c:pt idx="31">
                  <c:v>0.5526307438436151</c:v>
                </c:pt>
                <c:pt idx="32">
                  <c:v>0.56532432089362783</c:v>
                </c:pt>
                <c:pt idx="33">
                  <c:v>0.63974041634932732</c:v>
                </c:pt>
                <c:pt idx="34">
                  <c:v>0.58507870017771013</c:v>
                </c:pt>
                <c:pt idx="35">
                  <c:v>0.62471439451637478</c:v>
                </c:pt>
                <c:pt idx="36">
                  <c:v>0.65927265803503432</c:v>
                </c:pt>
                <c:pt idx="37">
                  <c:v>0.82371794871794879</c:v>
                </c:pt>
                <c:pt idx="38">
                  <c:v>0.6799155877126174</c:v>
                </c:pt>
                <c:pt idx="39">
                  <c:v>0.6233815689261234</c:v>
                </c:pt>
                <c:pt idx="40">
                  <c:v>0.73744922569180005</c:v>
                </c:pt>
                <c:pt idx="41">
                  <c:v>0.74021007870017774</c:v>
                </c:pt>
                <c:pt idx="42">
                  <c:v>0.56197638994668697</c:v>
                </c:pt>
                <c:pt idx="43">
                  <c:v>0.58323813150545833</c:v>
                </c:pt>
                <c:pt idx="44">
                  <c:v>0.63323495811119579</c:v>
                </c:pt>
                <c:pt idx="45">
                  <c:v>0.59196496572734203</c:v>
                </c:pt>
                <c:pt idx="46">
                  <c:v>0.71371223660827621</c:v>
                </c:pt>
                <c:pt idx="47">
                  <c:v>0.65927265803503432</c:v>
                </c:pt>
                <c:pt idx="48">
                  <c:v>0.69743272404163503</c:v>
                </c:pt>
                <c:pt idx="49">
                  <c:v>0.66128776339172379</c:v>
                </c:pt>
                <c:pt idx="50">
                  <c:v>0.63312388931200825</c:v>
                </c:pt>
                <c:pt idx="51">
                  <c:v>0.68392993145468395</c:v>
                </c:pt>
                <c:pt idx="52">
                  <c:v>0.78101992891596861</c:v>
                </c:pt>
                <c:pt idx="53">
                  <c:v>0.51659685199289163</c:v>
                </c:pt>
                <c:pt idx="54">
                  <c:v>0.57617732927138876</c:v>
                </c:pt>
                <c:pt idx="55">
                  <c:v>0.41500063467885251</c:v>
                </c:pt>
                <c:pt idx="56">
                  <c:v>0.63071210967250579</c:v>
                </c:pt>
                <c:pt idx="57">
                  <c:v>0.59945417618684949</c:v>
                </c:pt>
                <c:pt idx="58">
                  <c:v>0.53249555724803255</c:v>
                </c:pt>
                <c:pt idx="59">
                  <c:v>0.74327240416349338</c:v>
                </c:pt>
                <c:pt idx="60">
                  <c:v>0.59359926377253114</c:v>
                </c:pt>
                <c:pt idx="61">
                  <c:v>0.73314927646610817</c:v>
                </c:pt>
                <c:pt idx="62">
                  <c:v>0.6286811373445037</c:v>
                </c:pt>
                <c:pt idx="63">
                  <c:v>0.49268532622493028</c:v>
                </c:pt>
                <c:pt idx="64">
                  <c:v>0.60989464331048493</c:v>
                </c:pt>
                <c:pt idx="65">
                  <c:v>0.62660256410256421</c:v>
                </c:pt>
                <c:pt idx="66">
                  <c:v>0.61701891342980453</c:v>
                </c:pt>
                <c:pt idx="67">
                  <c:v>0.31346788525006347</c:v>
                </c:pt>
                <c:pt idx="68">
                  <c:v>0.7414953033764915</c:v>
                </c:pt>
                <c:pt idx="69">
                  <c:v>0.50133282559025139</c:v>
                </c:pt>
                <c:pt idx="70">
                  <c:v>0.51407400355420163</c:v>
                </c:pt>
                <c:pt idx="71">
                  <c:v>0.52151561309977157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72072"/>
        <c:axId val="713272464"/>
      </c:scatterChart>
      <c:valAx>
        <c:axId val="713272072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Basketball Fan Score Normalized</a:t>
                </a:r>
              </a:p>
            </c:rich>
          </c:tx>
          <c:layout>
            <c:manualLayout>
              <c:xMode val="edge"/>
              <c:yMode val="edge"/>
              <c:x val="0.4546971102726825"/>
              <c:y val="0.94698151113940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2464"/>
        <c:crosses val="autoZero"/>
        <c:crossBetween val="midCat"/>
      </c:valAx>
      <c:valAx>
        <c:axId val="7132724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Medain Income ($10,000) Normalized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2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Basketball Fan Score </a:t>
            </a:r>
            <a:r>
              <a:rPr lang="en-US" baseline="0"/>
              <a:t>v. Weighted Median Market Income</a:t>
            </a:r>
          </a:p>
          <a:p>
            <a:pPr>
              <a:defRPr/>
            </a:pPr>
            <a:r>
              <a:rPr lang="en-US" baseline="0"/>
              <a:t>(Normalized) </a:t>
            </a:r>
            <a:endParaRPr lang="en-US"/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462620399524927E-2"/>
          <c:y val="0.11127695120589326"/>
          <c:w val="0.88662266804491818"/>
          <c:h val="0.79888550995669838"/>
        </c:manualLayout>
      </c:layout>
      <c:scatterChart>
        <c:scatterStyle val="lineMarker"/>
        <c:varyColors val="0"/>
        <c:ser>
          <c:idx val="0"/>
          <c:order val="0"/>
          <c:tx>
            <c:v>Market with Team(s)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54F243C-BE92-4EB3-B87A-6C63547D38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4552865-AB90-4A85-A6D1-D487C4CDFE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2DEB25E-BFBF-4A48-8159-32410A2B4C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0BC4627-C272-4052-B28F-615D0C2982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A327B18-EC46-496F-85F2-F8A32595C2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024E396-76DB-4C8F-A9F3-2C1B9D5FB4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39EDBAF-C749-4C5B-B88B-66FA7067EC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709E985-ECCD-40B1-B676-567A078B17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131AE0F-56DA-4B74-8FEF-D83EE47981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>
                <c:manualLayout>
                  <c:x val="-7.3405533551877599E-3"/>
                  <c:y val="-1.4162521062568307E-2"/>
                </c:manualLayout>
              </c:layout>
              <c:tx>
                <c:rich>
                  <a:bodyPr/>
                  <a:lstStyle/>
                  <a:p>
                    <a:fld id="{F2867795-6F6B-4945-9C6E-3FBAE66C21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22615DE1-6ABB-4F84-9576-ED1A96806E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06F66319-084A-4B51-9F2F-A979C90508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3802B36B-B43E-4167-AA3E-E84B2BC8D2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9C672BA4-52E3-43E1-ADFE-9BDBA51B67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510C9535-9693-4009-9DAA-0AF83C0A8B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71543F0F-BD26-4197-BDB5-8F61C424A6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DBC9D6D5-33A9-4F24-B1D3-D3E01348AF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99B7A80D-B581-40C8-9E72-EF5A6DF457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B5BD8B1F-61CE-478B-8D08-7C7FE55013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09F8BC5F-9CEA-486D-B08C-4776E28921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983CFF5A-DBF2-4C02-81F2-8A3D8F7938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>
                <c:manualLayout>
                  <c:x val="-5.8724426841502081E-3"/>
                  <c:y val="-2.6301824830483864E-2"/>
                </c:manualLayout>
              </c:layout>
              <c:tx>
                <c:rich>
                  <a:bodyPr/>
                  <a:lstStyle/>
                  <a:p>
                    <a:fld id="{CA28A774-548A-49E0-8673-B23B1C86CC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2"/>
              <c:layout>
                <c:manualLayout>
                  <c:x val="-7.0469312209802487E-2"/>
                  <c:y val="1.6185738357220838E-2"/>
                </c:manualLayout>
              </c:layout>
              <c:tx>
                <c:rich>
                  <a:bodyPr/>
                  <a:lstStyle/>
                  <a:p>
                    <a:fld id="{7D115D5E-1E70-48E3-B9DE-52B4A76BD2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75D7340E-DBF4-494B-8B54-F16F56749B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574F42B4-A4A3-4B61-9BDF-76DAACC2D3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>
                <c:manualLayout>
                  <c:x val="-5.8724426841502081E-3"/>
                  <c:y val="2.4278607535831258E-2"/>
                </c:manualLayout>
              </c:layout>
              <c:tx>
                <c:rich>
                  <a:bodyPr/>
                  <a:lstStyle/>
                  <a:p>
                    <a:fld id="{B2898B5F-97A6-4E51-B197-A2480B0175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51780CA8-1BEB-419B-B929-5FA370F2F2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"/>
            <c:dispRSqr val="0"/>
            <c:dispEq val="1"/>
            <c:trendlineLbl>
              <c:layout>
                <c:manualLayout>
                  <c:x val="0.13057676866298121"/>
                  <c:y val="5.7656276410353709E-2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'Cities by NBA Team'!$R$2:$R$28</c:f>
              <c:numCache>
                <c:formatCode>0.00%</c:formatCode>
                <c:ptCount val="27"/>
                <c:pt idx="0">
                  <c:v>0.63304261971367448</c:v>
                </c:pt>
                <c:pt idx="1">
                  <c:v>1</c:v>
                </c:pt>
                <c:pt idx="2">
                  <c:v>0.59535955241072891</c:v>
                </c:pt>
                <c:pt idx="3">
                  <c:v>0.70018101036695735</c:v>
                </c:pt>
                <c:pt idx="4">
                  <c:v>0.58828369261148594</c:v>
                </c:pt>
                <c:pt idx="5">
                  <c:v>0.66891558334704615</c:v>
                </c:pt>
                <c:pt idx="6">
                  <c:v>0.81207832812242886</c:v>
                </c:pt>
                <c:pt idx="7">
                  <c:v>0.60868849761395427</c:v>
                </c:pt>
                <c:pt idx="8">
                  <c:v>0.94750699358235968</c:v>
                </c:pt>
                <c:pt idx="9">
                  <c:v>0.61905545499424053</c:v>
                </c:pt>
                <c:pt idx="10">
                  <c:v>0.48724699687345724</c:v>
                </c:pt>
                <c:pt idx="11">
                  <c:v>0.49712028961658711</c:v>
                </c:pt>
                <c:pt idx="12">
                  <c:v>0.48675333223630074</c:v>
                </c:pt>
                <c:pt idx="13">
                  <c:v>0.70742142504525263</c:v>
                </c:pt>
                <c:pt idx="14">
                  <c:v>0.44758927102188578</c:v>
                </c:pt>
                <c:pt idx="15">
                  <c:v>0.67253579068619374</c:v>
                </c:pt>
                <c:pt idx="16">
                  <c:v>0.75481323021227575</c:v>
                </c:pt>
                <c:pt idx="17">
                  <c:v>0.5719927595853217</c:v>
                </c:pt>
                <c:pt idx="18">
                  <c:v>0.58779002797432944</c:v>
                </c:pt>
                <c:pt idx="19">
                  <c:v>0.66068783939443798</c:v>
                </c:pt>
                <c:pt idx="20">
                  <c:v>0.79414184630574292</c:v>
                </c:pt>
                <c:pt idx="21">
                  <c:v>0.79183807799901262</c:v>
                </c:pt>
                <c:pt idx="22">
                  <c:v>0.57347375349679119</c:v>
                </c:pt>
                <c:pt idx="23">
                  <c:v>0.769129504689814</c:v>
                </c:pt>
                <c:pt idx="24">
                  <c:v>0.62415665624485761</c:v>
                </c:pt>
                <c:pt idx="25">
                  <c:v>0.64933355273983873</c:v>
                </c:pt>
                <c:pt idx="26">
                  <c:v>0.63962481487576095</c:v>
                </c:pt>
              </c:numCache>
            </c:numRef>
          </c:xVal>
          <c:yVal>
            <c:numRef>
              <c:f>'Cities by NBA Team'!$M$2:$M$28</c:f>
              <c:numCache>
                <c:formatCode>0.00000000%</c:formatCode>
                <c:ptCount val="27"/>
                <c:pt idx="0">
                  <c:v>1</c:v>
                </c:pt>
                <c:pt idx="1">
                  <c:v>0.60295292259968247</c:v>
                </c:pt>
                <c:pt idx="2">
                  <c:v>0.69933918462869893</c:v>
                </c:pt>
                <c:pt idx="3">
                  <c:v>0.75001077155741414</c:v>
                </c:pt>
                <c:pt idx="4">
                  <c:v>0.47191012817803152</c:v>
                </c:pt>
                <c:pt idx="5">
                  <c:v>0.39727433526019507</c:v>
                </c:pt>
                <c:pt idx="6">
                  <c:v>0.73203731178632858</c:v>
                </c:pt>
                <c:pt idx="7">
                  <c:v>0.33535417995669903</c:v>
                </c:pt>
                <c:pt idx="8">
                  <c:v>0.49289109371241524</c:v>
                </c:pt>
                <c:pt idx="9">
                  <c:v>0.34274395956490133</c:v>
                </c:pt>
                <c:pt idx="10">
                  <c:v>0.2334927424143298</c:v>
                </c:pt>
                <c:pt idx="11">
                  <c:v>0.430375225560921</c:v>
                </c:pt>
                <c:pt idx="12">
                  <c:v>0.31504706088333384</c:v>
                </c:pt>
                <c:pt idx="13">
                  <c:v>0.24027052471610885</c:v>
                </c:pt>
                <c:pt idx="14">
                  <c:v>0.21160162581472755</c:v>
                </c:pt>
                <c:pt idx="15">
                  <c:v>0.11048168276084364</c:v>
                </c:pt>
                <c:pt idx="16">
                  <c:v>0.19952695828485942</c:v>
                </c:pt>
                <c:pt idx="17">
                  <c:v>0.1329223228378083</c:v>
                </c:pt>
                <c:pt idx="18">
                  <c:v>0.11094132679325745</c:v>
                </c:pt>
                <c:pt idx="19">
                  <c:v>0.11747446381326813</c:v>
                </c:pt>
                <c:pt idx="20">
                  <c:v>9.9998921026714344E-2</c:v>
                </c:pt>
                <c:pt idx="21">
                  <c:v>0.10400098206149339</c:v>
                </c:pt>
                <c:pt idx="22">
                  <c:v>0.12505640714021679</c:v>
                </c:pt>
                <c:pt idx="23">
                  <c:v>6.6504412469991378E-2</c:v>
                </c:pt>
                <c:pt idx="24">
                  <c:v>7.5801523375172389E-2</c:v>
                </c:pt>
                <c:pt idx="25">
                  <c:v>7.3247794821233683E-2</c:v>
                </c:pt>
                <c:pt idx="26">
                  <c:v>0.1675115013056018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'Cities by NBA Team'!$B$2:$B$28</c15:f>
                <c15:dlblRangeCache>
                  <c:ptCount val="27"/>
                  <c:pt idx="0">
                    <c:v>New York</c:v>
                  </c:pt>
                  <c:pt idx="1">
                    <c:v>Los Angeles</c:v>
                  </c:pt>
                  <c:pt idx="2">
                    <c:v>Washington/Baltimore, DC</c:v>
                  </c:pt>
                  <c:pt idx="3">
                    <c:v>Chicago</c:v>
                  </c:pt>
                  <c:pt idx="4">
                    <c:v>Philadelphia</c:v>
                  </c:pt>
                  <c:pt idx="5">
                    <c:v>Dallas-Ft. Worth</c:v>
                  </c:pt>
                  <c:pt idx="6">
                    <c:v>San Francisco</c:v>
                  </c:pt>
                  <c:pt idx="7">
                    <c:v>Houston</c:v>
                  </c:pt>
                  <c:pt idx="8">
                    <c:v>Boston</c:v>
                  </c:pt>
                  <c:pt idx="9">
                    <c:v>Atlanta</c:v>
                  </c:pt>
                  <c:pt idx="10">
                    <c:v>Phoenix</c:v>
                  </c:pt>
                  <c:pt idx="11">
                    <c:v>Detroit</c:v>
                  </c:pt>
                  <c:pt idx="12">
                    <c:v>Minneapolis</c:v>
                  </c:pt>
                  <c:pt idx="13">
                    <c:v>Miami</c:v>
                  </c:pt>
                  <c:pt idx="14">
                    <c:v>Denver</c:v>
                  </c:pt>
                  <c:pt idx="15">
                    <c:v>Orlando</c:v>
                  </c:pt>
                  <c:pt idx="16">
                    <c:v>Cleveland</c:v>
                  </c:pt>
                  <c:pt idx="17">
                    <c:v>Sacramento</c:v>
                  </c:pt>
                  <c:pt idx="18">
                    <c:v>Charlotte</c:v>
                  </c:pt>
                  <c:pt idx="19">
                    <c:v>Indianapolis</c:v>
                  </c:pt>
                  <c:pt idx="20">
                    <c:v>San Antonio</c:v>
                  </c:pt>
                  <c:pt idx="21">
                    <c:v>Salt Lake City</c:v>
                  </c:pt>
                  <c:pt idx="22">
                    <c:v>Milwaukee</c:v>
                  </c:pt>
                  <c:pt idx="23">
                    <c:v>Oklahoma City</c:v>
                  </c:pt>
                  <c:pt idx="24">
                    <c:v>New Orleans</c:v>
                  </c:pt>
                  <c:pt idx="25">
                    <c:v>Memphis</c:v>
                  </c:pt>
                  <c:pt idx="26">
                    <c:v>Portland</c:v>
                  </c:pt>
                </c15:dlblRangeCache>
              </c15:datalabelsRange>
            </c:ext>
          </c:extLst>
        </c:ser>
        <c:ser>
          <c:idx val="1"/>
          <c:order val="1"/>
          <c:tx>
            <c:v>Market without Team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'Cities by NBA Team'!$R$30:$R$101</c:f>
              <c:numCache>
                <c:formatCode>0.00%</c:formatCode>
                <c:ptCount val="72"/>
                <c:pt idx="0">
                  <c:v>0.50436070429488233</c:v>
                </c:pt>
                <c:pt idx="1">
                  <c:v>0.6840546322198453</c:v>
                </c:pt>
                <c:pt idx="2">
                  <c:v>0.62349843672864902</c:v>
                </c:pt>
                <c:pt idx="3">
                  <c:v>0.6587131808458121</c:v>
                </c:pt>
                <c:pt idx="4">
                  <c:v>0.90241895672206685</c:v>
                </c:pt>
                <c:pt idx="5">
                  <c:v>0.69359881520487077</c:v>
                </c:pt>
                <c:pt idx="6">
                  <c:v>0.72453513246667767</c:v>
                </c:pt>
                <c:pt idx="7">
                  <c:v>0.84252098074707915</c:v>
                </c:pt>
                <c:pt idx="8">
                  <c:v>0.61263781471120615</c:v>
                </c:pt>
                <c:pt idx="9">
                  <c:v>0.85058416982063512</c:v>
                </c:pt>
                <c:pt idx="10">
                  <c:v>0.77455981569853538</c:v>
                </c:pt>
                <c:pt idx="11">
                  <c:v>0.64867533322363002</c:v>
                </c:pt>
                <c:pt idx="12">
                  <c:v>0.63073885140694419</c:v>
                </c:pt>
                <c:pt idx="13">
                  <c:v>0.72535790686193835</c:v>
                </c:pt>
                <c:pt idx="14">
                  <c:v>0.66249794306401177</c:v>
                </c:pt>
                <c:pt idx="15">
                  <c:v>0.70511765673852211</c:v>
                </c:pt>
                <c:pt idx="18">
                  <c:v>0.62925785749547458</c:v>
                </c:pt>
                <c:pt idx="19">
                  <c:v>0.66842191870988965</c:v>
                </c:pt>
                <c:pt idx="20">
                  <c:v>0.66348527233832477</c:v>
                </c:pt>
                <c:pt idx="21">
                  <c:v>0.5993088695079809</c:v>
                </c:pt>
                <c:pt idx="22">
                  <c:v>0.65147276616751681</c:v>
                </c:pt>
                <c:pt idx="23">
                  <c:v>0.70807964456146122</c:v>
                </c:pt>
                <c:pt idx="24">
                  <c:v>0.68043442488069761</c:v>
                </c:pt>
                <c:pt idx="25">
                  <c:v>0.55751193022873113</c:v>
                </c:pt>
                <c:pt idx="26">
                  <c:v>0.61543524765509294</c:v>
                </c:pt>
                <c:pt idx="28">
                  <c:v>0.67994076024354122</c:v>
                </c:pt>
                <c:pt idx="29">
                  <c:v>0.67335856508145464</c:v>
                </c:pt>
                <c:pt idx="30">
                  <c:v>0.72437057758762535</c:v>
                </c:pt>
                <c:pt idx="31">
                  <c:v>0.53315780812901092</c:v>
                </c:pt>
                <c:pt idx="32">
                  <c:v>0.67154846141188085</c:v>
                </c:pt>
                <c:pt idx="33">
                  <c:v>0.60243541220997199</c:v>
                </c:pt>
                <c:pt idx="34">
                  <c:v>0.84268553562613113</c:v>
                </c:pt>
                <c:pt idx="35">
                  <c:v>0.72420602270857326</c:v>
                </c:pt>
                <c:pt idx="36">
                  <c:v>0.65064999177225602</c:v>
                </c:pt>
                <c:pt idx="37">
                  <c:v>0.61510613789698854</c:v>
                </c:pt>
                <c:pt idx="38">
                  <c:v>0.51884153365147268</c:v>
                </c:pt>
                <c:pt idx="39">
                  <c:v>0.69787724206022694</c:v>
                </c:pt>
                <c:pt idx="40">
                  <c:v>0.63106796116504837</c:v>
                </c:pt>
                <c:pt idx="41">
                  <c:v>0.65937140036202069</c:v>
                </c:pt>
                <c:pt idx="42">
                  <c:v>0.6539410893532992</c:v>
                </c:pt>
                <c:pt idx="44">
                  <c:v>0.64406779661016944</c:v>
                </c:pt>
                <c:pt idx="45">
                  <c:v>0.70248477867368764</c:v>
                </c:pt>
                <c:pt idx="46">
                  <c:v>0.64077669902912615</c:v>
                </c:pt>
                <c:pt idx="48">
                  <c:v>0.69244693105150557</c:v>
                </c:pt>
                <c:pt idx="49">
                  <c:v>0.69985190060885305</c:v>
                </c:pt>
                <c:pt idx="50">
                  <c:v>0.64094125390817835</c:v>
                </c:pt>
                <c:pt idx="51">
                  <c:v>0.65904229060391628</c:v>
                </c:pt>
                <c:pt idx="56">
                  <c:v>0.64094125390817835</c:v>
                </c:pt>
                <c:pt idx="57">
                  <c:v>0.70232022379463543</c:v>
                </c:pt>
                <c:pt idx="58">
                  <c:v>0.61839723547803183</c:v>
                </c:pt>
                <c:pt idx="59">
                  <c:v>0.52706927760408095</c:v>
                </c:pt>
                <c:pt idx="60">
                  <c:v>0.59947342438703299</c:v>
                </c:pt>
                <c:pt idx="62">
                  <c:v>0.52871482639460254</c:v>
                </c:pt>
                <c:pt idx="63">
                  <c:v>0.67911798584828031</c:v>
                </c:pt>
                <c:pt idx="64">
                  <c:v>0.73358565081454663</c:v>
                </c:pt>
                <c:pt idx="65">
                  <c:v>0.64653611979595194</c:v>
                </c:pt>
                <c:pt idx="66">
                  <c:v>0.52690472272502875</c:v>
                </c:pt>
                <c:pt idx="67">
                  <c:v>0.72321869343426037</c:v>
                </c:pt>
                <c:pt idx="68">
                  <c:v>0.58713180845812074</c:v>
                </c:pt>
                <c:pt idx="69">
                  <c:v>0.6827381931874279</c:v>
                </c:pt>
                <c:pt idx="71">
                  <c:v>0.64571334540069103</c:v>
                </c:pt>
              </c:numCache>
            </c:numRef>
          </c:xVal>
          <c:yVal>
            <c:numRef>
              <c:f>'Cities by NBA Team'!$M$30:$M$101</c:f>
              <c:numCache>
                <c:formatCode>0.00000000%</c:formatCode>
                <c:ptCount val="72"/>
                <c:pt idx="0">
                  <c:v>0.14379854764044117</c:v>
                </c:pt>
                <c:pt idx="1">
                  <c:v>0.28935286651646286</c:v>
                </c:pt>
                <c:pt idx="2">
                  <c:v>0.18562955442730147</c:v>
                </c:pt>
                <c:pt idx="3">
                  <c:v>0.14179067402091988</c:v>
                </c:pt>
                <c:pt idx="4">
                  <c:v>9.3098341818216232E-2</c:v>
                </c:pt>
                <c:pt idx="5">
                  <c:v>1.7469477794318438E-2</c:v>
                </c:pt>
                <c:pt idx="6">
                  <c:v>0.21249161466273717</c:v>
                </c:pt>
                <c:pt idx="7">
                  <c:v>8.7366094185163931E-2</c:v>
                </c:pt>
                <c:pt idx="8">
                  <c:v>9.9065569181732899E-2</c:v>
                </c:pt>
                <c:pt idx="9">
                  <c:v>0.11066121645134265</c:v>
                </c:pt>
                <c:pt idx="10">
                  <c:v>0.13163193059734263</c:v>
                </c:pt>
                <c:pt idx="11">
                  <c:v>0.1426260373140649</c:v>
                </c:pt>
                <c:pt idx="12">
                  <c:v>5.9386505544844523E-2</c:v>
                </c:pt>
                <c:pt idx="13">
                  <c:v>8.1784438647102747E-2</c:v>
                </c:pt>
                <c:pt idx="14">
                  <c:v>9.8153845537720219E-2</c:v>
                </c:pt>
                <c:pt idx="15">
                  <c:v>0.11190639851874974</c:v>
                </c:pt>
                <c:pt idx="16">
                  <c:v>0.10689486861783706</c:v>
                </c:pt>
                <c:pt idx="17">
                  <c:v>4.3445518509861697E-2</c:v>
                </c:pt>
                <c:pt idx="18">
                  <c:v>8.0540182596078452E-2</c:v>
                </c:pt>
                <c:pt idx="19">
                  <c:v>5.8047823069593239E-2</c:v>
                </c:pt>
                <c:pt idx="20">
                  <c:v>8.2152779802502296E-2</c:v>
                </c:pt>
                <c:pt idx="21">
                  <c:v>7.4933945027254312E-2</c:v>
                </c:pt>
                <c:pt idx="22">
                  <c:v>4.4699259024014115E-2</c:v>
                </c:pt>
                <c:pt idx="23">
                  <c:v>6.7171920454972098E-2</c:v>
                </c:pt>
                <c:pt idx="24">
                  <c:v>7.9616505345097316E-2</c:v>
                </c:pt>
                <c:pt idx="25">
                  <c:v>7.2256906805926571E-2</c:v>
                </c:pt>
                <c:pt idx="26">
                  <c:v>5.174546469673718E-2</c:v>
                </c:pt>
                <c:pt idx="27">
                  <c:v>7.4826485274697055E-2</c:v>
                </c:pt>
                <c:pt idx="28">
                  <c:v>3.4243793851112113E-2</c:v>
                </c:pt>
                <c:pt idx="29">
                  <c:v>3.6669148304688877E-2</c:v>
                </c:pt>
                <c:pt idx="30">
                  <c:v>4.930896661854433E-2</c:v>
                </c:pt>
                <c:pt idx="31">
                  <c:v>4.8928881319100948E-2</c:v>
                </c:pt>
                <c:pt idx="32">
                  <c:v>3.0883875990092156E-2</c:v>
                </c:pt>
                <c:pt idx="33">
                  <c:v>2.852101590417716E-2</c:v>
                </c:pt>
                <c:pt idx="34">
                  <c:v>4.0659433947100282E-2</c:v>
                </c:pt>
                <c:pt idx="35">
                  <c:v>3.0271185783054752E-2</c:v>
                </c:pt>
                <c:pt idx="36">
                  <c:v>6.3368964379034512E-2</c:v>
                </c:pt>
                <c:pt idx="37">
                  <c:v>7.2978157165071417E-2</c:v>
                </c:pt>
                <c:pt idx="38">
                  <c:v>3.7485188581668265E-2</c:v>
                </c:pt>
                <c:pt idx="39">
                  <c:v>1.487214909404486E-2</c:v>
                </c:pt>
                <c:pt idx="40">
                  <c:v>1.6910870683053358E-2</c:v>
                </c:pt>
                <c:pt idx="41">
                  <c:v>3.4132941218259265E-2</c:v>
                </c:pt>
                <c:pt idx="42">
                  <c:v>1.4301073461965642E-2</c:v>
                </c:pt>
                <c:pt idx="43">
                  <c:v>4.9761167428907384E-2</c:v>
                </c:pt>
                <c:pt idx="44">
                  <c:v>0.34938659228866553</c:v>
                </c:pt>
                <c:pt idx="45">
                  <c:v>2.5017380131758547E-2</c:v>
                </c:pt>
                <c:pt idx="46">
                  <c:v>5.1745669550068735E-2</c:v>
                </c:pt>
                <c:pt idx="47">
                  <c:v>6.3368964379034512E-2</c:v>
                </c:pt>
                <c:pt idx="48">
                  <c:v>7.7449225560806342E-2</c:v>
                </c:pt>
                <c:pt idx="49">
                  <c:v>3.5887873275258816E-2</c:v>
                </c:pt>
                <c:pt idx="50">
                  <c:v>3.957789871925127E-2</c:v>
                </c:pt>
                <c:pt idx="51">
                  <c:v>2.3678154391979626E-2</c:v>
                </c:pt>
                <c:pt idx="52">
                  <c:v>5.7378104921925271E-2</c:v>
                </c:pt>
                <c:pt idx="53">
                  <c:v>2.0492984015050762E-2</c:v>
                </c:pt>
                <c:pt idx="54">
                  <c:v>1.2062259439166292E-2</c:v>
                </c:pt>
                <c:pt idx="55">
                  <c:v>1.4067621510762782E-2</c:v>
                </c:pt>
                <c:pt idx="56">
                  <c:v>4.6692226617086802E-2</c:v>
                </c:pt>
                <c:pt idx="57">
                  <c:v>1.7843902365885487E-2</c:v>
                </c:pt>
                <c:pt idx="58">
                  <c:v>2.8347953791915844E-2</c:v>
                </c:pt>
                <c:pt idx="59">
                  <c:v>3.885186129210734E-2</c:v>
                </c:pt>
                <c:pt idx="60">
                  <c:v>2.7920910263215512E-2</c:v>
                </c:pt>
                <c:pt idx="61">
                  <c:v>1.4211820461194008E-2</c:v>
                </c:pt>
                <c:pt idx="62">
                  <c:v>1.8626487883526967E-2</c:v>
                </c:pt>
                <c:pt idx="63">
                  <c:v>3.3858676689088728E-2</c:v>
                </c:pt>
                <c:pt idx="64">
                  <c:v>3.7181653942058981E-2</c:v>
                </c:pt>
                <c:pt idx="65">
                  <c:v>1.5945668645504691E-2</c:v>
                </c:pt>
                <c:pt idx="66">
                  <c:v>2.7502613866520656E-2</c:v>
                </c:pt>
                <c:pt idx="67">
                  <c:v>8.4175751493456626E-3</c:v>
                </c:pt>
                <c:pt idx="68">
                  <c:v>1.2700817047468648E-2</c:v>
                </c:pt>
                <c:pt idx="69">
                  <c:v>2.4337873528489009E-2</c:v>
                </c:pt>
                <c:pt idx="70">
                  <c:v>1.0775487256684793E-2</c:v>
                </c:pt>
                <c:pt idx="71">
                  <c:v>7.0558584590001581E-3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73248"/>
        <c:axId val="713274032"/>
      </c:scatterChart>
      <c:valAx>
        <c:axId val="71327324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Basketball Fan Score</a:t>
                </a:r>
                <a:r>
                  <a:rPr lang="en-US" baseline="0"/>
                  <a:t> Normalized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4032"/>
        <c:crosses val="autoZero"/>
        <c:crossBetween val="midCat"/>
      </c:valAx>
      <c:valAx>
        <c:axId val="7132740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Weighted Mdeian Market Income in Billions (Market Population</a:t>
                </a:r>
                <a:r>
                  <a:rPr lang="en-US" baseline="0"/>
                  <a:t>*Median Income) Normalized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3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Atlanta_metropolitan_area" TargetMode="External"/><Relationship Id="rId13" Type="http://schemas.openxmlformats.org/officeDocument/2006/relationships/hyperlink" Target="https://en.wikipedia.org/wiki/Denver-Aurora_metropolitan_area" TargetMode="External"/><Relationship Id="rId18" Type="http://schemas.openxmlformats.org/officeDocument/2006/relationships/hyperlink" Target="https://en.wikipedia.org/wiki/Indianapolis_Metropolitan_Area" TargetMode="External"/><Relationship Id="rId26" Type="http://schemas.openxmlformats.org/officeDocument/2006/relationships/hyperlink" Target="https://en.wikipedia.org/wiki/Kansas_City_Metropolitan_Area" TargetMode="External"/><Relationship Id="rId3" Type="http://schemas.openxmlformats.org/officeDocument/2006/relationships/hyperlink" Target="https://en.wikipedia.org/wiki/Chicago_metropolitan_area" TargetMode="External"/><Relationship Id="rId21" Type="http://schemas.openxmlformats.org/officeDocument/2006/relationships/hyperlink" Target="https://en.wikipedia.org/wiki/Seattle_metropolitan_area" TargetMode="External"/><Relationship Id="rId34" Type="http://schemas.openxmlformats.org/officeDocument/2006/relationships/hyperlink" Target="https://en.wikipedia.org/wiki/City_and_County_of_Honolulu" TargetMode="External"/><Relationship Id="rId7" Type="http://schemas.openxmlformats.org/officeDocument/2006/relationships/hyperlink" Target="https://en.wikipedia.org/wiki/Greater_Boston" TargetMode="External"/><Relationship Id="rId12" Type="http://schemas.openxmlformats.org/officeDocument/2006/relationships/hyperlink" Target="https://en.wikipedia.org/wiki/South_Florida_metropolitan_area" TargetMode="External"/><Relationship Id="rId17" Type="http://schemas.openxmlformats.org/officeDocument/2006/relationships/hyperlink" Target="https://en.wikipedia.org/wiki/Charlotte_metropolitan_area" TargetMode="External"/><Relationship Id="rId25" Type="http://schemas.openxmlformats.org/officeDocument/2006/relationships/hyperlink" Target="https://en.wikipedia.org/wiki/Nashville_Metropolitan_Statistical_Area" TargetMode="External"/><Relationship Id="rId33" Type="http://schemas.openxmlformats.org/officeDocument/2006/relationships/hyperlink" Target="https://en.wikipedia.org/wiki/Capital_District,_New_York" TargetMode="External"/><Relationship Id="rId2" Type="http://schemas.openxmlformats.org/officeDocument/2006/relationships/hyperlink" Target="https://en.wikipedia.org/wiki/Baltimore-Washington_Metropolitan_Area" TargetMode="External"/><Relationship Id="rId16" Type="http://schemas.openxmlformats.org/officeDocument/2006/relationships/hyperlink" Target="https://en.wikipedia.org/wiki/Sacramento_Valley" TargetMode="External"/><Relationship Id="rId20" Type="http://schemas.openxmlformats.org/officeDocument/2006/relationships/hyperlink" Target="https://en.wikipedia.org/wiki/Tampa_Bay_Area" TargetMode="External"/><Relationship Id="rId29" Type="http://schemas.openxmlformats.org/officeDocument/2006/relationships/hyperlink" Target="https://en.wikipedia.org/wiki/Hampton_Roads" TargetMode="External"/><Relationship Id="rId1" Type="http://schemas.openxmlformats.org/officeDocument/2006/relationships/hyperlink" Target="https://en.wikipedia.org/wiki/New_York_metropolitan_area" TargetMode="External"/><Relationship Id="rId6" Type="http://schemas.openxmlformats.org/officeDocument/2006/relationships/hyperlink" Target="https://en.wikipedia.org/wiki/Greater_Houston" TargetMode="External"/><Relationship Id="rId11" Type="http://schemas.openxmlformats.org/officeDocument/2006/relationships/hyperlink" Target="https://en.wikipedia.org/wiki/Minneapolis%E2%80%93Saint_Paul" TargetMode="External"/><Relationship Id="rId24" Type="http://schemas.openxmlformats.org/officeDocument/2006/relationships/hyperlink" Target="https://en.wikipedia.org/wiki/San_Diego_County,_California" TargetMode="External"/><Relationship Id="rId32" Type="http://schemas.openxmlformats.org/officeDocument/2006/relationships/hyperlink" Target="https://en.wikipedia.org/wiki/Jacksonville_metropolitan_area" TargetMode="External"/><Relationship Id="rId5" Type="http://schemas.openxmlformats.org/officeDocument/2006/relationships/hyperlink" Target="https://en.wikipedia.org/wiki/Dallas%E2%80%93Fort_Worth_Metroplex" TargetMode="External"/><Relationship Id="rId15" Type="http://schemas.openxmlformats.org/officeDocument/2006/relationships/hyperlink" Target="https://en.wikipedia.org/wiki/Greater_Cleveland" TargetMode="External"/><Relationship Id="rId23" Type="http://schemas.openxmlformats.org/officeDocument/2006/relationships/hyperlink" Target="https://en.wikipedia.org/wiki/The_Triangle_(North_Carolina)" TargetMode="External"/><Relationship Id="rId28" Type="http://schemas.openxmlformats.org/officeDocument/2006/relationships/hyperlink" Target="https://en.wikipedia.org/wiki/Las_Vegas%E2%80%93Paradise,_NV_MSA" TargetMode="External"/><Relationship Id="rId10" Type="http://schemas.openxmlformats.org/officeDocument/2006/relationships/hyperlink" Target="https://en.wikipedia.org/wiki/Metro_Detroit" TargetMode="External"/><Relationship Id="rId19" Type="http://schemas.openxmlformats.org/officeDocument/2006/relationships/hyperlink" Target="https://en.wikipedia.org/wiki/Milwaukee_metropolitan_area" TargetMode="External"/><Relationship Id="rId31" Type="http://schemas.openxmlformats.org/officeDocument/2006/relationships/hyperlink" Target="https://en.wikipedia.org/wiki/Piedmont_Triad" TargetMode="External"/><Relationship Id="rId4" Type="http://schemas.openxmlformats.org/officeDocument/2006/relationships/hyperlink" Target="https://en.wikipedia.org/wiki/Delaware_Valley" TargetMode="External"/><Relationship Id="rId9" Type="http://schemas.openxmlformats.org/officeDocument/2006/relationships/hyperlink" Target="https://en.wikipedia.org/wiki/Phoenix_metropolitan_area" TargetMode="External"/><Relationship Id="rId14" Type="http://schemas.openxmlformats.org/officeDocument/2006/relationships/hyperlink" Target="https://en.wikipedia.org/wiki/Orlando-Kissimmee,_Florida,_Metropolitan_Statistical_Area" TargetMode="External"/><Relationship Id="rId22" Type="http://schemas.openxmlformats.org/officeDocument/2006/relationships/hyperlink" Target="https://en.wikipedia.org/wiki/St._Louis_Metropolitan_Statistical_Area" TargetMode="External"/><Relationship Id="rId27" Type="http://schemas.openxmlformats.org/officeDocument/2006/relationships/hyperlink" Target="https://en.wikipedia.org/wiki/Cincinnati/Northern_Kentucky_metropolitan_area" TargetMode="External"/><Relationship Id="rId30" Type="http://schemas.openxmlformats.org/officeDocument/2006/relationships/hyperlink" Target="https://en.wikipedia.org/wiki/Harrisburg_metropolitan_ar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7"/>
  <sheetViews>
    <sheetView topLeftCell="AA1" workbookViewId="0">
      <selection activeCell="AJ1" sqref="AJ1:AJ1048576"/>
    </sheetView>
  </sheetViews>
  <sheetFormatPr defaultColWidth="9.140625" defaultRowHeight="12.75" x14ac:dyDescent="0.2"/>
  <cols>
    <col min="1" max="1" width="5.140625" style="1" bestFit="1" customWidth="1"/>
    <col min="2" max="2" width="25.5703125" style="1" bestFit="1" customWidth="1"/>
    <col min="3" max="3" width="86.7109375" style="1" bestFit="1" customWidth="1"/>
    <col min="4" max="4" width="5.140625" style="1" bestFit="1" customWidth="1"/>
    <col min="5" max="5" width="32.5703125" style="15" bestFit="1" customWidth="1"/>
    <col min="6" max="6" width="32.5703125" style="15" customWidth="1"/>
    <col min="7" max="7" width="23.140625" style="1" bestFit="1" customWidth="1"/>
    <col min="8" max="8" width="23.140625" style="1" customWidth="1"/>
    <col min="9" max="9" width="28.140625" style="1" bestFit="1" customWidth="1"/>
    <col min="10" max="10" width="20.42578125" style="1" bestFit="1" customWidth="1"/>
    <col min="11" max="11" width="23.28515625" style="1" bestFit="1" customWidth="1"/>
    <col min="12" max="12" width="32" style="1" bestFit="1" customWidth="1"/>
    <col min="13" max="13" width="32" style="1" customWidth="1"/>
    <col min="14" max="14" width="10.5703125" style="1" bestFit="1" customWidth="1"/>
    <col min="15" max="15" width="15.42578125" style="1" bestFit="1" customWidth="1"/>
    <col min="16" max="16" width="15.42578125" style="1" customWidth="1"/>
    <col min="17" max="17" width="33.140625" style="1" bestFit="1" customWidth="1"/>
    <col min="18" max="18" width="16.42578125" style="1" bestFit="1" customWidth="1"/>
    <col min="19" max="19" width="28.28515625" style="1" bestFit="1" customWidth="1"/>
    <col min="20" max="20" width="27" style="1" bestFit="1" customWidth="1"/>
    <col min="21" max="21" width="31.28515625" style="1" bestFit="1" customWidth="1"/>
    <col min="22" max="22" width="31.85546875" style="1" bestFit="1" customWidth="1"/>
    <col min="23" max="23" width="35.5703125" style="1" bestFit="1" customWidth="1"/>
    <col min="24" max="24" width="33.7109375" style="1" bestFit="1" customWidth="1"/>
    <col min="25" max="25" width="38.5703125" style="1" bestFit="1" customWidth="1"/>
    <col min="26" max="26" width="40.42578125" style="1" bestFit="1" customWidth="1"/>
    <col min="27" max="27" width="17.7109375" style="1" bestFit="1" customWidth="1"/>
    <col min="28" max="28" width="23.140625" style="1" bestFit="1" customWidth="1"/>
    <col min="29" max="29" width="21.7109375" style="1" bestFit="1" customWidth="1"/>
    <col min="30" max="30" width="25.85546875" style="1" bestFit="1" customWidth="1"/>
    <col min="31" max="31" width="27.7109375" style="1" bestFit="1" customWidth="1"/>
    <col min="32" max="32" width="28" style="1" bestFit="1" customWidth="1"/>
    <col min="33" max="33" width="31.5703125" style="1" bestFit="1" customWidth="1"/>
    <col min="34" max="34" width="37.140625" style="1" bestFit="1" customWidth="1"/>
    <col min="35" max="35" width="32.5703125" style="1" bestFit="1" customWidth="1"/>
    <col min="36" max="36" width="13.140625" style="1" bestFit="1" customWidth="1"/>
    <col min="37" max="16384" width="9.140625" style="1"/>
  </cols>
  <sheetData>
    <row r="1" spans="1:36" ht="13.5" thickBot="1" x14ac:dyDescent="0.25">
      <c r="A1" s="8" t="s">
        <v>242</v>
      </c>
      <c r="B1" s="3" t="s">
        <v>241</v>
      </c>
      <c r="C1" s="3" t="s">
        <v>240</v>
      </c>
      <c r="D1" s="3" t="s">
        <v>239</v>
      </c>
      <c r="E1" s="14" t="s">
        <v>245</v>
      </c>
      <c r="F1" s="14" t="s">
        <v>256</v>
      </c>
      <c r="G1" s="3" t="s">
        <v>255</v>
      </c>
      <c r="H1" s="3" t="s">
        <v>257</v>
      </c>
      <c r="I1" s="4" t="s">
        <v>243</v>
      </c>
      <c r="J1" s="3" t="s">
        <v>238</v>
      </c>
      <c r="K1" s="3" t="s">
        <v>258</v>
      </c>
      <c r="L1" s="6" t="s">
        <v>244</v>
      </c>
      <c r="M1" s="6" t="s">
        <v>259</v>
      </c>
      <c r="N1" s="3" t="s">
        <v>237</v>
      </c>
      <c r="O1" s="3" t="s">
        <v>236</v>
      </c>
      <c r="P1" s="3" t="s">
        <v>260</v>
      </c>
      <c r="Q1" s="3" t="s">
        <v>262</v>
      </c>
      <c r="R1" s="3" t="s">
        <v>261</v>
      </c>
      <c r="S1" s="3" t="s">
        <v>246</v>
      </c>
      <c r="T1" s="3" t="s">
        <v>247</v>
      </c>
      <c r="U1" s="3" t="s">
        <v>248</v>
      </c>
      <c r="V1" s="3" t="s">
        <v>249</v>
      </c>
      <c r="W1" s="3" t="s">
        <v>250</v>
      </c>
      <c r="X1" s="3" t="s">
        <v>251</v>
      </c>
      <c r="Y1" s="3" t="s">
        <v>252</v>
      </c>
      <c r="Z1" s="3" t="s">
        <v>253</v>
      </c>
      <c r="AA1" s="3" t="s">
        <v>254</v>
      </c>
      <c r="AB1" s="3" t="s">
        <v>264</v>
      </c>
      <c r="AC1" s="3" t="s">
        <v>266</v>
      </c>
      <c r="AD1" s="3" t="s">
        <v>265</v>
      </c>
      <c r="AE1" s="3" t="s">
        <v>267</v>
      </c>
      <c r="AF1" s="3" t="s">
        <v>268</v>
      </c>
      <c r="AG1" s="3" t="s">
        <v>269</v>
      </c>
      <c r="AH1" s="30" t="s">
        <v>270</v>
      </c>
      <c r="AI1" s="3" t="s">
        <v>271</v>
      </c>
      <c r="AJ1" s="3" t="s">
        <v>263</v>
      </c>
    </row>
    <row r="2" spans="1:36" ht="16.5" thickBot="1" x14ac:dyDescent="0.3">
      <c r="A2" s="8">
        <v>1</v>
      </c>
      <c r="B2" s="31" t="s">
        <v>235</v>
      </c>
      <c r="C2" s="11" t="s">
        <v>234</v>
      </c>
      <c r="D2" s="3" t="s">
        <v>44</v>
      </c>
      <c r="E2" s="15">
        <f>((1/100000)*7348620/2)/10</f>
        <v>3.6743100000000006</v>
      </c>
      <c r="F2" s="24">
        <f>(((1/100000)*7348620/2)/10)/(((1/100000)*7348620/2)/10)</f>
        <v>1</v>
      </c>
      <c r="G2" s="23">
        <f>(211.99865/2)/10</f>
        <v>10.5999325</v>
      </c>
      <c r="H2" s="25">
        <f>((211.99865/2)/10)/((211.99865/2)/10)</f>
        <v>1</v>
      </c>
      <c r="I2" s="16">
        <v>5.8799000000000001</v>
      </c>
      <c r="J2" s="3">
        <v>2</v>
      </c>
      <c r="K2" s="24">
        <v>0.93296204620462053</v>
      </c>
      <c r="L2" s="17">
        <f>1246.530862135/2</f>
        <v>623.2654310675</v>
      </c>
      <c r="M2" s="26">
        <f>(1246.530862135/2)/(1246.530862135/2)</f>
        <v>1</v>
      </c>
      <c r="N2" s="3">
        <v>2</v>
      </c>
      <c r="O2" s="9">
        <v>1</v>
      </c>
      <c r="P2" s="25">
        <v>0.26315789473684209</v>
      </c>
      <c r="Q2" s="21">
        <v>38.47</v>
      </c>
      <c r="R2" s="28">
        <v>0.63304261971367448</v>
      </c>
      <c r="S2" s="2">
        <f>((E2/( -0.3642238*O2 + 2.379662
))*100)-100</f>
        <v>82.308244430417176</v>
      </c>
      <c r="T2" s="2">
        <f>((G2/( -0.834907*O2 + 5.40763
))*100)-100</f>
        <v>131.80788558589705</v>
      </c>
      <c r="U2" s="2">
        <f>((I2/( -0.219535*O2 + 5.0935
))*100)-100</f>
        <v>20.638945909541832</v>
      </c>
      <c r="V2" s="2">
        <f>((L2/(-56.0713*O2 + 295.153
))*100)-100</f>
        <v>160.69140008101834</v>
      </c>
      <c r="W2" s="2">
        <f>((E2/( 0.00834757*Q2 + 1.52626
))*100)-100</f>
        <v>98.891840676844339</v>
      </c>
      <c r="X2" s="2">
        <f>((G2/( 0.0701569*Q2 + 1.15738
))*100)-100</f>
        <v>174.87199328781765</v>
      </c>
      <c r="Y2" s="2">
        <f>((I2/(-0.00479307*Q2 + 4.91165
))*100)-100</f>
        <v>24.382819166074782</v>
      </c>
      <c r="Z2" s="2">
        <f>((L2/(3.44888*Q2 + 60.5542
))*100)-100</f>
        <v>222.54670650870912</v>
      </c>
      <c r="AA2" s="2">
        <f>(S2+T2+V2+W2+X2+Z2)/6</f>
        <v>145.18634509511728</v>
      </c>
      <c r="AB2" s="1">
        <f>(F2*0.75+P2*0.25)*100</f>
        <v>81.578947368421055</v>
      </c>
      <c r="AC2" s="1">
        <f>(H2*0.75+P2*0.25)*100</f>
        <v>81.578947368421055</v>
      </c>
      <c r="AD2" s="1">
        <f>(K2*0.75+P2*0.25)*100</f>
        <v>76.551100833767592</v>
      </c>
      <c r="AE2" s="1">
        <f>(M2*0.75+P2*0.25)*100</f>
        <v>81.578947368421055</v>
      </c>
      <c r="AF2" s="1">
        <f>(F2*0.75+R2*0.25)*100</f>
        <v>90.826065492841863</v>
      </c>
      <c r="AG2" s="1">
        <f>(H2*0.75+R2*0.25)*100</f>
        <v>90.826065492841863</v>
      </c>
      <c r="AH2" s="1">
        <f>(K2*0.75+R2*0.25)*100</f>
        <v>85.7982189581884</v>
      </c>
      <c r="AI2" s="1">
        <f>(M2*0.75+R2*0.25)*100</f>
        <v>90.826065492841863</v>
      </c>
      <c r="AJ2" s="1">
        <f>SUM(AI2,AE2:AG2,AB2:AC2)/6</f>
        <v>86.202506430631459</v>
      </c>
    </row>
    <row r="3" spans="1:36" ht="16.5" thickBot="1" x14ac:dyDescent="0.3">
      <c r="A3" s="8">
        <v>2</v>
      </c>
      <c r="B3" s="31" t="s">
        <v>233</v>
      </c>
      <c r="C3" s="3" t="s">
        <v>232</v>
      </c>
      <c r="D3" s="3" t="s">
        <v>119</v>
      </c>
      <c r="E3" s="15">
        <f>((1/100000)*5476830/2)/10</f>
        <v>2.7384150000000003</v>
      </c>
      <c r="F3" s="24">
        <f>(((1/100000)*5476830/2)/10)/(((1/100000)*7348620/2)/10)</f>
        <v>0.74528687018787199</v>
      </c>
      <c r="G3" s="23">
        <f>(163.73645/2)/10</f>
        <v>8.1868224999999999</v>
      </c>
      <c r="H3" s="25">
        <f>((163.73645/2)/10)/((211.99865/2)/10)</f>
        <v>0.77234666352828196</v>
      </c>
      <c r="I3" s="16">
        <v>4.5903</v>
      </c>
      <c r="J3" s="3">
        <v>43</v>
      </c>
      <c r="K3" s="24">
        <v>0.72834158415841588</v>
      </c>
      <c r="L3" s="17">
        <f>751.599426435/2</f>
        <v>375.79971321750003</v>
      </c>
      <c r="M3" s="26">
        <f>(751.599426435/2)/(1246.530862135/2)</f>
        <v>0.60295292259968247</v>
      </c>
      <c r="N3" s="3">
        <v>2</v>
      </c>
      <c r="O3" s="9">
        <v>1.2</v>
      </c>
      <c r="P3" s="25">
        <v>0.31578947368421051</v>
      </c>
      <c r="Q3" s="21">
        <v>60.77</v>
      </c>
      <c r="R3" s="28">
        <v>1</v>
      </c>
      <c r="S3" s="2">
        <f t="shared" ref="S3:S66" si="0">((E3/( -0.3642238*O3 + 2.379662
))*100)-100</f>
        <v>40.966964245488214</v>
      </c>
      <c r="T3" s="2">
        <f t="shared" ref="T3:T66" si="1">((G3/( -0.834907*O3 + 5.40763
))*100)-100</f>
        <v>85.821667344267269</v>
      </c>
      <c r="U3" s="2">
        <f t="shared" ref="U3:U66" si="2">((I3/( -0.219535*O3 + 5.0935
))*100)-100</f>
        <v>-4.9638741398136261</v>
      </c>
      <c r="V3" s="2">
        <f t="shared" ref="V3:V66" si="3">((L3/(-56.0713*O3 + 295.153
))*100)-100</f>
        <v>64.920320874934987</v>
      </c>
      <c r="W3" s="2">
        <f t="shared" ref="W3:W66" si="4">((E3/( 0.00834757*Q3 + 1.52626
))*100)-100</f>
        <v>34.662339425852196</v>
      </c>
      <c r="X3" s="2">
        <f t="shared" ref="X3:X66" si="5">((G3/( 0.0701569*Q3 + 1.15738
))*100)-100</f>
        <v>51.025681238301331</v>
      </c>
      <c r="Y3" s="2">
        <f t="shared" ref="Y3:Y66" si="6">((I3/(-0.00479307*Q3 + 4.91165
))*100)-100</f>
        <v>-0.65092411793614247</v>
      </c>
      <c r="Z3" s="2">
        <f t="shared" ref="Z3:Z66" si="7">((L3/(3.44888*Q3 + 60.5542
))*100)-100</f>
        <v>39.111588069243027</v>
      </c>
      <c r="AA3" s="2">
        <f t="shared" ref="AA3:AA66" si="8">(S3+T3+V3+W3+X3+Z3)/6</f>
        <v>52.751426866347835</v>
      </c>
      <c r="AB3" s="1">
        <f t="shared" ref="AB3:AB66" si="9">(F3*0.75+P3*0.25)*100</f>
        <v>63.791252106195664</v>
      </c>
      <c r="AC3" s="1">
        <f t="shared" ref="AC3:AC66" si="10">(H3*0.75+P3*0.25)*100</f>
        <v>65.820736606726413</v>
      </c>
      <c r="AD3" s="1">
        <f t="shared" ref="AD3:AD66" si="11">(K3*0.75+P3*0.25)*100</f>
        <v>62.520355653986456</v>
      </c>
      <c r="AE3" s="1">
        <f t="shared" ref="AE3:AE66" si="12">(M3*0.75+P3*0.25)*100</f>
        <v>53.116206037081447</v>
      </c>
      <c r="AF3" s="1">
        <f t="shared" ref="AF3:AF66" si="13">(F3*0.75+R3*0.25)*100</f>
        <v>80.896515264090397</v>
      </c>
      <c r="AG3" s="1">
        <f t="shared" ref="AG3:AG66" si="14">(H3*0.75+R3*0.25)*100</f>
        <v>82.925999764621153</v>
      </c>
      <c r="AH3" s="1">
        <f t="shared" ref="AH3:AH66" si="15">(K3*0.75+R3*0.25)*100</f>
        <v>79.625618811881196</v>
      </c>
      <c r="AI3" s="1">
        <f t="shared" ref="AI3:AI66" si="16">(M3*0.75+R3*0.25)*100</f>
        <v>70.22146919497618</v>
      </c>
      <c r="AJ3" s="1">
        <f t="shared" ref="AJ3:AJ66" si="17">SUM(AI3,AE3:AG3,AB3:AC3)/6</f>
        <v>69.462029828948545</v>
      </c>
    </row>
    <row r="4" spans="1:36" ht="16.5" thickBot="1" x14ac:dyDescent="0.3">
      <c r="A4" s="8">
        <v>3</v>
      </c>
      <c r="B4" s="31" t="s">
        <v>231</v>
      </c>
      <c r="C4" s="13" t="s">
        <v>230</v>
      </c>
      <c r="D4" s="3" t="s">
        <v>229</v>
      </c>
      <c r="E4" s="15">
        <f>((1/100000)*3596160)/10</f>
        <v>3.5961600000000002</v>
      </c>
      <c r="F4" s="24">
        <f>(((1/100000)*3596160)/10)/(((1/100000)*7348620/2)/10)</f>
        <v>0.97873070045804511</v>
      </c>
      <c r="G4" s="23">
        <v>7.6080699999999997</v>
      </c>
      <c r="H4" s="25">
        <f>7.60807/((211.99865/2)/10)</f>
        <v>0.71774702338906404</v>
      </c>
      <c r="I4" s="16">
        <v>5.7290999999999999</v>
      </c>
      <c r="J4" s="3">
        <v>3</v>
      </c>
      <c r="K4" s="24">
        <v>0.90903465346534662</v>
      </c>
      <c r="L4" s="17">
        <v>435.87393837000002</v>
      </c>
      <c r="M4" s="26">
        <f>435.87393837/(1246.530862135/2)</f>
        <v>0.69933918462869893</v>
      </c>
      <c r="N4" s="3">
        <v>1</v>
      </c>
      <c r="O4" s="9">
        <v>1.5</v>
      </c>
      <c r="P4" s="25">
        <v>0.39473684210526316</v>
      </c>
      <c r="Q4" s="21">
        <v>36.18</v>
      </c>
      <c r="R4" s="28">
        <v>0.59535955241072891</v>
      </c>
      <c r="S4" s="2">
        <f t="shared" si="0"/>
        <v>96.154934339839002</v>
      </c>
      <c r="T4" s="2">
        <f t="shared" si="1"/>
        <v>83.094502053356564</v>
      </c>
      <c r="U4" s="2">
        <f t="shared" si="2"/>
        <v>20.253201090005192</v>
      </c>
      <c r="V4" s="2">
        <f t="shared" si="3"/>
        <v>106.53025174837433</v>
      </c>
      <c r="W4" s="2">
        <f t="shared" si="4"/>
        <v>96.696877522712924</v>
      </c>
      <c r="X4" s="2">
        <f t="shared" si="5"/>
        <v>105.86517463599372</v>
      </c>
      <c r="Y4" s="2">
        <f t="shared" si="6"/>
        <v>20.91206770801665</v>
      </c>
      <c r="Z4" s="2">
        <f t="shared" si="7"/>
        <v>135.18207284945981</v>
      </c>
      <c r="AA4" s="2">
        <f t="shared" si="8"/>
        <v>103.92063552495607</v>
      </c>
      <c r="AB4" s="1">
        <f t="shared" si="9"/>
        <v>83.273223586984969</v>
      </c>
      <c r="AC4" s="1">
        <f t="shared" si="10"/>
        <v>63.699447806811385</v>
      </c>
      <c r="AD4" s="1">
        <f t="shared" si="11"/>
        <v>78.046020062532577</v>
      </c>
      <c r="AE4" s="1">
        <f t="shared" si="12"/>
        <v>62.318859899783995</v>
      </c>
      <c r="AF4" s="1">
        <f t="shared" si="13"/>
        <v>88.288791344621615</v>
      </c>
      <c r="AG4" s="1">
        <f t="shared" si="14"/>
        <v>68.715015564448024</v>
      </c>
      <c r="AH4" s="1">
        <f t="shared" si="15"/>
        <v>83.061587820169208</v>
      </c>
      <c r="AI4" s="1">
        <f t="shared" si="16"/>
        <v>67.334427657420633</v>
      </c>
      <c r="AJ4" s="1">
        <f t="shared" si="17"/>
        <v>72.271627643345099</v>
      </c>
    </row>
    <row r="5" spans="1:36" ht="16.5" thickBot="1" x14ac:dyDescent="0.3">
      <c r="A5" s="8">
        <v>4</v>
      </c>
      <c r="B5" s="32" t="s">
        <v>228</v>
      </c>
      <c r="C5" s="13" t="s">
        <v>227</v>
      </c>
      <c r="D5" s="3" t="s">
        <v>41</v>
      </c>
      <c r="E5" s="15">
        <f>((1/100000)*3463060)/10</f>
        <v>3.46306</v>
      </c>
      <c r="F5" s="24">
        <f>(((1/100000)*3463060)/10)/(((1/100000)*7348620/2)/10)</f>
        <v>0.94250621205069784</v>
      </c>
      <c r="G5" s="23">
        <v>9.1575400000000009</v>
      </c>
      <c r="H5" s="25">
        <f>9.15754/((211.99865/2)/10)</f>
        <v>0.86392436932971051</v>
      </c>
      <c r="I5" s="16">
        <v>5.1045999999999996</v>
      </c>
      <c r="J5" s="5">
        <v>11</v>
      </c>
      <c r="K5" s="24">
        <v>0.80994541761868488</v>
      </c>
      <c r="L5" s="17">
        <v>467.45578683999997</v>
      </c>
      <c r="M5" s="26">
        <f>467.45578684/(1246.530862135/2)</f>
        <v>0.75001077155741414</v>
      </c>
      <c r="N5" s="3">
        <v>1</v>
      </c>
      <c r="O5" s="9">
        <v>1.9</v>
      </c>
      <c r="P5" s="25">
        <v>0.5</v>
      </c>
      <c r="Q5" s="21">
        <v>42.55</v>
      </c>
      <c r="R5" s="28">
        <v>0.70018101036695735</v>
      </c>
      <c r="S5" s="2">
        <f t="shared" si="0"/>
        <v>105.20173778151482</v>
      </c>
      <c r="T5" s="2">
        <f t="shared" si="1"/>
        <v>139.64420338205255</v>
      </c>
      <c r="U5" s="2">
        <f t="shared" si="2"/>
        <v>9.157001345163394</v>
      </c>
      <c r="V5" s="2">
        <f t="shared" si="3"/>
        <v>147.83263084825671</v>
      </c>
      <c r="W5" s="2">
        <f t="shared" si="4"/>
        <v>84.063443095950845</v>
      </c>
      <c r="X5" s="2">
        <f t="shared" si="5"/>
        <v>121.06013268119673</v>
      </c>
      <c r="Y5" s="2">
        <f t="shared" si="6"/>
        <v>8.4307563735094249</v>
      </c>
      <c r="Z5" s="2">
        <f t="shared" si="7"/>
        <v>125.49284510822179</v>
      </c>
      <c r="AA5" s="2">
        <f t="shared" si="8"/>
        <v>120.54916548286558</v>
      </c>
      <c r="AB5" s="1">
        <f t="shared" si="9"/>
        <v>83.187965903802336</v>
      </c>
      <c r="AC5" s="1">
        <f t="shared" si="10"/>
        <v>77.294327699728285</v>
      </c>
      <c r="AD5" s="1">
        <f t="shared" si="11"/>
        <v>73.245906321401364</v>
      </c>
      <c r="AE5" s="1">
        <f t="shared" si="12"/>
        <v>68.750807866806056</v>
      </c>
      <c r="AF5" s="1">
        <f t="shared" si="13"/>
        <v>88.192491162976268</v>
      </c>
      <c r="AG5" s="1">
        <f t="shared" si="14"/>
        <v>82.298852958902216</v>
      </c>
      <c r="AH5" s="1">
        <f t="shared" si="15"/>
        <v>78.250431580575295</v>
      </c>
      <c r="AI5" s="1">
        <f t="shared" si="16"/>
        <v>73.755333125979988</v>
      </c>
      <c r="AJ5" s="1">
        <f t="shared" si="17"/>
        <v>78.91329645303253</v>
      </c>
    </row>
    <row r="6" spans="1:36" ht="16.5" thickBot="1" x14ac:dyDescent="0.3">
      <c r="A6" s="8">
        <v>5</v>
      </c>
      <c r="B6" s="31" t="s">
        <v>226</v>
      </c>
      <c r="C6" s="11" t="s">
        <v>225</v>
      </c>
      <c r="D6" s="3" t="s">
        <v>114</v>
      </c>
      <c r="E6" s="15">
        <f>((1/100000)*2942800)/10</f>
        <v>2.9428000000000001</v>
      </c>
      <c r="F6" s="24">
        <f>(((1/100000)*2942800)/10)/(((1/100000)*7348620/2)/10)</f>
        <v>0.80091228012878601</v>
      </c>
      <c r="G6" s="23">
        <v>6.1884630000000005</v>
      </c>
      <c r="H6" s="25">
        <f>6.188463/((211.99865/2)/10)</f>
        <v>0.58382098187889409</v>
      </c>
      <c r="I6" s="16">
        <v>4.7527999999999997</v>
      </c>
      <c r="J6" s="3">
        <v>24</v>
      </c>
      <c r="K6" s="24">
        <v>0.75412541254125409</v>
      </c>
      <c r="L6" s="17">
        <v>294.12526946399998</v>
      </c>
      <c r="M6" s="26">
        <f>294.125269464/(1246.530862135/2)</f>
        <v>0.47191012817803152</v>
      </c>
      <c r="N6" s="3">
        <v>1</v>
      </c>
      <c r="O6" s="9">
        <v>1.7</v>
      </c>
      <c r="P6" s="25">
        <v>0.44736842105263158</v>
      </c>
      <c r="Q6" s="21">
        <v>35.75</v>
      </c>
      <c r="R6" s="28">
        <v>0.58828369261148594</v>
      </c>
      <c r="S6" s="2">
        <f t="shared" si="0"/>
        <v>67.158810424107003</v>
      </c>
      <c r="T6" s="2">
        <f t="shared" si="1"/>
        <v>55.165896866878796</v>
      </c>
      <c r="U6" s="2">
        <f t="shared" si="2"/>
        <v>0.68871820494946689</v>
      </c>
      <c r="V6" s="2">
        <f t="shared" si="3"/>
        <v>47.18642587548257</v>
      </c>
      <c r="W6" s="2">
        <f t="shared" si="4"/>
        <v>61.277096484391535</v>
      </c>
      <c r="X6" s="2">
        <f t="shared" si="5"/>
        <v>68.83048085935215</v>
      </c>
      <c r="Y6" s="2">
        <f t="shared" si="6"/>
        <v>0.26374403393951695</v>
      </c>
      <c r="Z6" s="2">
        <f t="shared" si="7"/>
        <v>59.979664836314214</v>
      </c>
      <c r="AA6" s="2">
        <f t="shared" si="8"/>
        <v>59.933062557754376</v>
      </c>
      <c r="AB6" s="1">
        <f t="shared" si="9"/>
        <v>71.252631535974729</v>
      </c>
      <c r="AC6" s="1">
        <f t="shared" si="10"/>
        <v>54.970784167232843</v>
      </c>
      <c r="AD6" s="1">
        <f t="shared" si="11"/>
        <v>67.743616466909842</v>
      </c>
      <c r="AE6" s="1">
        <f t="shared" si="12"/>
        <v>46.577470139668151</v>
      </c>
      <c r="AF6" s="1">
        <f t="shared" si="13"/>
        <v>74.775513324946104</v>
      </c>
      <c r="AG6" s="1">
        <f t="shared" si="14"/>
        <v>58.493665956204211</v>
      </c>
      <c r="AH6" s="1">
        <f t="shared" si="15"/>
        <v>71.266498255881203</v>
      </c>
      <c r="AI6" s="1">
        <f t="shared" si="16"/>
        <v>50.100351928639512</v>
      </c>
      <c r="AJ6" s="1">
        <f t="shared" si="17"/>
        <v>59.361736175444264</v>
      </c>
    </row>
    <row r="7" spans="1:36" ht="16.5" thickBot="1" x14ac:dyDescent="0.3">
      <c r="A7" s="8">
        <v>6</v>
      </c>
      <c r="B7" s="31" t="s">
        <v>224</v>
      </c>
      <c r="C7" s="11" t="s">
        <v>223</v>
      </c>
      <c r="D7" s="3" t="s">
        <v>24</v>
      </c>
      <c r="E7" s="15">
        <f>((1/100000)*2713380)/10</f>
        <v>2.7133799999999999</v>
      </c>
      <c r="F7" s="24">
        <f>(((1/100000)*2713380)/10)/(((1/100000)*7348620/2)/10)</f>
        <v>0.73847334601598658</v>
      </c>
      <c r="G7" s="23">
        <v>5.2218010000000001</v>
      </c>
      <c r="H7" s="25">
        <f>5.221801/((211.99865/2)/10)</f>
        <v>0.49262587285343568</v>
      </c>
      <c r="I7" s="16">
        <v>4.7417999999999996</v>
      </c>
      <c r="J7" s="3">
        <v>26</v>
      </c>
      <c r="K7" s="24">
        <v>0.75238004569687733</v>
      </c>
      <c r="L7" s="17">
        <v>247.60735981799999</v>
      </c>
      <c r="M7" s="26">
        <f>247.607359818/(1246.530862135/2)</f>
        <v>0.39727433526019507</v>
      </c>
      <c r="N7" s="3">
        <v>1</v>
      </c>
      <c r="O7" s="9">
        <v>2.5</v>
      </c>
      <c r="P7" s="25">
        <v>0.65789473684210531</v>
      </c>
      <c r="Q7" s="21">
        <v>40.65</v>
      </c>
      <c r="R7" s="28">
        <v>0.66891558334704615</v>
      </c>
      <c r="S7" s="2">
        <f t="shared" si="0"/>
        <v>84.696438812131873</v>
      </c>
      <c r="T7" s="2">
        <f t="shared" si="1"/>
        <v>57.265991288601782</v>
      </c>
      <c r="U7" s="2">
        <f t="shared" si="2"/>
        <v>4.3377808583145594</v>
      </c>
      <c r="V7" s="2">
        <f t="shared" si="3"/>
        <v>59.772711243605784</v>
      </c>
      <c r="W7" s="2">
        <f t="shared" si="4"/>
        <v>45.443632360340473</v>
      </c>
      <c r="X7" s="2">
        <f t="shared" si="5"/>
        <v>30.24357673007168</v>
      </c>
      <c r="Y7" s="2">
        <f t="shared" si="6"/>
        <v>0.52977089325317195</v>
      </c>
      <c r="Z7" s="2">
        <f t="shared" si="7"/>
        <v>23.340430519628555</v>
      </c>
      <c r="AA7" s="2">
        <f t="shared" si="8"/>
        <v>50.127130159063363</v>
      </c>
      <c r="AB7" s="1">
        <f t="shared" si="9"/>
        <v>71.832869372251622</v>
      </c>
      <c r="AC7" s="1">
        <f t="shared" si="10"/>
        <v>53.394308885060312</v>
      </c>
      <c r="AD7" s="1">
        <f t="shared" si="11"/>
        <v>72.875871848318425</v>
      </c>
      <c r="AE7" s="1">
        <f t="shared" si="12"/>
        <v>46.242943565567259</v>
      </c>
      <c r="AF7" s="1">
        <f t="shared" si="13"/>
        <v>72.108390534875141</v>
      </c>
      <c r="AG7" s="1">
        <f t="shared" si="14"/>
        <v>53.669830047683831</v>
      </c>
      <c r="AH7" s="1">
        <f t="shared" si="15"/>
        <v>73.151393010941959</v>
      </c>
      <c r="AI7" s="1">
        <f t="shared" si="16"/>
        <v>46.518464728190786</v>
      </c>
      <c r="AJ7" s="1">
        <f t="shared" si="17"/>
        <v>57.294467855604815</v>
      </c>
    </row>
    <row r="8" spans="1:36" ht="16.5" thickBot="1" x14ac:dyDescent="0.3">
      <c r="A8" s="8">
        <v>7</v>
      </c>
      <c r="B8" s="31" t="s">
        <v>222</v>
      </c>
      <c r="C8" s="3" t="s">
        <v>221</v>
      </c>
      <c r="D8" s="3" t="s">
        <v>119</v>
      </c>
      <c r="E8" s="15">
        <f>((1/100000)*2488090)/10</f>
        <v>2.4880900000000001</v>
      </c>
      <c r="F8" s="24">
        <f>(((1/100000)*2488090)/10)/(((1/100000)*7348620/2)/10)</f>
        <v>0.67715843246759244</v>
      </c>
      <c r="G8" s="23">
        <v>7.2393619999999999</v>
      </c>
      <c r="H8" s="25">
        <f>7.239362/((211.99865/2)/10)</f>
        <v>0.68296302830230293</v>
      </c>
      <c r="I8" s="16">
        <v>6.3023999999999996</v>
      </c>
      <c r="J8" s="3">
        <v>1</v>
      </c>
      <c r="K8" s="24">
        <v>1</v>
      </c>
      <c r="L8" s="17">
        <v>456.25355068800002</v>
      </c>
      <c r="M8" s="26">
        <f>456.253550688/(1246.530862135/2)</f>
        <v>0.73203731178632858</v>
      </c>
      <c r="N8" s="3">
        <v>1</v>
      </c>
      <c r="O8" s="9">
        <v>1.2</v>
      </c>
      <c r="P8" s="25">
        <v>0.31578947368421051</v>
      </c>
      <c r="Q8" s="21">
        <v>49.35</v>
      </c>
      <c r="R8" s="28">
        <v>0.81207832812242886</v>
      </c>
      <c r="S8" s="2">
        <f t="shared" si="0"/>
        <v>28.080840219454245</v>
      </c>
      <c r="T8" s="2">
        <f t="shared" si="1"/>
        <v>64.316536403315126</v>
      </c>
      <c r="U8" s="2">
        <f t="shared" si="2"/>
        <v>30.482905174223589</v>
      </c>
      <c r="V8" s="2">
        <f t="shared" si="3"/>
        <v>100.22761948262547</v>
      </c>
      <c r="W8" s="2">
        <f t="shared" si="4"/>
        <v>28.370335963965914</v>
      </c>
      <c r="X8" s="2">
        <f t="shared" si="5"/>
        <v>56.708934397756252</v>
      </c>
      <c r="Y8" s="2">
        <f t="shared" si="6"/>
        <v>34.807465704914364</v>
      </c>
      <c r="Z8" s="2">
        <f t="shared" si="7"/>
        <v>97.720841253444945</v>
      </c>
      <c r="AA8" s="2">
        <f t="shared" si="8"/>
        <v>62.57085128676033</v>
      </c>
      <c r="AB8" s="1">
        <f t="shared" si="9"/>
        <v>58.681619277174704</v>
      </c>
      <c r="AC8" s="1">
        <f t="shared" si="10"/>
        <v>59.116963964777995</v>
      </c>
      <c r="AD8" s="1">
        <f t="shared" si="11"/>
        <v>82.89473684210526</v>
      </c>
      <c r="AE8" s="1">
        <f t="shared" si="12"/>
        <v>62.797535226079916</v>
      </c>
      <c r="AF8" s="1">
        <f t="shared" si="13"/>
        <v>71.088840638130151</v>
      </c>
      <c r="AG8" s="1">
        <f t="shared" si="14"/>
        <v>71.524185325733441</v>
      </c>
      <c r="AH8" s="1">
        <f t="shared" si="15"/>
        <v>95.301958203060721</v>
      </c>
      <c r="AI8" s="1">
        <f t="shared" si="16"/>
        <v>75.204756587035376</v>
      </c>
      <c r="AJ8" s="1">
        <f t="shared" si="17"/>
        <v>66.402316836488595</v>
      </c>
    </row>
    <row r="9" spans="1:36" ht="16.5" thickBot="1" x14ac:dyDescent="0.3">
      <c r="A9" s="8">
        <v>8</v>
      </c>
      <c r="B9" s="31" t="s">
        <v>220</v>
      </c>
      <c r="C9" s="11" t="s">
        <v>219</v>
      </c>
      <c r="D9" s="3" t="s">
        <v>24</v>
      </c>
      <c r="E9" s="15">
        <f>((1/100000)*2450800)/10</f>
        <v>2.4508000000000001</v>
      </c>
      <c r="F9" s="24">
        <f>(((1/100000)*2450800)/10)/(((1/100000)*7348620/2)/10)</f>
        <v>0.66700958819479017</v>
      </c>
      <c r="G9" s="23">
        <v>4.6695709999999995</v>
      </c>
      <c r="H9" s="25">
        <f>4.669571/((211.99865/2)/10)</f>
        <v>0.44052837128915678</v>
      </c>
      <c r="I9" s="16">
        <v>4.4760999999999997</v>
      </c>
      <c r="J9" s="12">
        <v>58</v>
      </c>
      <c r="K9" s="24">
        <v>0.71022150291952268</v>
      </c>
      <c r="L9" s="17">
        <v>209.01466753099999</v>
      </c>
      <c r="M9" s="26">
        <f>209.014667531/(1246.530862135/2)</f>
        <v>0.33535417995669903</v>
      </c>
      <c r="N9" s="3">
        <v>1</v>
      </c>
      <c r="O9" s="9">
        <v>2.5</v>
      </c>
      <c r="P9" s="25">
        <v>0.65789473684210531</v>
      </c>
      <c r="Q9" s="21">
        <v>36.99</v>
      </c>
      <c r="R9" s="28">
        <v>0.60868849761395427</v>
      </c>
      <c r="S9" s="2">
        <f t="shared" si="0"/>
        <v>66.822941217512039</v>
      </c>
      <c r="T9" s="2">
        <f t="shared" si="1"/>
        <v>40.634373505904819</v>
      </c>
      <c r="U9" s="2">
        <f t="shared" si="2"/>
        <v>-1.5086378801506157</v>
      </c>
      <c r="V9" s="2">
        <f t="shared" si="3"/>
        <v>34.870143382067056</v>
      </c>
      <c r="W9" s="2">
        <f t="shared" si="4"/>
        <v>33.555918225364223</v>
      </c>
      <c r="X9" s="2">
        <f t="shared" si="5"/>
        <v>24.439473552510378</v>
      </c>
      <c r="Y9" s="2">
        <f t="shared" si="6"/>
        <v>-5.4549009667454555</v>
      </c>
      <c r="Z9" s="2">
        <f t="shared" si="7"/>
        <v>11.102210315213895</v>
      </c>
      <c r="AA9" s="2">
        <f t="shared" si="8"/>
        <v>35.237510033095397</v>
      </c>
      <c r="AB9" s="1">
        <f t="shared" si="9"/>
        <v>66.473087535661904</v>
      </c>
      <c r="AC9" s="1">
        <f t="shared" si="10"/>
        <v>49.486996267739393</v>
      </c>
      <c r="AD9" s="1">
        <f t="shared" si="11"/>
        <v>69.713981140016841</v>
      </c>
      <c r="AE9" s="1">
        <f t="shared" si="12"/>
        <v>41.598931917805061</v>
      </c>
      <c r="AF9" s="1">
        <f t="shared" si="13"/>
        <v>65.242931554958133</v>
      </c>
      <c r="AG9" s="1">
        <f t="shared" si="14"/>
        <v>48.256840287035615</v>
      </c>
      <c r="AH9" s="1">
        <f t="shared" si="15"/>
        <v>68.483825159313056</v>
      </c>
      <c r="AI9" s="1">
        <f t="shared" si="16"/>
        <v>40.36877593710129</v>
      </c>
      <c r="AJ9" s="1">
        <f t="shared" si="17"/>
        <v>51.904593916716898</v>
      </c>
    </row>
    <row r="10" spans="1:36" ht="16.5" thickBot="1" x14ac:dyDescent="0.3">
      <c r="A10" s="8">
        <v>9</v>
      </c>
      <c r="B10" s="31" t="s">
        <v>218</v>
      </c>
      <c r="C10" s="11" t="s">
        <v>217</v>
      </c>
      <c r="D10" s="3" t="s">
        <v>216</v>
      </c>
      <c r="E10" s="15">
        <f>((1/100000)*2424240)/10</f>
        <v>2.4242400000000002</v>
      </c>
      <c r="F10" s="24">
        <f>(((1/100000)*2424240)/10)/(((1/100000)*7348620/2)/10)</f>
        <v>0.65978102010989814</v>
      </c>
      <c r="G10" s="23">
        <v>5.8191009999999999</v>
      </c>
      <c r="H10" s="25">
        <f>5.819101/((211.99865/2)/10)</f>
        <v>0.54897528828603392</v>
      </c>
      <c r="I10" s="16">
        <v>5.2792000000000003</v>
      </c>
      <c r="J10" s="3">
        <v>6</v>
      </c>
      <c r="K10" s="24">
        <v>0.83764914953033776</v>
      </c>
      <c r="L10" s="17">
        <v>307.20197999200002</v>
      </c>
      <c r="M10" s="26">
        <f>307.201979992/(1246.530862135/2)</f>
        <v>0.49289109371241524</v>
      </c>
      <c r="N10" s="3">
        <v>1</v>
      </c>
      <c r="O10" s="9">
        <v>1.9</v>
      </c>
      <c r="P10" s="25">
        <v>0.5</v>
      </c>
      <c r="Q10" s="21">
        <v>57.58</v>
      </c>
      <c r="R10" s="28">
        <v>0.94750699358235968</v>
      </c>
      <c r="S10" s="2">
        <f t="shared" si="0"/>
        <v>43.647023383787598</v>
      </c>
      <c r="T10" s="2">
        <f t="shared" si="1"/>
        <v>52.280396650705882</v>
      </c>
      <c r="U10" s="2">
        <f t="shared" si="2"/>
        <v>12.890655781331887</v>
      </c>
      <c r="V10" s="2">
        <f t="shared" si="3"/>
        <v>62.870322812519021</v>
      </c>
      <c r="W10" s="2">
        <f t="shared" si="4"/>
        <v>20.794469049712589</v>
      </c>
      <c r="X10" s="2">
        <f t="shared" si="5"/>
        <v>11.970078623039356</v>
      </c>
      <c r="Y10" s="2">
        <f t="shared" si="6"/>
        <v>13.882257810230385</v>
      </c>
      <c r="Z10" s="2">
        <f t="shared" si="7"/>
        <v>18.546398795393614</v>
      </c>
      <c r="AA10" s="2">
        <f t="shared" si="8"/>
        <v>35.018114885859667</v>
      </c>
      <c r="AB10" s="1">
        <f t="shared" si="9"/>
        <v>61.983576508242358</v>
      </c>
      <c r="AC10" s="1">
        <f t="shared" si="10"/>
        <v>53.673146621452553</v>
      </c>
      <c r="AD10" s="1">
        <f t="shared" si="11"/>
        <v>75.323686214775336</v>
      </c>
      <c r="AE10" s="1">
        <f t="shared" si="12"/>
        <v>49.466832028431142</v>
      </c>
      <c r="AF10" s="1">
        <f t="shared" si="13"/>
        <v>73.171251347801359</v>
      </c>
      <c r="AG10" s="1">
        <f t="shared" si="14"/>
        <v>64.860821461011525</v>
      </c>
      <c r="AH10" s="1">
        <f t="shared" si="15"/>
        <v>86.51136105433433</v>
      </c>
      <c r="AI10" s="1">
        <f t="shared" si="16"/>
        <v>60.654506867990129</v>
      </c>
      <c r="AJ10" s="1">
        <f t="shared" si="17"/>
        <v>60.635022472488174</v>
      </c>
    </row>
    <row r="11" spans="1:36" ht="16.5" thickBot="1" x14ac:dyDescent="0.3">
      <c r="A11" s="8">
        <v>10</v>
      </c>
      <c r="B11" s="31" t="s">
        <v>215</v>
      </c>
      <c r="C11" s="11" t="s">
        <v>214</v>
      </c>
      <c r="D11" s="3" t="s">
        <v>27</v>
      </c>
      <c r="E11" s="15">
        <f>((1/100000)*2412730)/10</f>
        <v>2.4127300000000003</v>
      </c>
      <c r="F11" s="24">
        <f>(((1/100000)*2412730)/10)/(((1/100000)*7348620/2)/10)</f>
        <v>0.65664845916648296</v>
      </c>
      <c r="G11" s="23">
        <v>4.1121980000000002</v>
      </c>
      <c r="H11" s="25">
        <f>4.112198/((211.99865/2)/10)</f>
        <v>0.38794567795596818</v>
      </c>
      <c r="I11" s="16">
        <v>5.1947999999999999</v>
      </c>
      <c r="J11" s="3">
        <v>8</v>
      </c>
      <c r="K11" s="24">
        <v>0.82425742574257432</v>
      </c>
      <c r="L11" s="17">
        <v>213.62046170400001</v>
      </c>
      <c r="M11" s="26">
        <f>213.620461704/(1246.530862135/2)</f>
        <v>0.34274395956490133</v>
      </c>
      <c r="N11" s="3">
        <v>1</v>
      </c>
      <c r="O11" s="9">
        <v>1.3</v>
      </c>
      <c r="P11" s="25">
        <v>0.34210526315789475</v>
      </c>
      <c r="Q11" s="21">
        <v>37.619999999999997</v>
      </c>
      <c r="R11" s="28">
        <v>0.61905545499424053</v>
      </c>
      <c r="S11" s="2">
        <f t="shared" si="0"/>
        <v>26.57468422587425</v>
      </c>
      <c r="T11" s="2">
        <f t="shared" si="1"/>
        <v>-4.859803488039077</v>
      </c>
      <c r="U11" s="2">
        <f t="shared" si="2"/>
        <v>8.0425768616301951</v>
      </c>
      <c r="V11" s="2">
        <f t="shared" si="3"/>
        <v>-3.8872654753338622</v>
      </c>
      <c r="W11" s="2">
        <f t="shared" si="4"/>
        <v>31.105569222875118</v>
      </c>
      <c r="X11" s="2">
        <f t="shared" si="5"/>
        <v>8.3102923543902421</v>
      </c>
      <c r="Y11" s="2">
        <f t="shared" si="6"/>
        <v>9.7956564508844934</v>
      </c>
      <c r="Z11" s="2">
        <f t="shared" si="7"/>
        <v>12.253949304212426</v>
      </c>
      <c r="AA11" s="2">
        <f t="shared" si="8"/>
        <v>11.58290435732985</v>
      </c>
      <c r="AB11" s="1">
        <f t="shared" si="9"/>
        <v>57.801266016433594</v>
      </c>
      <c r="AC11" s="1">
        <f t="shared" si="10"/>
        <v>37.648557425644981</v>
      </c>
      <c r="AD11" s="1">
        <f t="shared" si="11"/>
        <v>70.371938509640444</v>
      </c>
      <c r="AE11" s="1">
        <f t="shared" si="12"/>
        <v>34.258428546314967</v>
      </c>
      <c r="AF11" s="1">
        <f t="shared" si="13"/>
        <v>64.725020812342237</v>
      </c>
      <c r="AG11" s="1">
        <f t="shared" si="14"/>
        <v>44.572312221553624</v>
      </c>
      <c r="AH11" s="1">
        <f t="shared" si="15"/>
        <v>77.295693305549079</v>
      </c>
      <c r="AI11" s="1">
        <f t="shared" si="16"/>
        <v>41.18218334222361</v>
      </c>
      <c r="AJ11" s="1">
        <f t="shared" si="17"/>
        <v>46.697961394085496</v>
      </c>
    </row>
    <row r="12" spans="1:36" ht="16.5" thickBot="1" x14ac:dyDescent="0.3">
      <c r="A12" s="8">
        <v>12</v>
      </c>
      <c r="B12" s="31" t="s">
        <v>213</v>
      </c>
      <c r="C12" s="11" t="s">
        <v>212</v>
      </c>
      <c r="D12" s="3" t="s">
        <v>79</v>
      </c>
      <c r="E12" s="15">
        <f>((1/100000)*1890100)/10</f>
        <v>1.8900999999999999</v>
      </c>
      <c r="F12" s="24">
        <f>(((1/100000)*1890100)/10)/(((1/100000)*7348620/2)/10)</f>
        <v>0.51440950817976694</v>
      </c>
      <c r="G12" s="23">
        <v>3.2518760000000002</v>
      </c>
      <c r="H12" s="25">
        <f>3.251876/((211.99865/2)/10)</f>
        <v>0.30678270828611409</v>
      </c>
      <c r="I12" s="16">
        <v>4.4752000000000001</v>
      </c>
      <c r="J12" s="3">
        <v>59</v>
      </c>
      <c r="K12" s="24">
        <v>0.71007870017771013</v>
      </c>
      <c r="L12" s="17">
        <v>145.527954752</v>
      </c>
      <c r="M12" s="26">
        <f>145.527954752/(1246.530862135/2)</f>
        <v>0.2334927424143298</v>
      </c>
      <c r="N12" s="3">
        <v>1</v>
      </c>
      <c r="O12" s="9">
        <v>1.2</v>
      </c>
      <c r="P12" s="25">
        <v>0.31578947368421051</v>
      </c>
      <c r="Q12" s="21">
        <v>29.61</v>
      </c>
      <c r="R12" s="28">
        <v>0.48724699687345724</v>
      </c>
      <c r="S12" s="2">
        <f t="shared" si="0"/>
        <v>-2.7022350080622317</v>
      </c>
      <c r="T12" s="2">
        <f t="shared" si="1"/>
        <v>-26.190042557194019</v>
      </c>
      <c r="U12" s="2">
        <f t="shared" si="2"/>
        <v>-7.3468682984759113</v>
      </c>
      <c r="V12" s="2">
        <f t="shared" si="3"/>
        <v>-36.13481822940566</v>
      </c>
      <c r="W12" s="2">
        <f t="shared" si="4"/>
        <v>6.5786837079395468</v>
      </c>
      <c r="X12" s="2">
        <f t="shared" si="5"/>
        <v>0.53018994538219033</v>
      </c>
      <c r="Y12" s="2">
        <f t="shared" si="6"/>
        <v>-6.1749275192661486</v>
      </c>
      <c r="Z12" s="2">
        <f t="shared" si="7"/>
        <v>-10.540971546989226</v>
      </c>
      <c r="AA12" s="2">
        <f t="shared" si="8"/>
        <v>-11.409865614721566</v>
      </c>
      <c r="AB12" s="1">
        <f t="shared" si="9"/>
        <v>46.475449955587791</v>
      </c>
      <c r="AC12" s="1">
        <f t="shared" si="10"/>
        <v>30.903439963563816</v>
      </c>
      <c r="AD12" s="1">
        <f t="shared" si="11"/>
        <v>61.150639355433526</v>
      </c>
      <c r="AE12" s="1">
        <f t="shared" si="12"/>
        <v>25.406692523179998</v>
      </c>
      <c r="AF12" s="1">
        <f t="shared" si="13"/>
        <v>50.761888035318961</v>
      </c>
      <c r="AG12" s="1">
        <f t="shared" si="14"/>
        <v>35.189878043294989</v>
      </c>
      <c r="AH12" s="1">
        <f t="shared" si="15"/>
        <v>65.437077435164696</v>
      </c>
      <c r="AI12" s="1">
        <f t="shared" si="16"/>
        <v>29.693130602911168</v>
      </c>
      <c r="AJ12" s="1">
        <f t="shared" si="17"/>
        <v>36.405079853976126</v>
      </c>
    </row>
    <row r="13" spans="1:36" ht="16.5" thickBot="1" x14ac:dyDescent="0.3">
      <c r="A13" s="8">
        <v>13</v>
      </c>
      <c r="B13" s="31" t="s">
        <v>211</v>
      </c>
      <c r="C13" s="11" t="s">
        <v>210</v>
      </c>
      <c r="D13" s="3" t="s">
        <v>76</v>
      </c>
      <c r="E13" s="15">
        <f>((1/100000)*1853030)/10</f>
        <v>1.85303</v>
      </c>
      <c r="F13" s="24">
        <f>(((1/100000)*1853030)/10)/(((1/100000)*7348620/2)/10)</f>
        <v>0.50432053909441488</v>
      </c>
      <c r="G13" s="23">
        <v>5.4564279999999998</v>
      </c>
      <c r="H13" s="25">
        <f>5.456428/((211.99865/2)/10)</f>
        <v>0.51476063644744907</v>
      </c>
      <c r="I13" s="16">
        <v>4.9160000000000004</v>
      </c>
      <c r="J13" s="3">
        <v>17</v>
      </c>
      <c r="K13" s="24">
        <v>0.78002030972328018</v>
      </c>
      <c r="L13" s="17">
        <v>268.23800047999998</v>
      </c>
      <c r="M13" s="26">
        <f>268.23800048/(1246.530862135/2)</f>
        <v>0.430375225560921</v>
      </c>
      <c r="N13" s="3">
        <v>1</v>
      </c>
      <c r="O13" s="9">
        <v>2.1</v>
      </c>
      <c r="P13" s="25">
        <v>0.55263157894736847</v>
      </c>
      <c r="Q13" s="21">
        <v>30.21</v>
      </c>
      <c r="R13" s="28">
        <v>0.49712028961658711</v>
      </c>
      <c r="S13" s="2">
        <f t="shared" si="0"/>
        <v>14.753477664572529</v>
      </c>
      <c r="T13" s="2">
        <f t="shared" si="1"/>
        <v>49.314238663974436</v>
      </c>
      <c r="U13" s="2">
        <f t="shared" si="2"/>
        <v>6.1203440535532394</v>
      </c>
      <c r="V13" s="2">
        <f t="shared" si="3"/>
        <v>51.202399189146831</v>
      </c>
      <c r="W13" s="2">
        <f t="shared" si="4"/>
        <v>4.1941199330803585</v>
      </c>
      <c r="X13" s="2">
        <f t="shared" si="5"/>
        <v>66.515954032358707</v>
      </c>
      <c r="Y13" s="2">
        <f t="shared" si="6"/>
        <v>3.1288713153216037</v>
      </c>
      <c r="Z13" s="2">
        <f t="shared" si="7"/>
        <v>62.8202498485403</v>
      </c>
      <c r="AA13" s="2">
        <f t="shared" si="8"/>
        <v>41.466739888612189</v>
      </c>
      <c r="AB13" s="1">
        <f t="shared" si="9"/>
        <v>51.639829905765332</v>
      </c>
      <c r="AC13" s="1">
        <f t="shared" si="10"/>
        <v>52.422837207242893</v>
      </c>
      <c r="AD13" s="1">
        <f t="shared" si="11"/>
        <v>72.317312702930224</v>
      </c>
      <c r="AE13" s="1">
        <f t="shared" si="12"/>
        <v>46.093931390753283</v>
      </c>
      <c r="AF13" s="1">
        <f t="shared" si="13"/>
        <v>50.252047672495792</v>
      </c>
      <c r="AG13" s="1">
        <f t="shared" si="14"/>
        <v>51.035054973973359</v>
      </c>
      <c r="AH13" s="1">
        <f t="shared" si="15"/>
        <v>70.929530469660691</v>
      </c>
      <c r="AI13" s="1">
        <f t="shared" si="16"/>
        <v>44.706149157483758</v>
      </c>
      <c r="AJ13" s="1">
        <f t="shared" si="17"/>
        <v>49.358308384619072</v>
      </c>
    </row>
    <row r="14" spans="1:36" ht="16.5" thickBot="1" x14ac:dyDescent="0.3">
      <c r="A14" s="8">
        <v>15</v>
      </c>
      <c r="B14" s="31" t="s">
        <v>209</v>
      </c>
      <c r="C14" s="11" t="s">
        <v>208</v>
      </c>
      <c r="D14" s="3" t="s">
        <v>207</v>
      </c>
      <c r="E14" s="15">
        <f>((1/100000)*1742530)/10</f>
        <v>1.7425299999999999</v>
      </c>
      <c r="F14" s="24">
        <f>(((1/100000)*1742530)/10)/(((1/100000)*7348620/2)/10)</f>
        <v>0.47424686539785693</v>
      </c>
      <c r="G14" s="23">
        <v>3.6159019999999997</v>
      </c>
      <c r="H14" s="25">
        <f>3.615902/((211.99865/2)/10)</f>
        <v>0.34112500244694954</v>
      </c>
      <c r="I14" s="16">
        <v>5.4303999999999997</v>
      </c>
      <c r="J14" s="3">
        <v>5</v>
      </c>
      <c r="K14" s="24">
        <v>0.86164001015486169</v>
      </c>
      <c r="L14" s="17">
        <v>196.357942208</v>
      </c>
      <c r="M14" s="26">
        <f>196.357942208/(1246.530862135/2)</f>
        <v>0.31504706088333384</v>
      </c>
      <c r="N14" s="3">
        <v>1</v>
      </c>
      <c r="O14" s="9">
        <v>2.5</v>
      </c>
      <c r="P14" s="25">
        <v>0.65789473684210531</v>
      </c>
      <c r="Q14" s="21">
        <v>29.58</v>
      </c>
      <c r="R14" s="28">
        <v>0.48675333223630074</v>
      </c>
      <c r="S14" s="2">
        <f t="shared" si="0"/>
        <v>18.611873575873688</v>
      </c>
      <c r="T14" s="2">
        <f t="shared" si="1"/>
        <v>8.900820317058745</v>
      </c>
      <c r="U14" s="2">
        <f t="shared" si="2"/>
        <v>19.489621066470846</v>
      </c>
      <c r="V14" s="2">
        <f t="shared" si="3"/>
        <v>26.703183717347486</v>
      </c>
      <c r="W14" s="2">
        <f t="shared" si="4"/>
        <v>-1.7285950230300386</v>
      </c>
      <c r="X14" s="2">
        <f t="shared" si="5"/>
        <v>11.856660149959026</v>
      </c>
      <c r="Y14" s="2">
        <f t="shared" si="6"/>
        <v>13.847942891283253</v>
      </c>
      <c r="Z14" s="2">
        <f t="shared" si="7"/>
        <v>20.782088660660875</v>
      </c>
      <c r="AA14" s="2">
        <f t="shared" si="8"/>
        <v>14.187671899644963</v>
      </c>
      <c r="AB14" s="1">
        <f t="shared" si="9"/>
        <v>52.015883325891906</v>
      </c>
      <c r="AC14" s="1">
        <f t="shared" si="10"/>
        <v>42.031743604573848</v>
      </c>
      <c r="AD14" s="1">
        <f t="shared" si="11"/>
        <v>81.070369182667264</v>
      </c>
      <c r="AE14" s="1">
        <f t="shared" si="12"/>
        <v>40.075897987302675</v>
      </c>
      <c r="AF14" s="1">
        <f t="shared" si="13"/>
        <v>47.737348210746788</v>
      </c>
      <c r="AG14" s="1">
        <f t="shared" si="14"/>
        <v>37.753208489428729</v>
      </c>
      <c r="AH14" s="1">
        <f t="shared" si="15"/>
        <v>76.791834067522146</v>
      </c>
      <c r="AI14" s="1">
        <f t="shared" si="16"/>
        <v>35.797362872157557</v>
      </c>
      <c r="AJ14" s="1">
        <f t="shared" si="17"/>
        <v>42.568574081683586</v>
      </c>
    </row>
    <row r="15" spans="1:36" ht="16.5" thickBot="1" x14ac:dyDescent="0.3">
      <c r="A15" s="8">
        <v>16</v>
      </c>
      <c r="B15" s="31" t="s">
        <v>206</v>
      </c>
      <c r="C15" s="11" t="s">
        <v>205</v>
      </c>
      <c r="D15" s="3" t="s">
        <v>102</v>
      </c>
      <c r="E15" s="15">
        <f>((1/100000)*1696330)/10</f>
        <v>1.6963300000000001</v>
      </c>
      <c r="F15" s="24">
        <f>(((1/100000)*1696330)/10)/(((1/100000)*7348620/2)/10)</f>
        <v>0.46167307603332319</v>
      </c>
      <c r="G15" s="23">
        <v>3.8763800000000002</v>
      </c>
      <c r="H15" s="25">
        <f>3.87638/((211.99865/2)/10)</f>
        <v>0.36569855515589372</v>
      </c>
      <c r="I15" s="16">
        <v>3.8632</v>
      </c>
      <c r="J15" s="12">
        <v>132</v>
      </c>
      <c r="K15" s="24">
        <v>0.61297283574511297</v>
      </c>
      <c r="L15" s="17">
        <v>149.75231216</v>
      </c>
      <c r="M15" s="26">
        <f>149.75231216/(1246.530862135/2)</f>
        <v>0.24027052471610885</v>
      </c>
      <c r="N15" s="3">
        <v>1</v>
      </c>
      <c r="O15" s="9">
        <v>1.1000000000000001</v>
      </c>
      <c r="P15" s="25">
        <v>0.28947368421052633</v>
      </c>
      <c r="Q15" s="21">
        <v>42.99</v>
      </c>
      <c r="R15" s="28">
        <v>0.70742142504525263</v>
      </c>
      <c r="S15" s="2">
        <f t="shared" si="0"/>
        <v>-14.284161710238379</v>
      </c>
      <c r="T15" s="2">
        <f t="shared" si="1"/>
        <v>-13.651605865884903</v>
      </c>
      <c r="U15" s="2">
        <f t="shared" si="2"/>
        <v>-20.37941377509101</v>
      </c>
      <c r="V15" s="2">
        <f t="shared" si="3"/>
        <v>-35.859262034404864</v>
      </c>
      <c r="W15" s="2">
        <f t="shared" si="4"/>
        <v>-10.014844177984671</v>
      </c>
      <c r="X15" s="2">
        <f t="shared" si="5"/>
        <v>-7.1175382731455556</v>
      </c>
      <c r="Y15" s="2">
        <f t="shared" si="6"/>
        <v>-17.902002953425836</v>
      </c>
      <c r="Z15" s="2">
        <f t="shared" si="7"/>
        <v>-28.286945815964231</v>
      </c>
      <c r="AA15" s="2">
        <f t="shared" si="8"/>
        <v>-18.202392979603768</v>
      </c>
      <c r="AB15" s="1">
        <f t="shared" si="9"/>
        <v>41.862322807762396</v>
      </c>
      <c r="AC15" s="1">
        <f t="shared" si="10"/>
        <v>34.664233741955186</v>
      </c>
      <c r="AD15" s="1">
        <f t="shared" si="11"/>
        <v>53.209804786146634</v>
      </c>
      <c r="AE15" s="1">
        <f t="shared" si="12"/>
        <v>25.257131458971323</v>
      </c>
      <c r="AF15" s="1">
        <f t="shared" si="13"/>
        <v>52.311016328630558</v>
      </c>
      <c r="AG15" s="1">
        <f t="shared" si="14"/>
        <v>45.112927262823341</v>
      </c>
      <c r="AH15" s="1">
        <f t="shared" si="15"/>
        <v>63.658498307014789</v>
      </c>
      <c r="AI15" s="1">
        <f t="shared" si="16"/>
        <v>35.705824979839477</v>
      </c>
      <c r="AJ15" s="1">
        <f t="shared" si="17"/>
        <v>39.152242763330378</v>
      </c>
    </row>
    <row r="16" spans="1:36" ht="16.5" thickBot="1" x14ac:dyDescent="0.3">
      <c r="A16" s="8">
        <v>17</v>
      </c>
      <c r="B16" s="31" t="s">
        <v>204</v>
      </c>
      <c r="C16" s="11" t="s">
        <v>203</v>
      </c>
      <c r="D16" s="3" t="s">
        <v>36</v>
      </c>
      <c r="E16" s="15">
        <f>((1/100000)*1630380)/10</f>
        <v>1.6303800000000002</v>
      </c>
      <c r="F16" s="24">
        <f>(((1/100000)*1630380)/10)/(((1/100000)*7348620/2)/10)</f>
        <v>0.44372412779542281</v>
      </c>
      <c r="G16" s="23">
        <v>2.5815060000000001</v>
      </c>
      <c r="H16" s="25">
        <f>2.581506/((211.99865/2)/10)</f>
        <v>0.2435398527301943</v>
      </c>
      <c r="I16" s="16">
        <v>5.1087999999999996</v>
      </c>
      <c r="J16" s="3">
        <v>11</v>
      </c>
      <c r="K16" s="24">
        <v>0.81061183041381057</v>
      </c>
      <c r="L16" s="17">
        <v>131.883978528</v>
      </c>
      <c r="M16" s="26">
        <f>131.883978528/(1246.530862135/2)</f>
        <v>0.21160162581472755</v>
      </c>
      <c r="N16" s="3">
        <v>1</v>
      </c>
      <c r="O16" s="9">
        <v>1.7</v>
      </c>
      <c r="P16" s="25">
        <v>0.44736842105263158</v>
      </c>
      <c r="Q16" s="21">
        <v>27.2</v>
      </c>
      <c r="R16" s="28">
        <v>0.44758927102188578</v>
      </c>
      <c r="S16" s="2">
        <f t="shared" si="0"/>
        <v>-7.3901110033792321</v>
      </c>
      <c r="T16" s="2">
        <f t="shared" si="1"/>
        <v>-35.272830465783059</v>
      </c>
      <c r="U16" s="2">
        <f t="shared" si="2"/>
        <v>8.2306269073905298</v>
      </c>
      <c r="V16" s="2">
        <f t="shared" si="3"/>
        <v>-34.002503541603673</v>
      </c>
      <c r="W16" s="2">
        <f t="shared" si="4"/>
        <v>-7.0115170888418277</v>
      </c>
      <c r="X16" s="2">
        <f t="shared" si="5"/>
        <v>-15.792476192176125</v>
      </c>
      <c r="Y16" s="2">
        <f t="shared" si="6"/>
        <v>6.8500821333457935</v>
      </c>
      <c r="Z16" s="2">
        <f t="shared" si="7"/>
        <v>-14.562848797595819</v>
      </c>
      <c r="AA16" s="2">
        <f t="shared" si="8"/>
        <v>-19.00538118156329</v>
      </c>
      <c r="AB16" s="1">
        <f t="shared" si="9"/>
        <v>44.463520110972503</v>
      </c>
      <c r="AC16" s="1">
        <f t="shared" si="10"/>
        <v>29.449699481080359</v>
      </c>
      <c r="AD16" s="1">
        <f t="shared" si="11"/>
        <v>71.980097807351584</v>
      </c>
      <c r="AE16" s="1">
        <f t="shared" si="12"/>
        <v>27.054332462420355</v>
      </c>
      <c r="AF16" s="1">
        <f t="shared" si="13"/>
        <v>44.46904136020386</v>
      </c>
      <c r="AG16" s="1">
        <f t="shared" si="14"/>
        <v>29.455220730311716</v>
      </c>
      <c r="AH16" s="1">
        <f t="shared" si="15"/>
        <v>71.985619056582934</v>
      </c>
      <c r="AI16" s="1">
        <f t="shared" si="16"/>
        <v>27.059853711651709</v>
      </c>
      <c r="AJ16" s="1">
        <f t="shared" si="17"/>
        <v>33.658611309440083</v>
      </c>
    </row>
    <row r="17" spans="1:36" ht="16.5" thickBot="1" x14ac:dyDescent="0.3">
      <c r="A17" s="8">
        <v>18</v>
      </c>
      <c r="B17" s="31" t="s">
        <v>202</v>
      </c>
      <c r="C17" s="11" t="s">
        <v>201</v>
      </c>
      <c r="D17" s="3" t="s">
        <v>102</v>
      </c>
      <c r="E17" s="15">
        <f>((1/100000)*1519570)/10</f>
        <v>1.5195700000000001</v>
      </c>
      <c r="F17" s="24">
        <f>(((1/100000)*1519570)/10)/(((1/100000)*7348620/2)/10)</f>
        <v>0.41356608451654864</v>
      </c>
      <c r="G17" s="23">
        <v>1.6445609999999999</v>
      </c>
      <c r="H17" s="25">
        <f>1.644561/((211.99865/2)/10)</f>
        <v>0.1551482521233036</v>
      </c>
      <c r="I17" s="16">
        <v>4.1871</v>
      </c>
      <c r="J17" s="12">
        <v>87</v>
      </c>
      <c r="K17" s="24">
        <v>0.66436595582635194</v>
      </c>
      <c r="L17" s="17">
        <v>68.859413630999995</v>
      </c>
      <c r="M17" s="26">
        <f>68.859413631/(1246.530862135/2)</f>
        <v>0.11048168276084364</v>
      </c>
      <c r="N17" s="3">
        <v>1</v>
      </c>
      <c r="O17" s="9">
        <v>1.1000000000000001</v>
      </c>
      <c r="P17" s="25">
        <v>0.28947368421052633</v>
      </c>
      <c r="Q17" s="21">
        <v>40.869999999999997</v>
      </c>
      <c r="R17" s="28">
        <v>0.67253579068619374</v>
      </c>
      <c r="S17" s="2">
        <f t="shared" si="0"/>
        <v>-23.215874039854825</v>
      </c>
      <c r="T17" s="2">
        <f t="shared" si="1"/>
        <v>-63.366542649174121</v>
      </c>
      <c r="U17" s="2">
        <f t="shared" si="2"/>
        <v>-13.703831905592139</v>
      </c>
      <c r="V17" s="2">
        <f t="shared" si="3"/>
        <v>-70.506675039170233</v>
      </c>
      <c r="W17" s="2">
        <f t="shared" si="4"/>
        <v>-18.62752995549603</v>
      </c>
      <c r="X17" s="2">
        <f t="shared" si="5"/>
        <v>-59.138219906883656</v>
      </c>
      <c r="Y17" s="2">
        <f t="shared" si="6"/>
        <v>-11.210442001504262</v>
      </c>
      <c r="Z17" s="2">
        <f t="shared" si="7"/>
        <v>-65.828276981409402</v>
      </c>
      <c r="AA17" s="2">
        <f t="shared" si="8"/>
        <v>-50.113853095331386</v>
      </c>
      <c r="AB17" s="1">
        <f t="shared" si="9"/>
        <v>38.254298444004306</v>
      </c>
      <c r="AC17" s="1">
        <f t="shared" si="10"/>
        <v>18.872961014510928</v>
      </c>
      <c r="AD17" s="1">
        <f t="shared" si="11"/>
        <v>57.064288792239552</v>
      </c>
      <c r="AE17" s="1">
        <f t="shared" si="12"/>
        <v>15.52296831232643</v>
      </c>
      <c r="AF17" s="1">
        <f t="shared" si="13"/>
        <v>47.830851105895988</v>
      </c>
      <c r="AG17" s="1">
        <f t="shared" si="14"/>
        <v>28.449513676402617</v>
      </c>
      <c r="AH17" s="1">
        <f t="shared" si="15"/>
        <v>66.640841454131234</v>
      </c>
      <c r="AI17" s="1">
        <f t="shared" si="16"/>
        <v>25.099520974218116</v>
      </c>
      <c r="AJ17" s="1">
        <f t="shared" si="17"/>
        <v>29.005018921226398</v>
      </c>
    </row>
    <row r="18" spans="1:36" ht="16.5" thickBot="1" x14ac:dyDescent="0.3">
      <c r="A18" s="8">
        <v>19</v>
      </c>
      <c r="B18" s="31" t="s">
        <v>200</v>
      </c>
      <c r="C18" s="11" t="s">
        <v>199</v>
      </c>
      <c r="D18" s="3" t="s">
        <v>60</v>
      </c>
      <c r="E18" s="15">
        <f>((1/100000)*1498960)/10</f>
        <v>1.4989600000000001</v>
      </c>
      <c r="F18" s="24">
        <f>(((1/100000)*1498960)/10)/(((1/100000)*7348620/2)/10)</f>
        <v>0.40795686809224041</v>
      </c>
      <c r="G18" s="23">
        <v>2.9458310000000001</v>
      </c>
      <c r="H18" s="25">
        <f>2.945831/((211.99865/2)/10)</f>
        <v>0.27791035461782426</v>
      </c>
      <c r="I18" s="16">
        <v>4.2214999999999998</v>
      </c>
      <c r="J18" s="12">
        <v>85</v>
      </c>
      <c r="K18" s="24">
        <v>0.66982419395785731</v>
      </c>
      <c r="L18" s="17">
        <v>124.358255665</v>
      </c>
      <c r="M18" s="26">
        <f>124.358255665/(1246.530862135/2)</f>
        <v>0.19952695828485942</v>
      </c>
      <c r="N18" s="3">
        <v>1</v>
      </c>
      <c r="O18" s="9">
        <v>1.9</v>
      </c>
      <c r="P18" s="25">
        <v>0.5</v>
      </c>
      <c r="Q18" s="21">
        <v>45.87</v>
      </c>
      <c r="R18" s="28">
        <v>0.75481323021227575</v>
      </c>
      <c r="S18" s="2">
        <f t="shared" si="0"/>
        <v>-11.179940034253093</v>
      </c>
      <c r="T18" s="2">
        <f t="shared" si="1"/>
        <v>-22.910375134243992</v>
      </c>
      <c r="U18" s="2">
        <f t="shared" si="2"/>
        <v>-9.7272497005431688</v>
      </c>
      <c r="V18" s="2">
        <f t="shared" si="3"/>
        <v>-34.068558916554593</v>
      </c>
      <c r="W18" s="2">
        <f t="shared" si="4"/>
        <v>-21.486013933148769</v>
      </c>
      <c r="X18" s="2">
        <f t="shared" si="5"/>
        <v>-32.67406049717043</v>
      </c>
      <c r="Y18" s="2">
        <f t="shared" si="6"/>
        <v>-10.023715697939565</v>
      </c>
      <c r="Z18" s="2">
        <f t="shared" si="7"/>
        <v>-43.151635825298619</v>
      </c>
      <c r="AA18" s="2">
        <f t="shared" si="8"/>
        <v>-27.578430723444914</v>
      </c>
      <c r="AB18" s="1">
        <f t="shared" si="9"/>
        <v>43.096765106918035</v>
      </c>
      <c r="AC18" s="1">
        <f t="shared" si="10"/>
        <v>33.343276596336821</v>
      </c>
      <c r="AD18" s="1">
        <f t="shared" si="11"/>
        <v>62.736814546839305</v>
      </c>
      <c r="AE18" s="1">
        <f t="shared" si="12"/>
        <v>27.464521871364454</v>
      </c>
      <c r="AF18" s="1">
        <f t="shared" si="13"/>
        <v>49.46709586222493</v>
      </c>
      <c r="AG18" s="1">
        <f t="shared" si="14"/>
        <v>39.713607351643709</v>
      </c>
      <c r="AH18" s="1">
        <f t="shared" si="15"/>
        <v>69.107145302146193</v>
      </c>
      <c r="AI18" s="1">
        <f t="shared" si="16"/>
        <v>33.834852626671349</v>
      </c>
      <c r="AJ18" s="1">
        <f t="shared" si="17"/>
        <v>37.820019902526553</v>
      </c>
    </row>
    <row r="19" spans="1:36" ht="16.5" thickBot="1" x14ac:dyDescent="0.3">
      <c r="A19" s="8">
        <v>20</v>
      </c>
      <c r="B19" s="31" t="s">
        <v>198</v>
      </c>
      <c r="C19" s="11" t="s">
        <v>197</v>
      </c>
      <c r="D19" s="3" t="s">
        <v>119</v>
      </c>
      <c r="E19" s="15">
        <f>((1/100000)*1379770)/10</f>
        <v>1.3797700000000002</v>
      </c>
      <c r="F19" s="24">
        <f>(((1/100000)*1379770)/10)/(((1/100000)*7348620/2)/10)</f>
        <v>0.3755181244914011</v>
      </c>
      <c r="G19" s="23">
        <v>1.7968569999999999</v>
      </c>
      <c r="H19" s="25">
        <f>1.796857/((211.99865/2)/10)</f>
        <v>0.16951589078515358</v>
      </c>
      <c r="I19" s="16">
        <v>4.6105999999999998</v>
      </c>
      <c r="J19" s="10">
        <v>40</v>
      </c>
      <c r="K19" s="24">
        <v>0.73156257933485658</v>
      </c>
      <c r="L19" s="17">
        <v>82.845888841999994</v>
      </c>
      <c r="M19" s="26">
        <f>82.845888842/(1246.530862135/2)</f>
        <v>0.1329223228378083</v>
      </c>
      <c r="N19" s="3">
        <v>1</v>
      </c>
      <c r="O19" s="9">
        <v>1.2</v>
      </c>
      <c r="P19" s="25">
        <v>0.31578947368421051</v>
      </c>
      <c r="Q19" s="21">
        <v>34.76</v>
      </c>
      <c r="R19" s="28">
        <v>0.5719927595853217</v>
      </c>
      <c r="S19" s="2">
        <f t="shared" si="0"/>
        <v>-28.972785988611179</v>
      </c>
      <c r="T19" s="2">
        <f t="shared" si="1"/>
        <v>-59.215560894447385</v>
      </c>
      <c r="U19" s="2">
        <f t="shared" si="2"/>
        <v>-4.5435893316394811</v>
      </c>
      <c r="V19" s="2">
        <f t="shared" si="3"/>
        <v>-63.642945722302414</v>
      </c>
      <c r="W19" s="2">
        <f t="shared" si="4"/>
        <v>-24.039107950385741</v>
      </c>
      <c r="X19" s="2">
        <f t="shared" si="5"/>
        <v>-50.032255591863667</v>
      </c>
      <c r="Y19" s="2">
        <f t="shared" si="6"/>
        <v>-2.8333334388610183</v>
      </c>
      <c r="Z19" s="2">
        <f t="shared" si="7"/>
        <v>-54.086043646654893</v>
      </c>
      <c r="AA19" s="2">
        <f t="shared" si="8"/>
        <v>-46.66478329904421</v>
      </c>
      <c r="AB19" s="1">
        <f t="shared" si="9"/>
        <v>36.058596178960343</v>
      </c>
      <c r="AC19" s="1">
        <f t="shared" si="10"/>
        <v>20.60842865099178</v>
      </c>
      <c r="AD19" s="1">
        <f t="shared" si="11"/>
        <v>62.761930292219503</v>
      </c>
      <c r="AE19" s="1">
        <f t="shared" si="12"/>
        <v>17.863911054940885</v>
      </c>
      <c r="AF19" s="1">
        <f t="shared" si="13"/>
        <v>42.463678326488122</v>
      </c>
      <c r="AG19" s="1">
        <f t="shared" si="14"/>
        <v>27.013510798519558</v>
      </c>
      <c r="AH19" s="1">
        <f t="shared" si="15"/>
        <v>69.167012439747282</v>
      </c>
      <c r="AI19" s="1">
        <f t="shared" si="16"/>
        <v>24.268993202468664</v>
      </c>
      <c r="AJ19" s="1">
        <f t="shared" si="17"/>
        <v>28.046186368728225</v>
      </c>
    </row>
    <row r="20" spans="1:36" ht="15.75" x14ac:dyDescent="0.25">
      <c r="A20" s="8">
        <v>22</v>
      </c>
      <c r="B20" s="31" t="s">
        <v>196</v>
      </c>
      <c r="C20" s="11" t="s">
        <v>195</v>
      </c>
      <c r="D20" s="3" t="s">
        <v>0</v>
      </c>
      <c r="E20" s="15">
        <f>((1/100000)*1189950)/10</f>
        <v>1.1899500000000001</v>
      </c>
      <c r="F20" s="24">
        <f>(((1/100000)*1189950)/10)/(((1/100000)*7348620/2)/10)</f>
        <v>0.32385672411963057</v>
      </c>
      <c r="G20" s="23">
        <v>1.499293</v>
      </c>
      <c r="H20" s="25">
        <f>1.499293/((211.99865/2)/10)</f>
        <v>0.14144363655145917</v>
      </c>
      <c r="I20" s="16">
        <v>4.6119000000000003</v>
      </c>
      <c r="J20" s="3">
        <v>38</v>
      </c>
      <c r="K20" s="24">
        <v>0.73176884996191938</v>
      </c>
      <c r="L20" s="17">
        <v>69.145893866999998</v>
      </c>
      <c r="M20" s="26">
        <f>69.145893867/(1246.530862135/2)</f>
        <v>0.11094132679325745</v>
      </c>
      <c r="N20" s="3">
        <v>1</v>
      </c>
      <c r="O20" s="9">
        <v>1.1000000000000001</v>
      </c>
      <c r="P20" s="25">
        <v>0.28947368421052633</v>
      </c>
      <c r="Q20" s="9">
        <v>35.72</v>
      </c>
      <c r="R20" s="28">
        <v>0.58779002797432944</v>
      </c>
      <c r="S20" s="2">
        <f t="shared" si="0"/>
        <v>-39.871627706341428</v>
      </c>
      <c r="T20" s="2">
        <f t="shared" si="1"/>
        <v>-66.602463410057879</v>
      </c>
      <c r="U20" s="2">
        <f t="shared" si="2"/>
        <v>-4.9487001421987458</v>
      </c>
      <c r="V20" s="2">
        <f t="shared" si="3"/>
        <v>-70.383972067279103</v>
      </c>
      <c r="W20" s="2">
        <f t="shared" si="4"/>
        <v>-34.777075133218844</v>
      </c>
      <c r="X20" s="2">
        <f t="shared" si="5"/>
        <v>-59.073555803480019</v>
      </c>
      <c r="Y20" s="2">
        <f t="shared" si="6"/>
        <v>-2.7115942370812576</v>
      </c>
      <c r="Z20" s="2">
        <f t="shared" si="7"/>
        <v>-62.369211630170824</v>
      </c>
      <c r="AA20" s="2">
        <f t="shared" si="8"/>
        <v>-55.512984291758016</v>
      </c>
      <c r="AB20" s="1">
        <f t="shared" si="9"/>
        <v>31.52609641423545</v>
      </c>
      <c r="AC20" s="1">
        <f t="shared" si="10"/>
        <v>17.845114846622597</v>
      </c>
      <c r="AD20" s="1">
        <f t="shared" si="11"/>
        <v>62.119505852407109</v>
      </c>
      <c r="AE20" s="1">
        <f t="shared" si="12"/>
        <v>15.557441614757467</v>
      </c>
      <c r="AF20" s="1">
        <f t="shared" si="13"/>
        <v>38.984005008330527</v>
      </c>
      <c r="AG20" s="1">
        <f t="shared" si="14"/>
        <v>25.303023440717677</v>
      </c>
      <c r="AH20" s="1">
        <f t="shared" si="15"/>
        <v>69.577414446502189</v>
      </c>
      <c r="AI20" s="1">
        <f t="shared" si="16"/>
        <v>23.015350208852546</v>
      </c>
      <c r="AJ20" s="1">
        <f t="shared" si="17"/>
        <v>25.371838588919378</v>
      </c>
    </row>
    <row r="21" spans="1:36" ht="15.75" x14ac:dyDescent="0.25">
      <c r="A21" s="8">
        <v>26</v>
      </c>
      <c r="B21" s="31" t="s">
        <v>194</v>
      </c>
      <c r="C21" s="11" t="s">
        <v>193</v>
      </c>
      <c r="D21" s="3" t="s">
        <v>12</v>
      </c>
      <c r="E21" s="15">
        <f>((1/100000)*1086310)/10</f>
        <v>1.0863100000000001</v>
      </c>
      <c r="F21" s="24">
        <f>(((1/100000)*1086310)/10)/(((1/100000)*7348620/2)/10)</f>
        <v>0.29565006763174578</v>
      </c>
      <c r="G21" s="23">
        <v>1.6074860000000002</v>
      </c>
      <c r="H21" s="25">
        <f>1.607486/((211.99865/2)/10)</f>
        <v>0.15165058834101069</v>
      </c>
      <c r="I21" s="16">
        <v>4.5548000000000002</v>
      </c>
      <c r="J21" s="3">
        <v>47</v>
      </c>
      <c r="K21" s="24">
        <v>0.72270880934247284</v>
      </c>
      <c r="L21" s="17">
        <v>73.217772327999995</v>
      </c>
      <c r="M21" s="26">
        <f>73.217772328/(1246.530862135/2)</f>
        <v>0.11747446381326813</v>
      </c>
      <c r="N21" s="3">
        <v>1</v>
      </c>
      <c r="O21" s="9">
        <v>1.7</v>
      </c>
      <c r="P21" s="25">
        <v>0.44736842105263158</v>
      </c>
      <c r="Q21" s="9">
        <v>40.15</v>
      </c>
      <c r="R21" s="28">
        <v>0.66068783939443798</v>
      </c>
      <c r="S21" s="2">
        <f t="shared" si="0"/>
        <v>-38.294723612949674</v>
      </c>
      <c r="T21" s="2">
        <f t="shared" si="1"/>
        <v>-59.69483749180506</v>
      </c>
      <c r="U21" s="2">
        <f t="shared" si="2"/>
        <v>-3.5059388823632673</v>
      </c>
      <c r="V21" s="2">
        <f t="shared" si="3"/>
        <v>-63.360298014645224</v>
      </c>
      <c r="W21" s="2">
        <f t="shared" si="4"/>
        <v>-41.640631581791666</v>
      </c>
      <c r="X21" s="2">
        <f t="shared" si="5"/>
        <v>-59.551751856122408</v>
      </c>
      <c r="Y21" s="2">
        <f t="shared" si="6"/>
        <v>-3.4838098078379858</v>
      </c>
      <c r="Z21" s="2">
        <f t="shared" si="7"/>
        <v>-63.212091364691659</v>
      </c>
      <c r="AA21" s="2">
        <f t="shared" si="8"/>
        <v>-54.292388987000948</v>
      </c>
      <c r="AB21" s="1">
        <f t="shared" si="9"/>
        <v>33.357965598696723</v>
      </c>
      <c r="AC21" s="1">
        <f t="shared" si="10"/>
        <v>22.55800465189159</v>
      </c>
      <c r="AD21" s="1">
        <f t="shared" si="11"/>
        <v>65.387371227001239</v>
      </c>
      <c r="AE21" s="1">
        <f t="shared" si="12"/>
        <v>19.994795312310899</v>
      </c>
      <c r="AF21" s="1">
        <f t="shared" si="13"/>
        <v>38.690951057241882</v>
      </c>
      <c r="AG21" s="1">
        <f t="shared" si="14"/>
        <v>27.890990110436753</v>
      </c>
      <c r="AH21" s="1">
        <f t="shared" si="15"/>
        <v>70.72035668554642</v>
      </c>
      <c r="AI21" s="1">
        <f t="shared" si="16"/>
        <v>25.327780770856055</v>
      </c>
      <c r="AJ21" s="1">
        <f t="shared" si="17"/>
        <v>27.97008125023898</v>
      </c>
    </row>
    <row r="22" spans="1:36" ht="16.5" thickBot="1" x14ac:dyDescent="0.3">
      <c r="A22" s="8">
        <v>30</v>
      </c>
      <c r="B22" s="31" t="s">
        <v>192</v>
      </c>
      <c r="C22" s="3" t="s">
        <v>191</v>
      </c>
      <c r="D22" s="3" t="s">
        <v>24</v>
      </c>
      <c r="E22" s="15">
        <f>((1/100000)*938660)/10</f>
        <v>0.93866000000000016</v>
      </c>
      <c r="F22" s="24">
        <f>(((1/100000)*938660)/10)/(((1/100000)*7348620/2)/10)</f>
        <v>0.25546565205439931</v>
      </c>
      <c r="G22" s="23">
        <v>1.5923830000000001</v>
      </c>
      <c r="H22" s="25">
        <f>1.592383/((211.99865/2)/10)</f>
        <v>0.15022576794710724</v>
      </c>
      <c r="I22" s="16">
        <v>3.9140000000000001</v>
      </c>
      <c r="J22" s="12">
        <v>126</v>
      </c>
      <c r="K22" s="24">
        <v>0.62103325717187108</v>
      </c>
      <c r="L22" s="17">
        <v>62.325870620000003</v>
      </c>
      <c r="M22" s="26">
        <f>62.32587062/(1246.530862135/2)</f>
        <v>9.9998921026714344E-2</v>
      </c>
      <c r="N22" s="3">
        <v>1</v>
      </c>
      <c r="O22" s="9">
        <v>2.5</v>
      </c>
      <c r="P22" s="25">
        <v>0.65789473684210531</v>
      </c>
      <c r="Q22" s="9">
        <v>48.26</v>
      </c>
      <c r="R22" s="28">
        <v>0.79414184630574292</v>
      </c>
      <c r="S22" s="2">
        <f t="shared" si="0"/>
        <v>-36.106568466121324</v>
      </c>
      <c r="T22" s="2">
        <f t="shared" si="1"/>
        <v>-52.041893016199289</v>
      </c>
      <c r="U22" s="2">
        <f t="shared" si="2"/>
        <v>-13.876993066041749</v>
      </c>
      <c r="V22" s="2">
        <f t="shared" si="3"/>
        <v>-59.783209445409661</v>
      </c>
      <c r="W22" s="2">
        <f t="shared" si="4"/>
        <v>-51.342422881628828</v>
      </c>
      <c r="X22" s="2">
        <f t="shared" si="5"/>
        <v>-64.949818934012967</v>
      </c>
      <c r="Y22" s="2">
        <f t="shared" si="6"/>
        <v>-16.37353321346437</v>
      </c>
      <c r="Z22" s="2">
        <f t="shared" si="7"/>
        <v>-72.543324464875383</v>
      </c>
      <c r="AA22" s="2">
        <f t="shared" si="8"/>
        <v>-56.127872868041244</v>
      </c>
      <c r="AB22" s="1">
        <f t="shared" si="9"/>
        <v>35.607292325132576</v>
      </c>
      <c r="AC22" s="1">
        <f t="shared" si="10"/>
        <v>27.714301017085674</v>
      </c>
      <c r="AD22" s="1">
        <f t="shared" si="11"/>
        <v>63.024862708942962</v>
      </c>
      <c r="AE22" s="1">
        <f t="shared" si="12"/>
        <v>23.947287498056209</v>
      </c>
      <c r="AF22" s="1">
        <f t="shared" si="13"/>
        <v>39.013470061723524</v>
      </c>
      <c r="AG22" s="1">
        <f t="shared" si="14"/>
        <v>31.120478753676618</v>
      </c>
      <c r="AH22" s="1">
        <f t="shared" si="15"/>
        <v>66.43104044553391</v>
      </c>
      <c r="AI22" s="1">
        <f t="shared" si="16"/>
        <v>27.353465234647146</v>
      </c>
      <c r="AJ22" s="1">
        <f t="shared" si="17"/>
        <v>30.792715815053629</v>
      </c>
    </row>
    <row r="23" spans="1:36" ht="16.5" thickBot="1" x14ac:dyDescent="0.3">
      <c r="A23" s="8">
        <v>33</v>
      </c>
      <c r="B23" s="31" t="s">
        <v>190</v>
      </c>
      <c r="C23" s="3" t="s">
        <v>189</v>
      </c>
      <c r="D23" s="3" t="s">
        <v>188</v>
      </c>
      <c r="E23" s="15">
        <f>((1/100000)*916960)/10</f>
        <v>0.91696000000000011</v>
      </c>
      <c r="F23" s="24">
        <f>(((1/100000)*916960)/10)/(((1/100000)*7348620/2)/10)</f>
        <v>0.24955978129226983</v>
      </c>
      <c r="G23" s="23">
        <v>1.333914</v>
      </c>
      <c r="H23" s="25">
        <f>1.333914/((211.99865/2)/10)</f>
        <v>0.12584174474695947</v>
      </c>
      <c r="I23" s="16">
        <v>4.8593999999999999</v>
      </c>
      <c r="J23" s="3">
        <v>21</v>
      </c>
      <c r="K23" s="24">
        <v>0.77103960396039606</v>
      </c>
      <c r="L23" s="17">
        <v>64.820216916000007</v>
      </c>
      <c r="M23" s="26">
        <f>64.820216916/(1246.530862135/2)</f>
        <v>0.10400098206149339</v>
      </c>
      <c r="N23" s="3">
        <v>1</v>
      </c>
      <c r="O23" s="9">
        <v>1.3</v>
      </c>
      <c r="P23" s="25">
        <v>0.34210526315789475</v>
      </c>
      <c r="Q23" s="21">
        <v>48.12</v>
      </c>
      <c r="R23" s="28">
        <v>0.79183807799901262</v>
      </c>
      <c r="S23" s="2">
        <f t="shared" si="0"/>
        <v>-51.89518825241214</v>
      </c>
      <c r="T23" s="2">
        <f t="shared" si="1"/>
        <v>-69.138441269108185</v>
      </c>
      <c r="U23" s="2">
        <f t="shared" si="2"/>
        <v>1.0668549321255512</v>
      </c>
      <c r="V23" s="2">
        <f t="shared" si="3"/>
        <v>-70.835900968553489</v>
      </c>
      <c r="W23" s="2">
        <f t="shared" si="4"/>
        <v>-52.438478926114605</v>
      </c>
      <c r="X23" s="2">
        <f t="shared" si="5"/>
        <v>-70.575405016596775</v>
      </c>
      <c r="Y23" s="2">
        <f t="shared" si="6"/>
        <v>3.8109857649730259</v>
      </c>
      <c r="Z23" s="2">
        <f t="shared" si="7"/>
        <v>-71.383610079592245</v>
      </c>
      <c r="AA23" s="2">
        <f t="shared" si="8"/>
        <v>-64.377837418729584</v>
      </c>
      <c r="AB23" s="1">
        <f t="shared" si="9"/>
        <v>27.269615175867607</v>
      </c>
      <c r="AC23" s="1">
        <f t="shared" si="10"/>
        <v>17.99076243496933</v>
      </c>
      <c r="AD23" s="1">
        <f t="shared" si="11"/>
        <v>66.380601875977078</v>
      </c>
      <c r="AE23" s="1">
        <f t="shared" si="12"/>
        <v>16.352705233559373</v>
      </c>
      <c r="AF23" s="1">
        <f t="shared" si="13"/>
        <v>38.512935546895555</v>
      </c>
      <c r="AG23" s="1">
        <f t="shared" si="14"/>
        <v>29.234082805997275</v>
      </c>
      <c r="AH23" s="1">
        <f t="shared" si="15"/>
        <v>77.623922247005027</v>
      </c>
      <c r="AI23" s="1">
        <f t="shared" si="16"/>
        <v>27.596025604587322</v>
      </c>
      <c r="AJ23" s="1">
        <f t="shared" si="17"/>
        <v>26.159354466979408</v>
      </c>
    </row>
    <row r="24" spans="1:36" ht="16.5" thickBot="1" x14ac:dyDescent="0.3">
      <c r="A24" s="8">
        <v>34</v>
      </c>
      <c r="B24" s="31" t="s">
        <v>187</v>
      </c>
      <c r="C24" s="11" t="s">
        <v>186</v>
      </c>
      <c r="D24" s="3" t="s">
        <v>54</v>
      </c>
      <c r="E24" s="15">
        <f>((1/100000)*895700)/10</f>
        <v>0.89570000000000005</v>
      </c>
      <c r="F24" s="24">
        <f>(((1/100000)*895700)/10)/(((1/100000)*7348620/2)/10)</f>
        <v>0.24377366090504066</v>
      </c>
      <c r="G24" s="23">
        <v>1.6895720000000001</v>
      </c>
      <c r="H24" s="25">
        <f>1.689572/((211.99865/2)/10)</f>
        <v>0.1593945999184429</v>
      </c>
      <c r="I24" s="16">
        <v>4.6132</v>
      </c>
      <c r="J24" s="3">
        <v>37</v>
      </c>
      <c r="K24" s="24">
        <v>0.73197512058898206</v>
      </c>
      <c r="L24" s="17">
        <v>77.943335504000004</v>
      </c>
      <c r="M24" s="26">
        <f>77.943335504/(1246.530862135/2)</f>
        <v>0.12505640714021679</v>
      </c>
      <c r="N24" s="3">
        <v>1</v>
      </c>
      <c r="O24" s="9">
        <v>2.5</v>
      </c>
      <c r="P24" s="25">
        <v>0.65789473684210531</v>
      </c>
      <c r="Q24" s="21">
        <v>34.85</v>
      </c>
      <c r="R24" s="28">
        <v>0.57347375349679119</v>
      </c>
      <c r="S24" s="2">
        <f t="shared" si="0"/>
        <v>-39.030802820089136</v>
      </c>
      <c r="T24" s="2">
        <f t="shared" si="1"/>
        <v>-49.114833094278112</v>
      </c>
      <c r="U24" s="2">
        <f t="shared" si="2"/>
        <v>1.5080877842964355</v>
      </c>
      <c r="V24" s="2">
        <f t="shared" si="3"/>
        <v>-49.705784004168429</v>
      </c>
      <c r="W24" s="2">
        <f t="shared" si="4"/>
        <v>-50.709145940725818</v>
      </c>
      <c r="X24" s="2">
        <f t="shared" si="5"/>
        <v>-53.098034492622922</v>
      </c>
      <c r="Y24" s="2">
        <f t="shared" si="6"/>
        <v>-2.7697001157877992</v>
      </c>
      <c r="Z24" s="2">
        <f t="shared" si="7"/>
        <v>-56.877266320249284</v>
      </c>
      <c r="AA24" s="2">
        <f t="shared" si="8"/>
        <v>-49.755977778688951</v>
      </c>
      <c r="AB24" s="1">
        <f t="shared" si="9"/>
        <v>34.730392988930681</v>
      </c>
      <c r="AC24" s="1">
        <f t="shared" si="10"/>
        <v>28.40196341493585</v>
      </c>
      <c r="AD24" s="1">
        <f t="shared" si="11"/>
        <v>71.345502465226289</v>
      </c>
      <c r="AE24" s="1">
        <f t="shared" si="12"/>
        <v>25.82659895656889</v>
      </c>
      <c r="AF24" s="1">
        <f t="shared" si="13"/>
        <v>32.619868405297822</v>
      </c>
      <c r="AG24" s="1">
        <f t="shared" si="14"/>
        <v>26.291438831302997</v>
      </c>
      <c r="AH24" s="1">
        <f t="shared" si="15"/>
        <v>69.234977881593423</v>
      </c>
      <c r="AI24" s="1">
        <f t="shared" si="16"/>
        <v>23.716074372936038</v>
      </c>
      <c r="AJ24" s="1">
        <f t="shared" si="17"/>
        <v>28.59772282832871</v>
      </c>
    </row>
    <row r="25" spans="1:36" ht="16.5" thickBot="1" x14ac:dyDescent="0.3">
      <c r="A25" s="8">
        <v>40</v>
      </c>
      <c r="B25" s="31" t="s">
        <v>185</v>
      </c>
      <c r="C25" s="3" t="s">
        <v>184</v>
      </c>
      <c r="D25" s="3" t="s">
        <v>109</v>
      </c>
      <c r="E25" s="15">
        <f>((1/100000)*722140)/10</f>
        <v>0.72214000000000012</v>
      </c>
      <c r="F25" s="24">
        <f>(((1/100000)*722140)/10)/(((1/100000)*7348620/2)/10)</f>
        <v>0.19653758120572298</v>
      </c>
      <c r="G25" s="23">
        <v>1.0833460000000001</v>
      </c>
      <c r="H25" s="25">
        <f>1.083346/((211.99865/2)/10)</f>
        <v>0.10220310365183931</v>
      </c>
      <c r="I25" s="16">
        <v>3.8260999999999998</v>
      </c>
      <c r="J25" s="12">
        <v>142</v>
      </c>
      <c r="K25" s="24">
        <v>0.60708618938816961</v>
      </c>
      <c r="L25" s="17">
        <v>41.449901306000001</v>
      </c>
      <c r="M25" s="26">
        <f>41.449901306/(1246.530862135/2)</f>
        <v>6.6504412469991378E-2</v>
      </c>
      <c r="N25" s="3">
        <v>1</v>
      </c>
      <c r="O25" s="9">
        <v>2.6</v>
      </c>
      <c r="P25" s="25">
        <v>0.68421052631578949</v>
      </c>
      <c r="Q25" s="9">
        <v>46.74</v>
      </c>
      <c r="R25" s="28">
        <v>0.769129504689814</v>
      </c>
      <c r="S25" s="2">
        <f t="shared" si="0"/>
        <v>-49.595168529315522</v>
      </c>
      <c r="T25" s="2">
        <f t="shared" si="1"/>
        <v>-66.531081027058292</v>
      </c>
      <c r="U25" s="2">
        <f t="shared" si="2"/>
        <v>-15.402472279335242</v>
      </c>
      <c r="V25" s="2">
        <f t="shared" si="3"/>
        <v>-72.249741071056775</v>
      </c>
      <c r="W25" s="2">
        <f t="shared" si="4"/>
        <v>-62.318387567530223</v>
      </c>
      <c r="X25" s="2">
        <f t="shared" si="5"/>
        <v>-75.581140493884021</v>
      </c>
      <c r="Y25" s="2">
        <f t="shared" si="6"/>
        <v>-18.378656066372372</v>
      </c>
      <c r="Z25" s="2">
        <f t="shared" si="7"/>
        <v>-81.308232455029156</v>
      </c>
      <c r="AA25" s="2">
        <f t="shared" si="8"/>
        <v>-67.930625190645671</v>
      </c>
      <c r="AB25" s="1">
        <f t="shared" si="9"/>
        <v>31.845581748323958</v>
      </c>
      <c r="AC25" s="1">
        <f t="shared" si="10"/>
        <v>24.770495931782683</v>
      </c>
      <c r="AD25" s="1">
        <f t="shared" si="11"/>
        <v>62.636727362007463</v>
      </c>
      <c r="AE25" s="1">
        <f t="shared" si="12"/>
        <v>22.093094093144089</v>
      </c>
      <c r="AF25" s="1">
        <f t="shared" si="13"/>
        <v>33.968556207674574</v>
      </c>
      <c r="AG25" s="1">
        <f t="shared" si="14"/>
        <v>26.893470391133299</v>
      </c>
      <c r="AH25" s="1">
        <f t="shared" si="15"/>
        <v>64.759701821358078</v>
      </c>
      <c r="AI25" s="1">
        <f t="shared" si="16"/>
        <v>24.216068552494701</v>
      </c>
      <c r="AJ25" s="1">
        <f t="shared" si="17"/>
        <v>27.297877820758881</v>
      </c>
    </row>
    <row r="26" spans="1:36" ht="16.5" thickBot="1" x14ac:dyDescent="0.3">
      <c r="A26" s="8">
        <v>49</v>
      </c>
      <c r="B26" s="31" t="s">
        <v>183</v>
      </c>
      <c r="C26" s="3" t="s">
        <v>182</v>
      </c>
      <c r="D26" s="3" t="s">
        <v>21</v>
      </c>
      <c r="E26" s="15">
        <f>((1/100000)*641620)/10</f>
        <v>0.64162000000000008</v>
      </c>
      <c r="F26" s="24">
        <f>(((1/100000)*641620)/10)/(((1/100000)*7348620/2)/10)</f>
        <v>0.17462326259896416</v>
      </c>
      <c r="G26" s="23">
        <v>1.337726</v>
      </c>
      <c r="H26" s="25">
        <f>1.337726/((211.99865/2)/10)</f>
        <v>0.12620136967853332</v>
      </c>
      <c r="I26" s="16">
        <v>3.5316999999999998</v>
      </c>
      <c r="J26" s="12">
        <v>204</v>
      </c>
      <c r="K26" s="24">
        <v>0.56037382584412287</v>
      </c>
      <c r="L26" s="17">
        <v>47.244469142</v>
      </c>
      <c r="M26" s="26">
        <f>47.244469142/(1246.530862135/2)</f>
        <v>7.5801523375172389E-2</v>
      </c>
      <c r="N26" s="3">
        <v>1</v>
      </c>
      <c r="O26" s="9">
        <v>1.7</v>
      </c>
      <c r="P26" s="25">
        <v>0.44736842105263158</v>
      </c>
      <c r="Q26" s="21">
        <v>37.93</v>
      </c>
      <c r="R26" s="28">
        <v>0.62415665624485761</v>
      </c>
      <c r="S26" s="2">
        <f t="shared" si="0"/>
        <v>-63.554289810957066</v>
      </c>
      <c r="T26" s="2">
        <f t="shared" si="1"/>
        <v>-66.458641741553222</v>
      </c>
      <c r="U26" s="2">
        <f t="shared" si="2"/>
        <v>-25.180452347159559</v>
      </c>
      <c r="V26" s="2">
        <f t="shared" si="3"/>
        <v>-76.357881225004292</v>
      </c>
      <c r="W26" s="2">
        <f t="shared" si="4"/>
        <v>-65.183905594002852</v>
      </c>
      <c r="X26" s="2">
        <f t="shared" si="5"/>
        <v>-64.966607384615884</v>
      </c>
      <c r="Y26" s="2">
        <f t="shared" si="6"/>
        <v>-25.331652060271423</v>
      </c>
      <c r="Z26" s="2">
        <f t="shared" si="7"/>
        <v>-75.312527969608041</v>
      </c>
      <c r="AA26" s="2">
        <f t="shared" si="8"/>
        <v>-68.638975620956884</v>
      </c>
      <c r="AB26" s="1">
        <f t="shared" si="9"/>
        <v>24.280955221238106</v>
      </c>
      <c r="AC26" s="1">
        <f t="shared" si="10"/>
        <v>20.649313252205786</v>
      </c>
      <c r="AD26" s="1">
        <f t="shared" si="11"/>
        <v>53.212247464625008</v>
      </c>
      <c r="AE26" s="1">
        <f t="shared" si="12"/>
        <v>16.86932477945372</v>
      </c>
      <c r="AF26" s="1">
        <f t="shared" si="13"/>
        <v>28.700661101043757</v>
      </c>
      <c r="AG26" s="1">
        <f t="shared" si="14"/>
        <v>25.069019132011437</v>
      </c>
      <c r="AH26" s="1">
        <f t="shared" si="15"/>
        <v>57.631953344430656</v>
      </c>
      <c r="AI26" s="1">
        <f t="shared" si="16"/>
        <v>21.289030659259371</v>
      </c>
      <c r="AJ26" s="1">
        <f t="shared" si="17"/>
        <v>22.809717357535362</v>
      </c>
    </row>
    <row r="27" spans="1:36" ht="16.5" thickBot="1" x14ac:dyDescent="0.3">
      <c r="A27" s="8">
        <v>50</v>
      </c>
      <c r="B27" s="31" t="s">
        <v>181</v>
      </c>
      <c r="C27" s="3" t="s">
        <v>180</v>
      </c>
      <c r="D27" s="3" t="s">
        <v>33</v>
      </c>
      <c r="E27" s="15">
        <f>((1/100000)*633930)/10</f>
        <v>0.6339300000000001</v>
      </c>
      <c r="F27" s="24">
        <f>(((1/100000)*633930)/10)/(((1/100000)*7348620/2)/10)</f>
        <v>0.17253035263763808</v>
      </c>
      <c r="G27" s="23">
        <v>1.1356139999999999</v>
      </c>
      <c r="H27" s="25">
        <f>1.135614/((211.99865/2)/10)</f>
        <v>0.10713407844814106</v>
      </c>
      <c r="I27" s="16">
        <v>4.0201000000000002</v>
      </c>
      <c r="J27" s="12">
        <v>104</v>
      </c>
      <c r="K27" s="24">
        <v>0.6378681137344504</v>
      </c>
      <c r="L27" s="17">
        <v>45.652818414000002</v>
      </c>
      <c r="M27" s="26">
        <f>45.652818414/(1246.530862135/2)</f>
        <v>7.3247794821233683E-2</v>
      </c>
      <c r="N27" s="3">
        <v>1</v>
      </c>
      <c r="O27" s="9">
        <v>1.3</v>
      </c>
      <c r="P27" s="25">
        <v>0.34210526315789475</v>
      </c>
      <c r="Q27" s="21">
        <v>39.46</v>
      </c>
      <c r="R27" s="28">
        <v>0.64933355273983873</v>
      </c>
      <c r="S27" s="2">
        <f t="shared" si="0"/>
        <v>-66.743278538705752</v>
      </c>
      <c r="T27" s="2">
        <f t="shared" si="1"/>
        <v>-73.726328566442078</v>
      </c>
      <c r="U27" s="2">
        <f t="shared" si="2"/>
        <v>-16.389088465111342</v>
      </c>
      <c r="V27" s="2">
        <f t="shared" si="3"/>
        <v>-79.459752209470054</v>
      </c>
      <c r="W27" s="2">
        <f t="shared" si="4"/>
        <v>-65.837940691013699</v>
      </c>
      <c r="X27" s="2">
        <f t="shared" si="5"/>
        <v>-71.072843506674459</v>
      </c>
      <c r="Y27" s="2">
        <f t="shared" si="6"/>
        <v>-14.873756667960649</v>
      </c>
      <c r="Z27" s="2">
        <f t="shared" si="7"/>
        <v>-76.78438150612503</v>
      </c>
      <c r="AA27" s="2">
        <f t="shared" si="8"/>
        <v>-72.27075416973851</v>
      </c>
      <c r="AB27" s="1">
        <f t="shared" si="9"/>
        <v>21.492408026770228</v>
      </c>
      <c r="AC27" s="1">
        <f t="shared" si="10"/>
        <v>16.587687462557948</v>
      </c>
      <c r="AD27" s="1">
        <f t="shared" si="11"/>
        <v>56.392740109031145</v>
      </c>
      <c r="AE27" s="1">
        <f t="shared" si="12"/>
        <v>14.046216190539894</v>
      </c>
      <c r="AF27" s="1">
        <f t="shared" si="13"/>
        <v>29.173115266318828</v>
      </c>
      <c r="AG27" s="1">
        <f t="shared" si="14"/>
        <v>24.268394702106548</v>
      </c>
      <c r="AH27" s="1">
        <f t="shared" si="15"/>
        <v>64.073447348579748</v>
      </c>
      <c r="AI27" s="1">
        <f t="shared" si="16"/>
        <v>21.726923430088497</v>
      </c>
      <c r="AJ27" s="1">
        <f t="shared" si="17"/>
        <v>21.215790846396992</v>
      </c>
    </row>
    <row r="28" spans="1:36" ht="15.75" x14ac:dyDescent="0.25">
      <c r="A28" s="8">
        <v>25</v>
      </c>
      <c r="B28" s="31" t="s">
        <v>167</v>
      </c>
      <c r="C28" s="3" t="s">
        <v>166</v>
      </c>
      <c r="D28" s="3" t="s">
        <v>165</v>
      </c>
      <c r="E28" s="15">
        <f>((1/100000)*1143670)/10</f>
        <v>1.14367</v>
      </c>
      <c r="F28" s="24">
        <f>(((1/100000)*1143670)/10)/(((1/100000)*7348620/2)/10)</f>
        <v>0.31126116195966042</v>
      </c>
      <c r="G28" s="23">
        <v>2.2652229999999998</v>
      </c>
      <c r="H28" s="25">
        <f>2.265223/((211.99865/2)/10)</f>
        <v>0.21370164385480755</v>
      </c>
      <c r="I28" s="16">
        <v>4.609</v>
      </c>
      <c r="J28" s="10">
        <v>41</v>
      </c>
      <c r="K28" s="24">
        <v>0.73130870779385637</v>
      </c>
      <c r="L28" s="17">
        <v>104.40412807</v>
      </c>
      <c r="M28" s="26">
        <f>104.40412807/(1246.530862135/2)</f>
        <v>0.1675115013056018</v>
      </c>
      <c r="N28" s="3">
        <v>1</v>
      </c>
      <c r="O28" s="9">
        <v>1.9</v>
      </c>
      <c r="P28" s="25">
        <v>0.5</v>
      </c>
      <c r="Q28" s="9">
        <v>38.869999999999997</v>
      </c>
      <c r="R28" s="28">
        <v>0.63962481487576095</v>
      </c>
      <c r="S28" s="2">
        <f t="shared" si="0"/>
        <v>-32.232455848704618</v>
      </c>
      <c r="T28" s="2">
        <f t="shared" si="1"/>
        <v>-40.721245954950447</v>
      </c>
      <c r="U28" s="2">
        <f t="shared" si="2"/>
        <v>-1.4409318654041101</v>
      </c>
      <c r="V28" s="2">
        <f t="shared" si="3"/>
        <v>-44.647706885993053</v>
      </c>
      <c r="W28" s="2">
        <f t="shared" si="4"/>
        <v>-38.204385748552575</v>
      </c>
      <c r="X28" s="2">
        <f t="shared" si="5"/>
        <v>-41.683775625416921</v>
      </c>
      <c r="Y28" s="2">
        <f t="shared" si="6"/>
        <v>-2.4621146023121554</v>
      </c>
      <c r="Z28" s="2">
        <f t="shared" si="7"/>
        <v>-46.352722735438277</v>
      </c>
      <c r="AA28" s="2">
        <f t="shared" si="8"/>
        <v>-40.640382133175983</v>
      </c>
      <c r="AB28" s="1">
        <f t="shared" si="9"/>
        <v>35.844587146974533</v>
      </c>
      <c r="AC28" s="1">
        <f t="shared" si="10"/>
        <v>28.527623289110565</v>
      </c>
      <c r="AD28" s="1">
        <f t="shared" si="11"/>
        <v>67.348153084539234</v>
      </c>
      <c r="AE28" s="1">
        <f t="shared" si="12"/>
        <v>25.063362597920136</v>
      </c>
      <c r="AF28" s="1">
        <f t="shared" si="13"/>
        <v>39.33520751886855</v>
      </c>
      <c r="AG28" s="1">
        <f t="shared" si="14"/>
        <v>32.01824366100459</v>
      </c>
      <c r="AH28" s="1">
        <f t="shared" si="15"/>
        <v>70.838773456433259</v>
      </c>
      <c r="AI28" s="1">
        <f t="shared" si="16"/>
        <v>28.553982969814161</v>
      </c>
      <c r="AJ28" s="1">
        <f t="shared" si="17"/>
        <v>31.557167863948752</v>
      </c>
    </row>
    <row r="29" spans="1:36" x14ac:dyDescent="0.2">
      <c r="F29" s="24"/>
      <c r="G29" s="23"/>
      <c r="H29" s="25"/>
      <c r="K29" s="24"/>
      <c r="M29" s="26"/>
      <c r="P29" s="25"/>
      <c r="R29" s="28"/>
      <c r="S29" s="2"/>
      <c r="T29" s="2"/>
      <c r="U29" s="2"/>
      <c r="V29" s="2"/>
      <c r="W29" s="2"/>
      <c r="X29" s="2"/>
      <c r="Y29" s="2"/>
      <c r="Z29" s="2"/>
      <c r="AA29" s="2"/>
    </row>
    <row r="30" spans="1:36" ht="15.75" x14ac:dyDescent="0.25">
      <c r="A30" s="8">
        <v>11</v>
      </c>
      <c r="B30" s="7" t="s">
        <v>177</v>
      </c>
      <c r="C30" s="11" t="s">
        <v>176</v>
      </c>
      <c r="D30" s="3" t="s">
        <v>102</v>
      </c>
      <c r="E30" s="15">
        <f>((1/100000)*1908590)/10</f>
        <v>1.9085900000000002</v>
      </c>
      <c r="F30" s="24">
        <f>(((1/100000)*1908590)/10)/(((1/100000)*7348620/2)/10)</f>
        <v>0.5194417455250101</v>
      </c>
      <c r="G30" s="23">
        <v>2.3959969999999999</v>
      </c>
      <c r="H30" s="25">
        <f>2.395997/((211.99865/2)/10)</f>
        <v>0.22603889222879486</v>
      </c>
      <c r="I30" s="16">
        <v>3.7406000000000001</v>
      </c>
      <c r="J30" s="12">
        <v>156</v>
      </c>
      <c r="K30" s="24">
        <v>0.59351992891596861</v>
      </c>
      <c r="L30" s="17">
        <v>89.624663781999999</v>
      </c>
      <c r="M30" s="26">
        <f>89.624663782/(1246.530862135/2)</f>
        <v>0.14379854764044117</v>
      </c>
      <c r="N30" s="3"/>
      <c r="O30" s="9">
        <v>1.1000000000000001</v>
      </c>
      <c r="P30" s="25">
        <v>0.28947368421052633</v>
      </c>
      <c r="Q30" s="27">
        <v>30.65</v>
      </c>
      <c r="R30" s="28">
        <v>0.50436070429488233</v>
      </c>
      <c r="S30" s="2">
        <f t="shared" si="0"/>
        <v>-3.558628449973682</v>
      </c>
      <c r="T30" s="2">
        <f t="shared" si="1"/>
        <v>-46.627912304738615</v>
      </c>
      <c r="U30" s="2">
        <f t="shared" si="2"/>
        <v>-22.906200861230431</v>
      </c>
      <c r="V30" s="2">
        <f t="shared" si="3"/>
        <v>-61.612665661189574</v>
      </c>
      <c r="W30" s="2">
        <f t="shared" si="4"/>
        <v>7.0970234797182172</v>
      </c>
      <c r="X30" s="2">
        <f t="shared" si="5"/>
        <v>-27.562808629663209</v>
      </c>
      <c r="Y30" s="2">
        <f t="shared" si="6"/>
        <v>-21.4941820051544</v>
      </c>
      <c r="Z30" s="2">
        <f t="shared" si="7"/>
        <v>-46.094439346745276</v>
      </c>
      <c r="AA30" s="2">
        <f t="shared" si="8"/>
        <v>-29.726571818765354</v>
      </c>
      <c r="AB30" s="1">
        <f t="shared" si="9"/>
        <v>46.194973019638915</v>
      </c>
      <c r="AC30" s="1">
        <f t="shared" si="10"/>
        <v>24.189759022422773</v>
      </c>
      <c r="AD30" s="1">
        <f t="shared" si="11"/>
        <v>51.750836773960799</v>
      </c>
      <c r="AE30" s="1">
        <f t="shared" si="12"/>
        <v>18.021733178296245</v>
      </c>
      <c r="AF30" s="1">
        <f t="shared" si="13"/>
        <v>51.567148521747818</v>
      </c>
      <c r="AG30" s="1">
        <f t="shared" si="14"/>
        <v>29.561934524531676</v>
      </c>
      <c r="AH30" s="1">
        <f t="shared" si="15"/>
        <v>57.123012276069709</v>
      </c>
      <c r="AI30" s="1">
        <f t="shared" si="16"/>
        <v>23.393908680405147</v>
      </c>
      <c r="AJ30" s="1">
        <f t="shared" si="17"/>
        <v>32.154909491173761</v>
      </c>
    </row>
    <row r="31" spans="1:36" ht="15.75" x14ac:dyDescent="0.25">
      <c r="A31" s="8">
        <v>14</v>
      </c>
      <c r="B31" s="7" t="s">
        <v>175</v>
      </c>
      <c r="C31" s="11" t="s">
        <v>174</v>
      </c>
      <c r="D31" s="3" t="s">
        <v>73</v>
      </c>
      <c r="E31" s="15">
        <f>((1/100000)*1808530)/10</f>
        <v>1.80853</v>
      </c>
      <c r="F31" s="24">
        <f>(((1/100000)*1808530)/10)/(((1/100000)*7348620/2)/10)</f>
        <v>0.49220942163290515</v>
      </c>
      <c r="G31" s="23">
        <v>3.5547600000000004</v>
      </c>
      <c r="H31" s="25">
        <f>3.55476/((211.99865/2)/10)</f>
        <v>0.33535685250825897</v>
      </c>
      <c r="I31" s="16">
        <v>5.0732999999999997</v>
      </c>
      <c r="J31" s="10">
        <v>14</v>
      </c>
      <c r="K31" s="24">
        <v>0.80497905559786753</v>
      </c>
      <c r="L31" s="17">
        <v>180.34363908</v>
      </c>
      <c r="M31" s="26">
        <f>180.34363908/(1246.530862135/2)</f>
        <v>0.28935286651646286</v>
      </c>
      <c r="N31" s="3"/>
      <c r="O31" s="9">
        <v>1.6</v>
      </c>
      <c r="P31" s="25">
        <v>0.4210526315789474</v>
      </c>
      <c r="Q31" s="27">
        <v>41.57</v>
      </c>
      <c r="R31" s="28">
        <v>0.6840546322198453</v>
      </c>
      <c r="S31" s="2">
        <f t="shared" si="0"/>
        <v>0.64700621277513903</v>
      </c>
      <c r="T31" s="2">
        <f t="shared" si="1"/>
        <v>-12.697615106203713</v>
      </c>
      <c r="U31" s="2">
        <f t="shared" si="2"/>
        <v>6.9809988688899267</v>
      </c>
      <c r="V31" s="2">
        <f t="shared" si="3"/>
        <v>-12.215446284472293</v>
      </c>
      <c r="W31" s="2">
        <f t="shared" si="4"/>
        <v>-3.4559106407780149</v>
      </c>
      <c r="X31" s="2">
        <f t="shared" si="5"/>
        <v>-12.740979816214349</v>
      </c>
      <c r="Y31" s="2">
        <f t="shared" si="6"/>
        <v>7.6584704311212164</v>
      </c>
      <c r="Z31" s="2">
        <f t="shared" si="7"/>
        <v>-11.563369758472973</v>
      </c>
      <c r="AA31" s="2">
        <f t="shared" si="8"/>
        <v>-8.671052565561034</v>
      </c>
      <c r="AB31" s="1">
        <f t="shared" si="9"/>
        <v>47.442022411941572</v>
      </c>
      <c r="AC31" s="1">
        <f t="shared" si="10"/>
        <v>35.678079727593101</v>
      </c>
      <c r="AD31" s="1">
        <f t="shared" si="11"/>
        <v>70.89974495931375</v>
      </c>
      <c r="AE31" s="1">
        <f t="shared" si="12"/>
        <v>32.227780778208398</v>
      </c>
      <c r="AF31" s="1">
        <f t="shared" si="13"/>
        <v>54.017072427964017</v>
      </c>
      <c r="AG31" s="1">
        <f t="shared" si="14"/>
        <v>42.253129743615553</v>
      </c>
      <c r="AH31" s="1">
        <f t="shared" si="15"/>
        <v>77.474794975336209</v>
      </c>
      <c r="AI31" s="1">
        <f t="shared" si="16"/>
        <v>38.80283079423085</v>
      </c>
      <c r="AJ31" s="1">
        <f t="shared" si="17"/>
        <v>41.736819313925587</v>
      </c>
    </row>
    <row r="32" spans="1:36" ht="15.75" x14ac:dyDescent="0.25">
      <c r="A32" s="8">
        <v>21</v>
      </c>
      <c r="B32" s="3" t="s">
        <v>173</v>
      </c>
      <c r="C32" s="11" t="s">
        <v>172</v>
      </c>
      <c r="D32" s="3" t="s">
        <v>67</v>
      </c>
      <c r="E32" s="15">
        <f>((1/100000)*1215570)/10</f>
        <v>1.21557</v>
      </c>
      <c r="F32" s="24">
        <f>(((1/100000)*1215570)/10)/(((1/100000)*7348620/2)/10)</f>
        <v>0.33082946185814477</v>
      </c>
      <c r="G32" s="23">
        <v>2.6036069999999998</v>
      </c>
      <c r="H32" s="25">
        <f>2.603607/((211.99865/2)/10)</f>
        <v>0.24562486600740147</v>
      </c>
      <c r="I32" s="16">
        <v>4.4436999999999998</v>
      </c>
      <c r="J32" s="3">
        <v>66</v>
      </c>
      <c r="K32" s="24">
        <v>0.70508060421426755</v>
      </c>
      <c r="L32" s="17">
        <v>115.696484259</v>
      </c>
      <c r="M32" s="26">
        <f>115.696484259/(1246.530862135/2)</f>
        <v>0.18562955442730147</v>
      </c>
      <c r="N32" s="3"/>
      <c r="O32" s="9">
        <v>2.2999999999999998</v>
      </c>
      <c r="P32" s="25">
        <v>0.60526315789473684</v>
      </c>
      <c r="Q32" s="27">
        <v>37.89</v>
      </c>
      <c r="R32" s="28">
        <v>0.62349843672864902</v>
      </c>
      <c r="S32" s="2">
        <f t="shared" si="0"/>
        <v>-21.166564412845105</v>
      </c>
      <c r="T32" s="2">
        <f t="shared" si="1"/>
        <v>-25.341260436058533</v>
      </c>
      <c r="U32" s="2">
        <f t="shared" si="2"/>
        <v>-3.157182211144459</v>
      </c>
      <c r="V32" s="2">
        <f t="shared" si="3"/>
        <v>-30.382590124942681</v>
      </c>
      <c r="W32" s="2">
        <f t="shared" si="4"/>
        <v>-34.027821344187828</v>
      </c>
      <c r="X32" s="2">
        <f t="shared" si="5"/>
        <v>-31.764598453493548</v>
      </c>
      <c r="Y32" s="2">
        <f t="shared" si="6"/>
        <v>-6.0536600690058862</v>
      </c>
      <c r="Z32" s="2">
        <f t="shared" si="7"/>
        <v>-39.499495366009974</v>
      </c>
      <c r="AA32" s="2">
        <f t="shared" si="8"/>
        <v>-30.36372168958961</v>
      </c>
      <c r="AB32" s="1">
        <f t="shared" si="9"/>
        <v>39.943788586729276</v>
      </c>
      <c r="AC32" s="1">
        <f t="shared" si="10"/>
        <v>33.553443897923529</v>
      </c>
      <c r="AD32" s="1">
        <f t="shared" si="11"/>
        <v>68.012624263438482</v>
      </c>
      <c r="AE32" s="1">
        <f t="shared" si="12"/>
        <v>29.053795529416032</v>
      </c>
      <c r="AF32" s="1">
        <f t="shared" si="13"/>
        <v>40.399670557577082</v>
      </c>
      <c r="AG32" s="1">
        <f t="shared" si="14"/>
        <v>34.009325868771334</v>
      </c>
      <c r="AH32" s="1">
        <f t="shared" si="15"/>
        <v>68.468506234286281</v>
      </c>
      <c r="AI32" s="1">
        <f t="shared" si="16"/>
        <v>29.509677500263837</v>
      </c>
      <c r="AJ32" s="1">
        <f t="shared" si="17"/>
        <v>34.411616990113515</v>
      </c>
    </row>
    <row r="33" spans="1:36" ht="15.75" x14ac:dyDescent="0.25">
      <c r="A33" s="8">
        <v>23</v>
      </c>
      <c r="B33" s="3" t="s">
        <v>171</v>
      </c>
      <c r="C33" s="3" t="s">
        <v>170</v>
      </c>
      <c r="D33" s="3" t="s">
        <v>114</v>
      </c>
      <c r="E33" s="15">
        <f>((1/100000)*1160220)/10</f>
        <v>1.1602200000000003</v>
      </c>
      <c r="F33" s="24">
        <f>(((1/100000)*1160220)/10)/(((1/100000)*7348620/2)/10)</f>
        <v>0.31576540901557026</v>
      </c>
      <c r="G33" s="23">
        <v>2.358695</v>
      </c>
      <c r="H33" s="25">
        <f>2.358695/((211.99865/2)/10)</f>
        <v>0.2225198132157917</v>
      </c>
      <c r="I33" s="16">
        <v>3.7467000000000001</v>
      </c>
      <c r="J33" s="12">
        <v>153</v>
      </c>
      <c r="K33" s="24">
        <v>0.59448781416603202</v>
      </c>
      <c r="L33" s="17">
        <v>88.373225564999998</v>
      </c>
      <c r="M33" s="26">
        <f>88.373225565/(1246.530862135/2)</f>
        <v>0.14179067402091988</v>
      </c>
      <c r="N33" s="3"/>
      <c r="O33" s="9">
        <v>1.7</v>
      </c>
      <c r="P33" s="25">
        <v>0.44736842105263158</v>
      </c>
      <c r="Q33" s="27">
        <v>40.03</v>
      </c>
      <c r="R33" s="28">
        <v>0.6587131808458121</v>
      </c>
      <c r="S33" s="2">
        <f t="shared" si="0"/>
        <v>-34.09644045458154</v>
      </c>
      <c r="T33" s="2">
        <f t="shared" si="1"/>
        <v>-40.85946298613684</v>
      </c>
      <c r="U33" s="2">
        <f t="shared" si="2"/>
        <v>-20.625647934168455</v>
      </c>
      <c r="V33" s="2">
        <f t="shared" si="3"/>
        <v>-55.776192784441356</v>
      </c>
      <c r="W33" s="2">
        <f t="shared" si="4"/>
        <v>-37.636435653140154</v>
      </c>
      <c r="X33" s="2">
        <f t="shared" si="5"/>
        <v>-40.523516816416937</v>
      </c>
      <c r="Y33" s="2">
        <f t="shared" si="6"/>
        <v>-20.617119977820323</v>
      </c>
      <c r="Z33" s="2">
        <f t="shared" si="7"/>
        <v>-55.504783165951025</v>
      </c>
      <c r="AA33" s="2">
        <f t="shared" si="8"/>
        <v>-44.066138643444638</v>
      </c>
      <c r="AB33" s="1">
        <f t="shared" si="9"/>
        <v>34.866616202483556</v>
      </c>
      <c r="AC33" s="1">
        <f t="shared" si="10"/>
        <v>27.873196517500165</v>
      </c>
      <c r="AD33" s="1">
        <f t="shared" si="11"/>
        <v>55.770796588768192</v>
      </c>
      <c r="AE33" s="1">
        <f t="shared" si="12"/>
        <v>21.818511077884782</v>
      </c>
      <c r="AF33" s="1">
        <f t="shared" si="13"/>
        <v>40.150235197313073</v>
      </c>
      <c r="AG33" s="1">
        <f t="shared" si="14"/>
        <v>33.156815512329679</v>
      </c>
      <c r="AH33" s="1">
        <f t="shared" si="15"/>
        <v>61.054415583597709</v>
      </c>
      <c r="AI33" s="1">
        <f t="shared" si="16"/>
        <v>27.102130072714292</v>
      </c>
      <c r="AJ33" s="1">
        <f t="shared" si="17"/>
        <v>30.827917430037591</v>
      </c>
    </row>
    <row r="34" spans="1:36" ht="15.75" x14ac:dyDescent="0.25">
      <c r="A34" s="8">
        <v>24</v>
      </c>
      <c r="B34" s="7" t="s">
        <v>169</v>
      </c>
      <c r="C34" s="11" t="s">
        <v>168</v>
      </c>
      <c r="D34" s="3" t="s">
        <v>0</v>
      </c>
      <c r="E34" s="15">
        <f>((1/100000)*1153580)/10</f>
        <v>1.1535800000000003</v>
      </c>
      <c r="F34" s="24">
        <f>(((1/100000)*1153580)/10)/(((1/100000)*7348620/2)/10)</f>
        <v>0.31395826699434726</v>
      </c>
      <c r="G34" s="23">
        <v>1.1879409999999999</v>
      </c>
      <c r="H34" s="25">
        <f>1.187941/((211.99865/2)/10)</f>
        <v>0.11207061931762301</v>
      </c>
      <c r="I34" s="16">
        <v>4.8845000000000001</v>
      </c>
      <c r="J34" s="10">
        <v>19</v>
      </c>
      <c r="K34" s="24">
        <v>0.7750222137598376</v>
      </c>
      <c r="L34" s="17">
        <v>58.024978144999999</v>
      </c>
      <c r="M34" s="26">
        <f>58.024978145/(1246.530862135/2)</f>
        <v>9.3098341818216232E-2</v>
      </c>
      <c r="O34" s="9">
        <v>1.1000000000000001</v>
      </c>
      <c r="P34" s="25">
        <v>0.28947368421052633</v>
      </c>
      <c r="Q34" s="27">
        <v>54.84</v>
      </c>
      <c r="R34" s="28">
        <v>0.90241895672206685</v>
      </c>
      <c r="S34" s="2">
        <f t="shared" si="0"/>
        <v>-41.709409882332302</v>
      </c>
      <c r="T34" s="2">
        <f t="shared" si="1"/>
        <v>-73.53799223087654</v>
      </c>
      <c r="U34" s="2">
        <f t="shared" si="2"/>
        <v>0.66958827282252287</v>
      </c>
      <c r="V34" s="2">
        <f t="shared" si="3"/>
        <v>-75.147195626058988</v>
      </c>
      <c r="W34" s="2">
        <f t="shared" si="4"/>
        <v>-41.857040662495884</v>
      </c>
      <c r="X34" s="2">
        <f t="shared" si="5"/>
        <v>-76.263892587472014</v>
      </c>
      <c r="Y34" s="2">
        <f t="shared" si="6"/>
        <v>5.0701698957685437</v>
      </c>
      <c r="Z34" s="2">
        <f t="shared" si="7"/>
        <v>-76.761265141263976</v>
      </c>
      <c r="AA34" s="2">
        <f t="shared" si="8"/>
        <v>-64.212799355083277</v>
      </c>
      <c r="AB34" s="1">
        <f t="shared" si="9"/>
        <v>30.783712129839202</v>
      </c>
      <c r="AC34" s="1">
        <f t="shared" si="10"/>
        <v>15.642138554084884</v>
      </c>
      <c r="AD34" s="1">
        <f t="shared" si="11"/>
        <v>65.363508137250975</v>
      </c>
      <c r="AE34" s="1">
        <f t="shared" si="12"/>
        <v>14.219217741629375</v>
      </c>
      <c r="AF34" s="1">
        <f t="shared" si="13"/>
        <v>46.107343942627715</v>
      </c>
      <c r="AG34" s="1">
        <f t="shared" si="14"/>
        <v>30.965770366873397</v>
      </c>
      <c r="AH34" s="1">
        <f t="shared" si="15"/>
        <v>80.687139950039494</v>
      </c>
      <c r="AI34" s="1">
        <f t="shared" si="16"/>
        <v>29.542849554417888</v>
      </c>
      <c r="AJ34" s="1">
        <f t="shared" si="17"/>
        <v>27.876838714912079</v>
      </c>
    </row>
    <row r="35" spans="1:36" ht="15.75" x14ac:dyDescent="0.25">
      <c r="A35" s="8">
        <v>80</v>
      </c>
      <c r="B35" s="7" t="s">
        <v>167</v>
      </c>
      <c r="C35" s="3" t="s">
        <v>179</v>
      </c>
      <c r="D35" s="3" t="s">
        <v>178</v>
      </c>
      <c r="E35" s="15">
        <f>((1/100000)*383700)/10</f>
        <v>0.38370000000000004</v>
      </c>
      <c r="F35" s="24">
        <f>(((1/100000)*383700)/10)/(((1/100000)*7348620/2)/10)</f>
        <v>0.10442777011193938</v>
      </c>
      <c r="G35" s="23">
        <v>0.24354399999999998</v>
      </c>
      <c r="H35" s="25">
        <f>0.243544/((211.99865/2)/10)</f>
        <v>2.2975995366008226E-2</v>
      </c>
      <c r="I35" s="16">
        <v>4.4706999999999999</v>
      </c>
      <c r="J35" s="12">
        <v>61</v>
      </c>
      <c r="K35" s="24">
        <v>0.70936468646864692</v>
      </c>
      <c r="L35" s="17">
        <v>10.888121608000001</v>
      </c>
      <c r="M35" s="26">
        <f>10.888121608/(1246.530862135/2)</f>
        <v>1.7469477794318438E-2</v>
      </c>
      <c r="N35" s="3"/>
      <c r="O35" s="9">
        <v>2.7</v>
      </c>
      <c r="P35" s="25">
        <v>0.71052631578947378</v>
      </c>
      <c r="Q35" s="27">
        <v>42.15</v>
      </c>
      <c r="R35" s="28">
        <v>0.69359881520487077</v>
      </c>
      <c r="S35" s="2">
        <f t="shared" si="0"/>
        <v>-72.519400322178342</v>
      </c>
      <c r="T35" s="2">
        <f t="shared" si="1"/>
        <v>-92.27673432811531</v>
      </c>
      <c r="U35" s="2">
        <f t="shared" si="2"/>
        <v>-0.66778788583383175</v>
      </c>
      <c r="V35" s="2">
        <f t="shared" si="3"/>
        <v>-92.426207222860739</v>
      </c>
      <c r="W35" s="2">
        <f t="shared" si="4"/>
        <v>-79.569887569137848</v>
      </c>
      <c r="X35" s="2">
        <f t="shared" si="5"/>
        <v>-94.080826479209748</v>
      </c>
      <c r="Y35" s="2">
        <f t="shared" si="6"/>
        <v>-5.0730630707157047</v>
      </c>
      <c r="Z35" s="2">
        <f t="shared" si="7"/>
        <v>-94.712565998220356</v>
      </c>
      <c r="AA35" s="2">
        <f t="shared" si="8"/>
        <v>-87.597603653287067</v>
      </c>
      <c r="AB35" s="1">
        <f t="shared" si="9"/>
        <v>25.595240653132301</v>
      </c>
      <c r="AC35" s="1">
        <f t="shared" si="10"/>
        <v>19.48635754718746</v>
      </c>
      <c r="AD35" s="1">
        <f t="shared" si="11"/>
        <v>70.965509379885361</v>
      </c>
      <c r="AE35" s="1">
        <f t="shared" si="12"/>
        <v>19.073368729310726</v>
      </c>
      <c r="AF35" s="1">
        <f t="shared" si="13"/>
        <v>25.172053138517224</v>
      </c>
      <c r="AG35" s="1">
        <f t="shared" si="14"/>
        <v>19.063170032572387</v>
      </c>
      <c r="AH35" s="1">
        <f t="shared" si="15"/>
        <v>70.542321865270281</v>
      </c>
      <c r="AI35" s="1">
        <f t="shared" si="16"/>
        <v>18.650181214695653</v>
      </c>
      <c r="AJ35" s="1">
        <f t="shared" si="17"/>
        <v>21.173395219235957</v>
      </c>
    </row>
    <row r="36" spans="1:36" ht="15.75" x14ac:dyDescent="0.25">
      <c r="A36" s="8">
        <v>27</v>
      </c>
      <c r="B36" s="3" t="s">
        <v>164</v>
      </c>
      <c r="C36" s="11" t="s">
        <v>163</v>
      </c>
      <c r="D36" s="3" t="s">
        <v>119</v>
      </c>
      <c r="E36" s="15">
        <f>((1/100000)*1065700)/10</f>
        <v>1.0657000000000001</v>
      </c>
      <c r="F36" s="24">
        <f>(((1/100000)*1065700)/10)/(((1/100000)*7348620/2)/10)</f>
        <v>0.29004085120743756</v>
      </c>
      <c r="G36" s="23">
        <v>2.8138329999999998</v>
      </c>
      <c r="H36" s="25">
        <f>2.813833/((211.99865/2)/10)</f>
        <v>0.26545763381040399</v>
      </c>
      <c r="I36" s="16">
        <v>4.7066999999999997</v>
      </c>
      <c r="J36" s="10">
        <v>27</v>
      </c>
      <c r="K36" s="24">
        <v>0.74681073876618431</v>
      </c>
      <c r="L36" s="17">
        <v>132.43867781099999</v>
      </c>
      <c r="M36" s="26">
        <f>132.438677811/(1246.530862135/2)</f>
        <v>0.21249161466273717</v>
      </c>
      <c r="N36" s="3"/>
      <c r="O36" s="9">
        <v>1.2</v>
      </c>
      <c r="P36" s="25">
        <v>0.31578947368421051</v>
      </c>
      <c r="Q36" s="27">
        <v>44.03</v>
      </c>
      <c r="R36" s="28">
        <v>0.72453513246667767</v>
      </c>
      <c r="S36" s="2">
        <f t="shared" si="0"/>
        <v>-45.140348049358181</v>
      </c>
      <c r="T36" s="2">
        <f t="shared" si="1"/>
        <v>-36.132591162405006</v>
      </c>
      <c r="U36" s="2">
        <f t="shared" si="2"/>
        <v>-2.5539651904801133</v>
      </c>
      <c r="V36" s="2">
        <f t="shared" si="3"/>
        <v>-41.879068895933536</v>
      </c>
      <c r="W36" s="2">
        <f t="shared" si="4"/>
        <v>-43.727002510840364</v>
      </c>
      <c r="X36" s="2">
        <f t="shared" si="5"/>
        <v>-33.735852763123205</v>
      </c>
      <c r="Y36" s="2">
        <f t="shared" si="6"/>
        <v>0.12953362731622065</v>
      </c>
      <c r="Z36" s="2">
        <f t="shared" si="7"/>
        <v>-37.649035400327314</v>
      </c>
      <c r="AA36" s="2">
        <f t="shared" si="8"/>
        <v>-39.710649796997934</v>
      </c>
      <c r="AB36" s="1">
        <f t="shared" si="9"/>
        <v>29.647800682663082</v>
      </c>
      <c r="AC36" s="1">
        <f t="shared" si="10"/>
        <v>27.804059377885558</v>
      </c>
      <c r="AD36" s="1">
        <f t="shared" si="11"/>
        <v>63.905542249569095</v>
      </c>
      <c r="AE36" s="1">
        <f t="shared" si="12"/>
        <v>23.83160794181055</v>
      </c>
      <c r="AF36" s="1">
        <f t="shared" si="13"/>
        <v>39.866442152224757</v>
      </c>
      <c r="AG36" s="1">
        <f t="shared" si="14"/>
        <v>38.022700847447247</v>
      </c>
      <c r="AH36" s="1">
        <f t="shared" si="15"/>
        <v>74.12418371913077</v>
      </c>
      <c r="AI36" s="1">
        <f t="shared" si="16"/>
        <v>34.050249411372228</v>
      </c>
      <c r="AJ36" s="1">
        <f t="shared" si="17"/>
        <v>32.203810068900573</v>
      </c>
    </row>
    <row r="37" spans="1:36" ht="15.75" x14ac:dyDescent="0.25">
      <c r="A37" s="8">
        <v>28</v>
      </c>
      <c r="B37" s="3" t="s">
        <v>162</v>
      </c>
      <c r="C37" s="11" t="s">
        <v>161</v>
      </c>
      <c r="D37" s="3" t="s">
        <v>33</v>
      </c>
      <c r="E37" s="15">
        <f>((1/100000)*1011570)/10</f>
        <v>1.0115700000000001</v>
      </c>
      <c r="F37" s="24">
        <f>(((1/100000)*1011570)/10)/(((1/100000)*7348620/2)/10)</f>
        <v>0.27530883349526847</v>
      </c>
      <c r="G37" s="23">
        <v>1.231311</v>
      </c>
      <c r="H37" s="25">
        <f>1.231311/((211.99865/2)/10)</f>
        <v>0.11616215480617448</v>
      </c>
      <c r="I37" s="16">
        <v>4.4222999999999999</v>
      </c>
      <c r="J37" s="3">
        <v>68</v>
      </c>
      <c r="K37" s="24">
        <v>0.70168507235338917</v>
      </c>
      <c r="L37" s="17">
        <v>54.452266352999999</v>
      </c>
      <c r="M37" s="26">
        <f>54.452266353/(1246.530862135/2)</f>
        <v>8.7366094185163931E-2</v>
      </c>
      <c r="N37" s="3"/>
      <c r="O37" s="9">
        <v>1.3</v>
      </c>
      <c r="P37" s="25">
        <v>0.34210526315789475</v>
      </c>
      <c r="Q37" s="27">
        <v>51.2</v>
      </c>
      <c r="R37" s="28">
        <v>0.84252098074707915</v>
      </c>
      <c r="S37" s="2">
        <f t="shared" si="0"/>
        <v>-46.931835173281875</v>
      </c>
      <c r="T37" s="2">
        <f t="shared" si="1"/>
        <v>-71.512273847869409</v>
      </c>
      <c r="U37" s="2">
        <f t="shared" si="2"/>
        <v>-8.0240456504221243</v>
      </c>
      <c r="V37" s="2">
        <f t="shared" si="3"/>
        <v>-75.500679202238132</v>
      </c>
      <c r="W37" s="2">
        <f t="shared" si="4"/>
        <v>-48.221682046491154</v>
      </c>
      <c r="X37" s="2">
        <f t="shared" si="5"/>
        <v>-74.074460835297117</v>
      </c>
      <c r="Y37" s="2">
        <f t="shared" si="6"/>
        <v>-5.22786149504077</v>
      </c>
      <c r="Z37" s="2">
        <f t="shared" si="7"/>
        <v>-77.037619848936515</v>
      </c>
      <c r="AA37" s="2">
        <f t="shared" si="8"/>
        <v>-65.546425159019023</v>
      </c>
      <c r="AB37" s="1">
        <f t="shared" si="9"/>
        <v>29.200794091092501</v>
      </c>
      <c r="AC37" s="1">
        <f t="shared" si="10"/>
        <v>17.264793189410454</v>
      </c>
      <c r="AD37" s="1">
        <f t="shared" si="11"/>
        <v>61.179012005451547</v>
      </c>
      <c r="AE37" s="1">
        <f t="shared" si="12"/>
        <v>15.105088642834662</v>
      </c>
      <c r="AF37" s="1">
        <f t="shared" si="13"/>
        <v>41.711187030822117</v>
      </c>
      <c r="AG37" s="1">
        <f t="shared" si="14"/>
        <v>29.775186129140064</v>
      </c>
      <c r="AH37" s="1">
        <f t="shared" si="15"/>
        <v>73.689404945181153</v>
      </c>
      <c r="AI37" s="1">
        <f t="shared" si="16"/>
        <v>27.615481582564271</v>
      </c>
      <c r="AJ37" s="1">
        <f t="shared" si="17"/>
        <v>26.778755110977343</v>
      </c>
    </row>
    <row r="38" spans="1:36" ht="15.75" x14ac:dyDescent="0.25">
      <c r="A38" s="8">
        <v>29</v>
      </c>
      <c r="B38" s="3" t="s">
        <v>160</v>
      </c>
      <c r="C38" s="6" t="s">
        <v>159</v>
      </c>
      <c r="D38" s="3" t="s">
        <v>158</v>
      </c>
      <c r="E38" s="15">
        <f>((1/100000)*963950)/10</f>
        <v>0.96394999999999997</v>
      </c>
      <c r="F38" s="24">
        <f>(((1/100000)*963950)/10)/(((1/100000)*7348620/2)/10)</f>
        <v>0.26234857701173819</v>
      </c>
      <c r="G38" s="23">
        <v>1.1831099999999999</v>
      </c>
      <c r="H38" s="25">
        <f>1.18311/((211.99865/2)/10)</f>
        <v>0.11161486169841175</v>
      </c>
      <c r="I38" s="16">
        <v>5.2187999999999999</v>
      </c>
      <c r="J38" s="10">
        <v>7</v>
      </c>
      <c r="K38" s="24">
        <v>0.82806549885757808</v>
      </c>
      <c r="L38" s="17">
        <v>61.744144679999998</v>
      </c>
      <c r="M38" s="26">
        <f>61.74414468/(1246.530862135/2)</f>
        <v>9.9065569181732899E-2</v>
      </c>
      <c r="O38" s="9">
        <v>1.5</v>
      </c>
      <c r="P38" s="25">
        <v>0.39473684210526316</v>
      </c>
      <c r="Q38" s="27">
        <v>37.229999999999997</v>
      </c>
      <c r="R38" s="28">
        <v>0.61263781471120615</v>
      </c>
      <c r="S38" s="2">
        <f t="shared" si="0"/>
        <v>-47.420707377622847</v>
      </c>
      <c r="T38" s="2">
        <f t="shared" si="1"/>
        <v>-71.52747854260717</v>
      </c>
      <c r="U38" s="2">
        <f t="shared" si="2"/>
        <v>9.5420582375100906</v>
      </c>
      <c r="V38" s="2">
        <f t="shared" si="3"/>
        <v>-70.74375726055996</v>
      </c>
      <c r="W38" s="2">
        <f t="shared" si="4"/>
        <v>-47.527000844788503</v>
      </c>
      <c r="X38" s="2">
        <f t="shared" si="5"/>
        <v>-68.612121957007332</v>
      </c>
      <c r="Y38" s="2">
        <f t="shared" si="6"/>
        <v>10.259350657607087</v>
      </c>
      <c r="Z38" s="2">
        <f t="shared" si="7"/>
        <v>-67.323533576195089</v>
      </c>
      <c r="AA38" s="2">
        <f t="shared" si="8"/>
        <v>-62.192433259796815</v>
      </c>
      <c r="AB38" s="1">
        <f t="shared" si="9"/>
        <v>29.544564328511946</v>
      </c>
      <c r="AC38" s="1">
        <f t="shared" si="10"/>
        <v>18.239535680012462</v>
      </c>
      <c r="AD38" s="1">
        <f t="shared" si="11"/>
        <v>71.973333466949938</v>
      </c>
      <c r="AE38" s="1">
        <f t="shared" si="12"/>
        <v>17.298338741261546</v>
      </c>
      <c r="AF38" s="1">
        <f t="shared" si="13"/>
        <v>34.992088643660516</v>
      </c>
      <c r="AG38" s="1">
        <f t="shared" si="14"/>
        <v>23.687059995161036</v>
      </c>
      <c r="AH38" s="1">
        <f t="shared" si="15"/>
        <v>77.420857782098508</v>
      </c>
      <c r="AI38" s="1">
        <f t="shared" si="16"/>
        <v>22.745863056410119</v>
      </c>
      <c r="AJ38" s="1">
        <f t="shared" si="17"/>
        <v>24.417908407502935</v>
      </c>
    </row>
    <row r="39" spans="1:36" ht="15.75" x14ac:dyDescent="0.25">
      <c r="A39" s="8">
        <v>31</v>
      </c>
      <c r="B39" s="7" t="s">
        <v>157</v>
      </c>
      <c r="C39" s="3" t="s">
        <v>156</v>
      </c>
      <c r="D39" s="3" t="s">
        <v>60</v>
      </c>
      <c r="E39" s="15">
        <f>((1/100000)*920740)/10</f>
        <v>0.92074000000000011</v>
      </c>
      <c r="F39" s="24">
        <f>(((1/100000)*920740)/10)/(((1/100000)*7348620/2)/10)</f>
        <v>0.25058854587664076</v>
      </c>
      <c r="G39" s="23">
        <v>1.540157</v>
      </c>
      <c r="H39" s="25">
        <f>1.540157/((211.99865/2)/10)</f>
        <v>0.14529875544018794</v>
      </c>
      <c r="I39" s="16">
        <v>4.4782000000000002</v>
      </c>
      <c r="J39" s="3">
        <v>57</v>
      </c>
      <c r="K39" s="24">
        <v>0.71055470931708564</v>
      </c>
      <c r="L39" s="17">
        <v>68.971310774000003</v>
      </c>
      <c r="M39" s="26">
        <f>68.971310774/(1246.530862135/2)</f>
        <v>0.11066121645134265</v>
      </c>
      <c r="O39" s="9">
        <v>1.9</v>
      </c>
      <c r="P39" s="25">
        <v>0.5</v>
      </c>
      <c r="Q39" s="27">
        <v>51.69</v>
      </c>
      <c r="R39" s="28">
        <v>0.85058416982063512</v>
      </c>
      <c r="S39" s="2">
        <f t="shared" si="0"/>
        <v>-45.442051814016516</v>
      </c>
      <c r="T39" s="2">
        <f t="shared" si="1"/>
        <v>-59.695540794985128</v>
      </c>
      <c r="U39" s="2">
        <f t="shared" si="2"/>
        <v>-4.2379650856265272</v>
      </c>
      <c r="V39" s="2">
        <f t="shared" si="3"/>
        <v>-63.433244633200324</v>
      </c>
      <c r="W39" s="2">
        <f t="shared" si="4"/>
        <v>-52.96938161632459</v>
      </c>
      <c r="X39" s="2">
        <f t="shared" si="5"/>
        <v>-67.804670602900217</v>
      </c>
      <c r="Y39" s="2">
        <f t="shared" si="6"/>
        <v>-3.9815682697688715</v>
      </c>
      <c r="Z39" s="2">
        <f t="shared" si="7"/>
        <v>-71.120783473757371</v>
      </c>
      <c r="AA39" s="2">
        <f t="shared" si="8"/>
        <v>-60.077612155864017</v>
      </c>
      <c r="AB39" s="1">
        <f t="shared" si="9"/>
        <v>31.294140940748054</v>
      </c>
      <c r="AC39" s="1">
        <f t="shared" si="10"/>
        <v>23.397406658014098</v>
      </c>
      <c r="AD39" s="1">
        <f t="shared" si="11"/>
        <v>65.791603198781416</v>
      </c>
      <c r="AE39" s="1">
        <f t="shared" si="12"/>
        <v>20.799591233850702</v>
      </c>
      <c r="AF39" s="1">
        <f t="shared" si="13"/>
        <v>40.058745186263934</v>
      </c>
      <c r="AG39" s="1">
        <f t="shared" si="14"/>
        <v>32.162010903529975</v>
      </c>
      <c r="AH39" s="1">
        <f t="shared" si="15"/>
        <v>74.5562074442973</v>
      </c>
      <c r="AI39" s="1">
        <f t="shared" si="16"/>
        <v>29.564195479366578</v>
      </c>
      <c r="AJ39" s="1">
        <f t="shared" si="17"/>
        <v>29.546015066962223</v>
      </c>
    </row>
    <row r="40" spans="1:36" ht="15.75" x14ac:dyDescent="0.25">
      <c r="A40" s="8">
        <v>32</v>
      </c>
      <c r="B40" s="3" t="s">
        <v>155</v>
      </c>
      <c r="C40" s="11" t="s">
        <v>154</v>
      </c>
      <c r="D40" s="6" t="s">
        <v>67</v>
      </c>
      <c r="E40" s="15">
        <f>((1/100000)*919020)/10</f>
        <v>0.91902000000000006</v>
      </c>
      <c r="F40" s="24">
        <f>(((1/100000)*919020)/10)/(((1/100000)*7348620/2)/10)</f>
        <v>0.25012043077475771</v>
      </c>
      <c r="G40" s="23">
        <v>1.776062</v>
      </c>
      <c r="H40" s="25">
        <f>1.776062/((211.99865/2)/10)</f>
        <v>0.16755408583969758</v>
      </c>
      <c r="I40" s="16">
        <v>4.6193</v>
      </c>
      <c r="J40" s="3">
        <v>36</v>
      </c>
      <c r="K40" s="24">
        <v>0.73294300583904548</v>
      </c>
      <c r="L40" s="17">
        <v>82.041631965999997</v>
      </c>
      <c r="M40" s="26">
        <f>82.041631966/(1246.530862135/2)</f>
        <v>0.13163193059734263</v>
      </c>
      <c r="N40" s="3"/>
      <c r="O40" s="9">
        <v>2.2999999999999998</v>
      </c>
      <c r="P40" s="25">
        <v>0.60526315789473684</v>
      </c>
      <c r="Q40" s="27">
        <v>47.07</v>
      </c>
      <c r="R40" s="28">
        <v>0.77455981569853538</v>
      </c>
      <c r="S40" s="2">
        <f t="shared" si="0"/>
        <v>-40.39873970786784</v>
      </c>
      <c r="T40" s="2">
        <f t="shared" si="1"/>
        <v>-49.071211474153728</v>
      </c>
      <c r="U40" s="2">
        <f t="shared" si="2"/>
        <v>0.66971852556663691</v>
      </c>
      <c r="V40" s="2">
        <f t="shared" si="3"/>
        <v>-50.633539506613594</v>
      </c>
      <c r="W40" s="2">
        <f t="shared" si="4"/>
        <v>-52.113926646557488</v>
      </c>
      <c r="X40" s="2">
        <f t="shared" si="5"/>
        <v>-60.174993249599886</v>
      </c>
      <c r="Y40" s="2">
        <f t="shared" si="6"/>
        <v>-1.4242343710535579</v>
      </c>
      <c r="Z40" s="2">
        <f t="shared" si="7"/>
        <v>-63.192366409620504</v>
      </c>
      <c r="AA40" s="2">
        <f t="shared" si="8"/>
        <v>-52.597462832402165</v>
      </c>
      <c r="AB40" s="1">
        <f t="shared" si="9"/>
        <v>33.890611255475243</v>
      </c>
      <c r="AC40" s="1">
        <f t="shared" si="10"/>
        <v>27.69813538534574</v>
      </c>
      <c r="AD40" s="1">
        <f t="shared" si="11"/>
        <v>70.102304385296833</v>
      </c>
      <c r="AE40" s="1">
        <f t="shared" si="12"/>
        <v>25.003973742169116</v>
      </c>
      <c r="AF40" s="1">
        <f t="shared" si="13"/>
        <v>38.123027700570212</v>
      </c>
      <c r="AG40" s="1">
        <f t="shared" si="14"/>
        <v>31.930551830440702</v>
      </c>
      <c r="AH40" s="1">
        <f t="shared" si="15"/>
        <v>74.334720830391802</v>
      </c>
      <c r="AI40" s="1">
        <f t="shared" si="16"/>
        <v>29.236390187264082</v>
      </c>
      <c r="AJ40" s="1">
        <f t="shared" si="17"/>
        <v>30.98044835021085</v>
      </c>
    </row>
    <row r="41" spans="1:36" ht="15.75" x14ac:dyDescent="0.25">
      <c r="A41" s="8">
        <v>35</v>
      </c>
      <c r="B41" s="3" t="s">
        <v>153</v>
      </c>
      <c r="C41" s="11" t="s">
        <v>152</v>
      </c>
      <c r="D41" s="3" t="s">
        <v>60</v>
      </c>
      <c r="E41" s="15">
        <f>((1/100000)*863800)/10</f>
        <v>0.86380000000000001</v>
      </c>
      <c r="F41" s="24">
        <f>(((1/100000)*863800)/10)/(((1/100000)*7348620/2)/10)</f>
        <v>0.23509175872476734</v>
      </c>
      <c r="G41" s="23">
        <v>1.9792020000000001</v>
      </c>
      <c r="H41" s="25">
        <f>1.979202/((211.99865/2)/10)</f>
        <v>0.18671835881973778</v>
      </c>
      <c r="I41" s="16">
        <v>4.4913999999999996</v>
      </c>
      <c r="J41" s="12">
        <v>55</v>
      </c>
      <c r="K41" s="24">
        <v>0.71264914953033764</v>
      </c>
      <c r="L41" s="17">
        <v>88.893878627999996</v>
      </c>
      <c r="M41" s="26">
        <f>88.893878628/(1246.530862135/2)</f>
        <v>0.1426260373140649</v>
      </c>
      <c r="N41" s="3"/>
      <c r="O41" s="9">
        <v>1.9</v>
      </c>
      <c r="P41" s="25">
        <v>0.5</v>
      </c>
      <c r="Q41" s="27">
        <v>39.42</v>
      </c>
      <c r="R41" s="28">
        <v>0.64867533322363002</v>
      </c>
      <c r="S41" s="2">
        <f t="shared" si="0"/>
        <v>-48.816000561447822</v>
      </c>
      <c r="T41" s="2">
        <f t="shared" si="1"/>
        <v>-48.206146342558689</v>
      </c>
      <c r="U41" s="2">
        <f t="shared" si="2"/>
        <v>-3.9556956780811561</v>
      </c>
      <c r="V41" s="2">
        <f t="shared" si="3"/>
        <v>-52.870828799422846</v>
      </c>
      <c r="W41" s="2">
        <f t="shared" si="4"/>
        <v>-53.44202418300668</v>
      </c>
      <c r="X41" s="2">
        <f t="shared" si="5"/>
        <v>-49.548313558519283</v>
      </c>
      <c r="Y41" s="2">
        <f t="shared" si="6"/>
        <v>-4.8977667205404316</v>
      </c>
      <c r="Z41" s="2">
        <f t="shared" si="7"/>
        <v>-54.763468242838634</v>
      </c>
      <c r="AA41" s="2">
        <f t="shared" si="8"/>
        <v>-51.274463614632332</v>
      </c>
      <c r="AB41" s="1">
        <f t="shared" si="9"/>
        <v>30.131881904357549</v>
      </c>
      <c r="AC41" s="1">
        <f t="shared" si="10"/>
        <v>26.503876911480333</v>
      </c>
      <c r="AD41" s="1">
        <f t="shared" si="11"/>
        <v>65.948686214775321</v>
      </c>
      <c r="AE41" s="1">
        <f t="shared" si="12"/>
        <v>23.196952798554868</v>
      </c>
      <c r="AF41" s="1">
        <f t="shared" si="13"/>
        <v>33.848765234948296</v>
      </c>
      <c r="AG41" s="1">
        <f t="shared" si="14"/>
        <v>30.220760242071087</v>
      </c>
      <c r="AH41" s="1">
        <f t="shared" si="15"/>
        <v>69.665569545366068</v>
      </c>
      <c r="AI41" s="1">
        <f t="shared" si="16"/>
        <v>26.913836129145619</v>
      </c>
      <c r="AJ41" s="1">
        <f t="shared" si="17"/>
        <v>28.469345536759629</v>
      </c>
    </row>
    <row r="42" spans="1:36" x14ac:dyDescent="0.2">
      <c r="A42" s="8">
        <v>36</v>
      </c>
      <c r="B42" s="7" t="s">
        <v>2</v>
      </c>
      <c r="C42" s="3" t="s">
        <v>151</v>
      </c>
      <c r="D42" s="3" t="s">
        <v>18</v>
      </c>
      <c r="E42" s="15">
        <f>((1/100000)*845990)/10</f>
        <v>0.84599000000000013</v>
      </c>
      <c r="F42" s="24">
        <f>(((1/100000)*845990)/10)/(((1/100000)*7348620/2)/10)</f>
        <v>0.2302445901407339</v>
      </c>
      <c r="G42" s="23">
        <v>0.96244099999999988</v>
      </c>
      <c r="H42" s="25">
        <f>0.962441/((211.99865/2)/10)</f>
        <v>9.0796898942516843E-2</v>
      </c>
      <c r="I42" s="16">
        <v>3.8458000000000001</v>
      </c>
      <c r="J42" s="3">
        <v>140</v>
      </c>
      <c r="K42" s="24">
        <v>0.61021198273673527</v>
      </c>
      <c r="L42" s="17">
        <v>37.013555977999999</v>
      </c>
      <c r="M42" s="26">
        <f>37.013555978/(1246.530862135/2)</f>
        <v>5.9386505544844523E-2</v>
      </c>
      <c r="O42" s="3">
        <v>1.4</v>
      </c>
      <c r="P42" s="25">
        <v>0.36842105263157893</v>
      </c>
      <c r="Q42" s="27">
        <v>38.33</v>
      </c>
      <c r="R42" s="28">
        <v>0.63073885140694419</v>
      </c>
      <c r="S42" s="2">
        <f t="shared" si="0"/>
        <v>-54.753812154048425</v>
      </c>
      <c r="T42" s="2">
        <f t="shared" si="1"/>
        <v>-77.294280530424913</v>
      </c>
      <c r="U42" s="2">
        <f t="shared" si="2"/>
        <v>-19.647332480734505</v>
      </c>
      <c r="V42" s="2">
        <f t="shared" si="3"/>
        <v>-82.915756889421147</v>
      </c>
      <c r="W42" s="2">
        <f t="shared" si="4"/>
        <v>-54.177242178421423</v>
      </c>
      <c r="X42" s="2">
        <f t="shared" si="5"/>
        <v>-74.978746730012105</v>
      </c>
      <c r="Y42" s="2">
        <f t="shared" si="6"/>
        <v>-18.657876139346669</v>
      </c>
      <c r="Z42" s="2">
        <f t="shared" si="7"/>
        <v>-80.797094647019094</v>
      </c>
      <c r="AA42" s="2">
        <f t="shared" si="8"/>
        <v>-70.81948885489119</v>
      </c>
      <c r="AB42" s="1">
        <f t="shared" si="9"/>
        <v>26.478870576344516</v>
      </c>
      <c r="AC42" s="1">
        <f t="shared" si="10"/>
        <v>16.020293736478237</v>
      </c>
      <c r="AD42" s="1">
        <f t="shared" si="11"/>
        <v>54.976425021044619</v>
      </c>
      <c r="AE42" s="1">
        <f t="shared" si="12"/>
        <v>13.664514231652813</v>
      </c>
      <c r="AF42" s="1">
        <f t="shared" si="13"/>
        <v>33.036815545728651</v>
      </c>
      <c r="AG42" s="1">
        <f t="shared" si="14"/>
        <v>22.578238705862368</v>
      </c>
      <c r="AH42" s="1">
        <f t="shared" si="15"/>
        <v>61.53436999042875</v>
      </c>
      <c r="AI42" s="1">
        <f t="shared" si="16"/>
        <v>20.222459201036944</v>
      </c>
      <c r="AJ42" s="1">
        <f t="shared" si="17"/>
        <v>22.00019866618392</v>
      </c>
    </row>
    <row r="43" spans="1:36" ht="15.75" x14ac:dyDescent="0.25">
      <c r="A43" s="8">
        <v>37</v>
      </c>
      <c r="B43" s="7" t="s">
        <v>150</v>
      </c>
      <c r="C43" s="3" t="s">
        <v>149</v>
      </c>
      <c r="D43" s="3" t="s">
        <v>102</v>
      </c>
      <c r="E43" s="15">
        <f>((1/100000)*824920)/10</f>
        <v>0.82491999999999999</v>
      </c>
      <c r="F43" s="24">
        <f>(((1/100000)*824920)/10)/(((1/100000)*7348620/2)/10)</f>
        <v>0.22451018014266619</v>
      </c>
      <c r="G43" s="23">
        <v>1.131184</v>
      </c>
      <c r="H43" s="25">
        <f>1.131184/((211.99865/2)/10)</f>
        <v>0.10671615125851037</v>
      </c>
      <c r="I43" s="16">
        <v>4.5061999999999998</v>
      </c>
      <c r="J43" s="3">
        <v>52</v>
      </c>
      <c r="K43" s="24">
        <v>0.71499746128458996</v>
      </c>
      <c r="L43" s="17">
        <v>50.973413407999999</v>
      </c>
      <c r="M43" s="26">
        <f>50.973413408/(1246.530862135/2)</f>
        <v>8.1784438647102747E-2</v>
      </c>
      <c r="O43" s="9">
        <v>1.1000000000000001</v>
      </c>
      <c r="P43" s="25">
        <v>0.28947368421052633</v>
      </c>
      <c r="Q43" s="27">
        <v>44.08</v>
      </c>
      <c r="R43" s="28">
        <v>0.72535790686193835</v>
      </c>
      <c r="S43" s="2">
        <f t="shared" si="0"/>
        <v>-58.316654588440834</v>
      </c>
      <c r="T43" s="2">
        <f t="shared" si="1"/>
        <v>-74.802284123278724</v>
      </c>
      <c r="U43" s="2">
        <f t="shared" si="2"/>
        <v>-7.1271780786174901</v>
      </c>
      <c r="V43" s="2">
        <f t="shared" si="3"/>
        <v>-78.167466629020879</v>
      </c>
      <c r="W43" s="2">
        <f t="shared" si="4"/>
        <v>-56.450696628302452</v>
      </c>
      <c r="X43" s="2">
        <f t="shared" si="5"/>
        <v>-73.383255506898323</v>
      </c>
      <c r="Y43" s="2">
        <f t="shared" si="6"/>
        <v>-4.1309814651359176</v>
      </c>
      <c r="Z43" s="2">
        <f t="shared" si="7"/>
        <v>-76.021632189465748</v>
      </c>
      <c r="AA43" s="2">
        <f t="shared" si="8"/>
        <v>-69.523664944234497</v>
      </c>
      <c r="AB43" s="1">
        <f t="shared" si="9"/>
        <v>24.075105615963121</v>
      </c>
      <c r="AC43" s="1">
        <f t="shared" si="10"/>
        <v>15.240553449651436</v>
      </c>
      <c r="AD43" s="1">
        <f t="shared" si="11"/>
        <v>60.8616517016074</v>
      </c>
      <c r="AE43" s="1">
        <f t="shared" si="12"/>
        <v>13.370675003795865</v>
      </c>
      <c r="AF43" s="1">
        <f t="shared" si="13"/>
        <v>34.972211182248422</v>
      </c>
      <c r="AG43" s="1">
        <f t="shared" si="14"/>
        <v>26.137659015936737</v>
      </c>
      <c r="AH43" s="1">
        <f t="shared" si="15"/>
        <v>71.758757267892705</v>
      </c>
      <c r="AI43" s="1">
        <f t="shared" si="16"/>
        <v>24.267780570081165</v>
      </c>
      <c r="AJ43" s="1">
        <f t="shared" si="17"/>
        <v>23.010664139612789</v>
      </c>
    </row>
    <row r="44" spans="1:36" ht="15.75" x14ac:dyDescent="0.25">
      <c r="A44" s="8">
        <v>38</v>
      </c>
      <c r="B44" s="3" t="s">
        <v>148</v>
      </c>
      <c r="C44" s="3" t="s">
        <v>147</v>
      </c>
      <c r="D44" s="3" t="s">
        <v>24</v>
      </c>
      <c r="E44" s="15">
        <f>((1/100000)*771210)/10</f>
        <v>0.77121000000000006</v>
      </c>
      <c r="F44" s="24">
        <f>(((1/100000)*771210)/10)/(((1/100000)*7348620/2)/10)</f>
        <v>0.20989246960653835</v>
      </c>
      <c r="G44" s="23">
        <v>1.249763</v>
      </c>
      <c r="H44" s="25">
        <f>1.249763/((211.99865/2)/10)</f>
        <v>0.11790292060822086</v>
      </c>
      <c r="I44" s="16">
        <v>4.8949999999999996</v>
      </c>
      <c r="J44" s="3">
        <v>18</v>
      </c>
      <c r="K44" s="24">
        <v>0.77668824574765172</v>
      </c>
      <c r="L44" s="17">
        <v>61.175898850000003</v>
      </c>
      <c r="M44" s="26">
        <f>61.17589885/(1246.530862135/2)</f>
        <v>9.8153845537720219E-2</v>
      </c>
      <c r="O44" s="9">
        <v>2.5</v>
      </c>
      <c r="P44" s="25">
        <v>0.65789473684210531</v>
      </c>
      <c r="Q44" s="27">
        <v>40.26</v>
      </c>
      <c r="R44" s="28">
        <v>0.66249794306401177</v>
      </c>
      <c r="S44" s="2">
        <f t="shared" si="0"/>
        <v>-47.504683982227249</v>
      </c>
      <c r="T44" s="2">
        <f t="shared" si="1"/>
        <v>-62.36064586321524</v>
      </c>
      <c r="U44" s="2">
        <f t="shared" si="2"/>
        <v>7.7087682528680546</v>
      </c>
      <c r="V44" s="2">
        <f t="shared" si="3"/>
        <v>-60.525247596785938</v>
      </c>
      <c r="W44" s="2">
        <f t="shared" si="4"/>
        <v>-58.589042327727142</v>
      </c>
      <c r="X44" s="2">
        <f t="shared" si="5"/>
        <v>-68.613877640345493</v>
      </c>
      <c r="Y44" s="2">
        <f t="shared" si="6"/>
        <v>3.7366161885649802</v>
      </c>
      <c r="Z44" s="2">
        <f t="shared" si="7"/>
        <v>-69.320950487350359</v>
      </c>
      <c r="AA44" s="2">
        <f t="shared" si="8"/>
        <v>-61.152407982941895</v>
      </c>
      <c r="AB44" s="1">
        <f t="shared" si="9"/>
        <v>32.189303641543013</v>
      </c>
      <c r="AC44" s="1">
        <f t="shared" si="10"/>
        <v>25.290087466669199</v>
      </c>
      <c r="AD44" s="1">
        <f t="shared" si="11"/>
        <v>74.698986852126509</v>
      </c>
      <c r="AE44" s="1">
        <f t="shared" si="12"/>
        <v>23.808906836381649</v>
      </c>
      <c r="AF44" s="1">
        <f t="shared" si="13"/>
        <v>32.304383797090672</v>
      </c>
      <c r="AG44" s="1">
        <f t="shared" si="14"/>
        <v>25.405167622216862</v>
      </c>
      <c r="AH44" s="1">
        <f t="shared" si="15"/>
        <v>74.814067007674183</v>
      </c>
      <c r="AI44" s="1">
        <f t="shared" si="16"/>
        <v>23.923986991929311</v>
      </c>
      <c r="AJ44" s="1">
        <f t="shared" si="17"/>
        <v>27.153639392638453</v>
      </c>
    </row>
    <row r="45" spans="1:36" ht="16.5" thickBot="1" x14ac:dyDescent="0.3">
      <c r="A45" s="8">
        <v>39</v>
      </c>
      <c r="B45" s="3" t="s">
        <v>146</v>
      </c>
      <c r="C45" s="11" t="s">
        <v>145</v>
      </c>
      <c r="D45" s="3" t="s">
        <v>144</v>
      </c>
      <c r="E45" s="15">
        <f>((1/100000)*757840)/10</f>
        <v>0.75784000000000007</v>
      </c>
      <c r="F45" s="24">
        <f>(((1/100000)*757840)/10)/(((1/100000)*7348620/2)/10)</f>
        <v>0.20625369116922632</v>
      </c>
      <c r="G45" s="23">
        <v>1.5632820000000001</v>
      </c>
      <c r="H45" s="25">
        <f>1.563282/((211.99865/2)/10)</f>
        <v>0.1474803731061495</v>
      </c>
      <c r="I45" s="16">
        <v>4.4615999999999998</v>
      </c>
      <c r="J45" s="12">
        <v>62</v>
      </c>
      <c r="K45" s="24">
        <v>0.70792079207920788</v>
      </c>
      <c r="L45" s="17">
        <v>69.747389712</v>
      </c>
      <c r="M45" s="26">
        <f>69.747389712/(1246.530862135/2)</f>
        <v>0.11190639851874974</v>
      </c>
      <c r="O45" s="9">
        <v>1.1000000000000001</v>
      </c>
      <c r="P45" s="25">
        <v>0.28947368421052633</v>
      </c>
      <c r="Q45" s="27">
        <v>42.849999999999994</v>
      </c>
      <c r="R45" s="28">
        <v>0.70511765673852211</v>
      </c>
      <c r="S45" s="2">
        <f t="shared" si="0"/>
        <v>-61.706218194860107</v>
      </c>
      <c r="T45" s="2">
        <f t="shared" si="1"/>
        <v>-65.177074931052232</v>
      </c>
      <c r="U45" s="2">
        <f t="shared" si="2"/>
        <v>-8.046384473738371</v>
      </c>
      <c r="V45" s="2">
        <f t="shared" si="3"/>
        <v>-70.126344075930845</v>
      </c>
      <c r="W45" s="2">
        <f t="shared" si="4"/>
        <v>-59.773951401470839</v>
      </c>
      <c r="X45" s="2">
        <f t="shared" si="5"/>
        <v>-62.453626389247873</v>
      </c>
      <c r="Y45" s="2">
        <f t="shared" si="6"/>
        <v>-5.1987478201593831</v>
      </c>
      <c r="Z45" s="2">
        <f t="shared" si="7"/>
        <v>-66.522116614066746</v>
      </c>
      <c r="AA45" s="2">
        <f t="shared" si="8"/>
        <v>-64.293221934438108</v>
      </c>
      <c r="AB45" s="1">
        <f t="shared" si="9"/>
        <v>22.705868942955131</v>
      </c>
      <c r="AC45" s="1">
        <f t="shared" si="10"/>
        <v>18.297870088224371</v>
      </c>
      <c r="AD45" s="1">
        <f t="shared" si="11"/>
        <v>60.330901511203749</v>
      </c>
      <c r="AE45" s="1">
        <f t="shared" si="12"/>
        <v>15.62982199416939</v>
      </c>
      <c r="AF45" s="1">
        <f t="shared" si="13"/>
        <v>33.096968256155023</v>
      </c>
      <c r="AG45" s="1">
        <f t="shared" si="14"/>
        <v>28.68896940142427</v>
      </c>
      <c r="AH45" s="1">
        <f t="shared" si="15"/>
        <v>70.722000824403636</v>
      </c>
      <c r="AI45" s="1">
        <f t="shared" si="16"/>
        <v>26.020921307369282</v>
      </c>
      <c r="AJ45" s="1">
        <f t="shared" si="17"/>
        <v>24.073403331716246</v>
      </c>
    </row>
    <row r="46" spans="1:36" ht="13.5" thickBot="1" x14ac:dyDescent="0.25">
      <c r="A46" s="8">
        <v>41</v>
      </c>
      <c r="B46" s="7" t="s">
        <v>143</v>
      </c>
      <c r="C46" s="11" t="s">
        <v>142</v>
      </c>
      <c r="D46" s="6" t="s">
        <v>88</v>
      </c>
      <c r="E46" s="15">
        <f>((1/100000)*717170)/10</f>
        <v>0.71717000000000009</v>
      </c>
      <c r="F46" s="24">
        <f>(((1/100000)*717170)/10)/(((1/100000)*7348620/2)/10)</f>
        <v>0.19518494628923524</v>
      </c>
      <c r="G46" s="23">
        <v>1.5695410000000001</v>
      </c>
      <c r="H46" s="25">
        <f>1.569541/((211.99865/2)/10)</f>
        <v>0.14807084856436586</v>
      </c>
      <c r="I46" s="16">
        <v>4.2447999999999997</v>
      </c>
      <c r="J46" s="3">
        <v>81</v>
      </c>
      <c r="K46" s="24">
        <v>0.67352119827367352</v>
      </c>
      <c r="L46" s="17">
        <v>66.623876367999998</v>
      </c>
      <c r="M46" s="26">
        <f>66.623876368/(1246.530862135/2)</f>
        <v>0.10689486861783706</v>
      </c>
      <c r="O46" s="3">
        <v>1.1000000000000001</v>
      </c>
      <c r="P46" s="25">
        <v>0.28947368421052633</v>
      </c>
      <c r="Q46" s="22"/>
      <c r="R46" s="29"/>
      <c r="S46" s="2">
        <f t="shared" si="0"/>
        <v>-63.761280089211212</v>
      </c>
      <c r="T46" s="2">
        <f t="shared" si="1"/>
        <v>-65.037652428901936</v>
      </c>
      <c r="U46" s="2">
        <f t="shared" si="2"/>
        <v>-12.514634394415594</v>
      </c>
      <c r="V46" s="2">
        <f t="shared" si="3"/>
        <v>-71.46418285811599</v>
      </c>
      <c r="W46" s="2">
        <f t="shared" si="4"/>
        <v>-53.011282481359657</v>
      </c>
      <c r="X46" s="2">
        <f t="shared" si="5"/>
        <v>35.611553681591175</v>
      </c>
      <c r="Y46" s="2">
        <f t="shared" si="6"/>
        <v>-13.576903891767529</v>
      </c>
      <c r="Z46" s="2">
        <f t="shared" si="7"/>
        <v>10.023543153076076</v>
      </c>
      <c r="AA46" s="2">
        <f t="shared" si="8"/>
        <v>-34.606550170486919</v>
      </c>
      <c r="AB46" s="1">
        <f t="shared" si="9"/>
        <v>21.875713076955801</v>
      </c>
      <c r="AC46" s="1">
        <f t="shared" si="10"/>
        <v>18.342155747590599</v>
      </c>
      <c r="AD46" s="1">
        <f t="shared" si="11"/>
        <v>57.750931975788667</v>
      </c>
      <c r="AE46" s="1">
        <f t="shared" si="12"/>
        <v>15.253957251600939</v>
      </c>
      <c r="AF46" s="1">
        <f t="shared" si="13"/>
        <v>14.638870971692644</v>
      </c>
      <c r="AG46" s="1">
        <f t="shared" si="14"/>
        <v>11.10531364232744</v>
      </c>
      <c r="AH46" s="1">
        <f t="shared" si="15"/>
        <v>50.514089870525517</v>
      </c>
      <c r="AI46" s="1">
        <f t="shared" si="16"/>
        <v>8.0171151463377797</v>
      </c>
      <c r="AJ46" s="1">
        <f t="shared" si="17"/>
        <v>14.872187639417533</v>
      </c>
    </row>
    <row r="47" spans="1:36" ht="13.5" thickBot="1" x14ac:dyDescent="0.25">
      <c r="A47" s="8">
        <v>42</v>
      </c>
      <c r="B47" s="7" t="s">
        <v>141</v>
      </c>
      <c r="C47" s="11" t="s">
        <v>140</v>
      </c>
      <c r="D47" s="3" t="s">
        <v>114</v>
      </c>
      <c r="E47" s="15">
        <f>((1/100000)*715110)/10</f>
        <v>0.71511000000000002</v>
      </c>
      <c r="F47" s="24">
        <f>(((1/100000)*715110)/10)/(((1/100000)*7348620/2)/10)</f>
        <v>0.19462429680674737</v>
      </c>
      <c r="G47" s="23">
        <v>0.62940099999999999</v>
      </c>
      <c r="H47" s="25">
        <f>0.629401/((211.99865/2)/10)</f>
        <v>5.9377830943734784E-2</v>
      </c>
      <c r="I47" s="16">
        <v>4.3022</v>
      </c>
      <c r="J47" s="3">
        <v>76</v>
      </c>
      <c r="K47" s="24">
        <v>0.68262883980705769</v>
      </c>
      <c r="L47" s="17">
        <v>27.078089821999999</v>
      </c>
      <c r="M47" s="26">
        <f>27.078089822/(1246.530862135/2)</f>
        <v>4.3445518509861697E-2</v>
      </c>
      <c r="O47" s="3">
        <v>1.7</v>
      </c>
      <c r="P47" s="25">
        <v>0.44736842105263158</v>
      </c>
      <c r="Q47" s="22"/>
      <c r="R47" s="29"/>
      <c r="S47" s="2">
        <f t="shared" si="0"/>
        <v>-59.37986376159332</v>
      </c>
      <c r="T47" s="2">
        <f t="shared" si="1"/>
        <v>-84.218767947079854</v>
      </c>
      <c r="U47" s="2">
        <f t="shared" si="2"/>
        <v>-8.8573044392077094</v>
      </c>
      <c r="V47" s="2">
        <f t="shared" si="3"/>
        <v>-86.449558490168158</v>
      </c>
      <c r="W47" s="2">
        <f t="shared" si="4"/>
        <v>-53.146252932003719</v>
      </c>
      <c r="X47" s="2">
        <f t="shared" si="5"/>
        <v>-45.618465845271217</v>
      </c>
      <c r="Y47" s="2">
        <f t="shared" si="6"/>
        <v>-12.408253845449082</v>
      </c>
      <c r="Z47" s="2">
        <f t="shared" si="7"/>
        <v>-55.282887360414307</v>
      </c>
      <c r="AA47" s="2">
        <f t="shared" si="8"/>
        <v>-64.01596605608843</v>
      </c>
      <c r="AB47" s="1">
        <f t="shared" si="9"/>
        <v>25.781032786821847</v>
      </c>
      <c r="AC47" s="1">
        <f t="shared" si="10"/>
        <v>15.637547847095897</v>
      </c>
      <c r="AD47" s="1">
        <f t="shared" si="11"/>
        <v>62.381373511845105</v>
      </c>
      <c r="AE47" s="1">
        <f t="shared" si="12"/>
        <v>14.442624414555416</v>
      </c>
      <c r="AF47" s="1">
        <f t="shared" si="13"/>
        <v>14.596822260506054</v>
      </c>
      <c r="AG47" s="1">
        <f t="shared" si="14"/>
        <v>4.4533373207801086</v>
      </c>
      <c r="AH47" s="1">
        <f t="shared" si="15"/>
        <v>51.197162985529317</v>
      </c>
      <c r="AI47" s="1">
        <f t="shared" si="16"/>
        <v>3.2584138882396272</v>
      </c>
      <c r="AJ47" s="1">
        <f t="shared" si="17"/>
        <v>13.028296419666491</v>
      </c>
    </row>
    <row r="48" spans="1:36" x14ac:dyDescent="0.2">
      <c r="A48" s="8">
        <v>43</v>
      </c>
      <c r="B48" s="7" t="s">
        <v>139</v>
      </c>
      <c r="C48" s="3" t="s">
        <v>138</v>
      </c>
      <c r="D48" s="3" t="s">
        <v>76</v>
      </c>
      <c r="E48" s="15">
        <f>((1/100000)*709670)/10</f>
        <v>0.70967000000000002</v>
      </c>
      <c r="F48" s="24">
        <f>(((1/100000)*709670)/10)/(((1/100000)*7348620/2)/10)</f>
        <v>0.19314374671707066</v>
      </c>
      <c r="G48" s="23">
        <v>1.088514</v>
      </c>
      <c r="H48" s="25">
        <f>1.088514/((211.99865/2)/10)</f>
        <v>0.10269065392633396</v>
      </c>
      <c r="I48" s="16">
        <v>4.6116000000000001</v>
      </c>
      <c r="J48" s="3">
        <v>39</v>
      </c>
      <c r="K48" s="24">
        <v>0.73172124904798175</v>
      </c>
      <c r="L48" s="17">
        <v>50.197911624</v>
      </c>
      <c r="M48" s="26">
        <f>50.197911624/(1246.530862135/2)</f>
        <v>8.0540182596078452E-2</v>
      </c>
      <c r="O48" s="3">
        <v>2.1</v>
      </c>
      <c r="P48" s="25">
        <v>0.55263157894736847</v>
      </c>
      <c r="Q48" s="27">
        <v>38.239999999999995</v>
      </c>
      <c r="R48" s="28">
        <v>0.62925785749547458</v>
      </c>
      <c r="S48" s="2">
        <f t="shared" si="0"/>
        <v>-56.051925498120816</v>
      </c>
      <c r="T48" s="2">
        <f t="shared" si="1"/>
        <v>-70.212996637163087</v>
      </c>
      <c r="U48" s="2">
        <f t="shared" si="2"/>
        <v>-0.45065528125181231</v>
      </c>
      <c r="V48" s="2">
        <f t="shared" si="3"/>
        <v>-71.70406632076174</v>
      </c>
      <c r="W48" s="2">
        <f t="shared" si="4"/>
        <v>-61.545319841557756</v>
      </c>
      <c r="X48" s="2">
        <f t="shared" si="5"/>
        <v>-71.654608877256706</v>
      </c>
      <c r="Y48" s="2">
        <f t="shared" si="6"/>
        <v>-2.4694170714257524</v>
      </c>
      <c r="Z48" s="2">
        <f t="shared" si="7"/>
        <v>-73.914947179997853</v>
      </c>
      <c r="AA48" s="2">
        <f t="shared" si="8"/>
        <v>-67.51397739247632</v>
      </c>
      <c r="AB48" s="1">
        <f t="shared" si="9"/>
        <v>28.301570477464509</v>
      </c>
      <c r="AC48" s="1">
        <f t="shared" si="10"/>
        <v>21.517588518159258</v>
      </c>
      <c r="AD48" s="1">
        <f t="shared" si="11"/>
        <v>68.694883152282841</v>
      </c>
      <c r="AE48" s="1">
        <f t="shared" si="12"/>
        <v>19.856303168390095</v>
      </c>
      <c r="AF48" s="1">
        <f t="shared" si="13"/>
        <v>30.217227441167161</v>
      </c>
      <c r="AG48" s="1">
        <f t="shared" si="14"/>
        <v>23.43324548186191</v>
      </c>
      <c r="AH48" s="1">
        <f t="shared" si="15"/>
        <v>70.610540115985501</v>
      </c>
      <c r="AI48" s="1">
        <f t="shared" si="16"/>
        <v>21.771960132092751</v>
      </c>
      <c r="AJ48" s="1">
        <f t="shared" si="17"/>
        <v>24.182982536522616</v>
      </c>
    </row>
    <row r="49" spans="1:36" ht="15.75" x14ac:dyDescent="0.25">
      <c r="A49" s="8">
        <v>44</v>
      </c>
      <c r="B49" s="3" t="s">
        <v>137</v>
      </c>
      <c r="C49" s="3" t="s">
        <v>136</v>
      </c>
      <c r="D49" s="3" t="s">
        <v>57</v>
      </c>
      <c r="E49" s="15">
        <f>((1/100000)*696380)/10</f>
        <v>0.69638000000000011</v>
      </c>
      <c r="F49" s="24">
        <f>(((1/100000)*696380)/10)/(((1/100000)*7348620/2)/10)</f>
        <v>0.18952674107519507</v>
      </c>
      <c r="G49" s="23">
        <v>0.92110599999999998</v>
      </c>
      <c r="H49" s="25">
        <f>0.921106/((211.99865/2)/10)</f>
        <v>8.6897345808570003E-2</v>
      </c>
      <c r="I49" s="16">
        <v>3.9278</v>
      </c>
      <c r="J49" s="3">
        <v>124</v>
      </c>
      <c r="K49" s="24">
        <v>0.62322289921299823</v>
      </c>
      <c r="L49" s="17">
        <v>36.179201468000002</v>
      </c>
      <c r="M49" s="26">
        <f>36.179201468/(1246.530862135/2)</f>
        <v>5.8047823069593239E-2</v>
      </c>
      <c r="O49" s="9">
        <v>2.7</v>
      </c>
      <c r="P49" s="25">
        <v>0.71052631578947378</v>
      </c>
      <c r="Q49" s="27">
        <v>40.619999999999997</v>
      </c>
      <c r="R49" s="28">
        <v>0.66842191870988965</v>
      </c>
      <c r="S49" s="2">
        <f t="shared" si="0"/>
        <v>-50.125254095278997</v>
      </c>
      <c r="T49" s="2">
        <f t="shared" si="1"/>
        <v>-70.789892791581707</v>
      </c>
      <c r="U49" s="2">
        <f t="shared" si="2"/>
        <v>-12.73020718410497</v>
      </c>
      <c r="V49" s="2">
        <f t="shared" si="3"/>
        <v>-74.833696332003314</v>
      </c>
      <c r="W49" s="2">
        <f t="shared" si="4"/>
        <v>-62.667361600630073</v>
      </c>
      <c r="X49" s="2">
        <f t="shared" si="5"/>
        <v>-77.013457282579139</v>
      </c>
      <c r="Y49" s="2">
        <f t="shared" si="6"/>
        <v>-16.730187451817741</v>
      </c>
      <c r="Z49" s="2">
        <f t="shared" si="7"/>
        <v>-81.968793832048675</v>
      </c>
      <c r="AA49" s="2">
        <f t="shared" si="8"/>
        <v>-69.566409322353636</v>
      </c>
      <c r="AB49" s="1">
        <f t="shared" si="9"/>
        <v>31.977663475376474</v>
      </c>
      <c r="AC49" s="1">
        <f t="shared" si="10"/>
        <v>24.280458830379594</v>
      </c>
      <c r="AD49" s="1">
        <f t="shared" si="11"/>
        <v>64.504875335711702</v>
      </c>
      <c r="AE49" s="1">
        <f t="shared" si="12"/>
        <v>22.116744624956336</v>
      </c>
      <c r="AF49" s="1">
        <f t="shared" si="13"/>
        <v>30.92505354838687</v>
      </c>
      <c r="AG49" s="1">
        <f t="shared" si="14"/>
        <v>23.22784890338999</v>
      </c>
      <c r="AH49" s="1">
        <f t="shared" si="15"/>
        <v>63.452265408722106</v>
      </c>
      <c r="AI49" s="1">
        <f t="shared" si="16"/>
        <v>21.064134697966736</v>
      </c>
      <c r="AJ49" s="1">
        <f t="shared" si="17"/>
        <v>25.598650680076002</v>
      </c>
    </row>
    <row r="50" spans="1:36" x14ac:dyDescent="0.2">
      <c r="A50" s="8">
        <v>45</v>
      </c>
      <c r="B50" s="7" t="s">
        <v>135</v>
      </c>
      <c r="C50" s="11" t="s">
        <v>134</v>
      </c>
      <c r="D50" s="3" t="s">
        <v>0</v>
      </c>
      <c r="E50" s="15">
        <f>((1/100000)*690050)/10</f>
        <v>0.69005000000000005</v>
      </c>
      <c r="F50" s="24">
        <f>(((1/100000)*690050)/10)/(((1/100000)*7348620/2)/10)</f>
        <v>0.18780396863628815</v>
      </c>
      <c r="G50" s="23">
        <v>1.251509</v>
      </c>
      <c r="H50" s="25">
        <f>1.251509/((211.99865/2)/10)</f>
        <v>0.11806763863826492</v>
      </c>
      <c r="I50" s="16">
        <v>4.0913000000000004</v>
      </c>
      <c r="J50" s="3">
        <v>96</v>
      </c>
      <c r="K50" s="24">
        <v>0.64916539730896172</v>
      </c>
      <c r="L50" s="17">
        <v>51.202987716999999</v>
      </c>
      <c r="M50" s="26">
        <f>51.202987717/(1246.530862135/2)</f>
        <v>8.2152779802502296E-2</v>
      </c>
      <c r="O50" s="3">
        <v>1.1000000000000001</v>
      </c>
      <c r="P50" s="25">
        <v>0.28947368421052633</v>
      </c>
      <c r="Q50" s="27">
        <v>40.32</v>
      </c>
      <c r="R50" s="28">
        <v>0.66348527233832477</v>
      </c>
      <c r="S50" s="2">
        <f t="shared" si="0"/>
        <v>-65.131658219892344</v>
      </c>
      <c r="T50" s="2">
        <f t="shared" si="1"/>
        <v>-72.121981747302328</v>
      </c>
      <c r="U50" s="2">
        <f t="shared" si="2"/>
        <v>-15.678270754304663</v>
      </c>
      <c r="V50" s="2">
        <f t="shared" si="3"/>
        <v>-78.069137158278096</v>
      </c>
      <c r="W50" s="2">
        <f t="shared" si="4"/>
        <v>-62.956978898690743</v>
      </c>
      <c r="X50" s="2">
        <f t="shared" si="5"/>
        <v>-68.603219917014314</v>
      </c>
      <c r="Y50" s="2">
        <f t="shared" si="6"/>
        <v>-13.290401246765242</v>
      </c>
      <c r="Z50" s="2">
        <f t="shared" si="7"/>
        <v>-74.34887655306386</v>
      </c>
      <c r="AA50" s="2">
        <f t="shared" si="8"/>
        <v>-70.20530874904027</v>
      </c>
      <c r="AB50" s="1">
        <f t="shared" si="9"/>
        <v>21.322139752984771</v>
      </c>
      <c r="AC50" s="1">
        <f t="shared" si="10"/>
        <v>16.091915003133028</v>
      </c>
      <c r="AD50" s="1">
        <f t="shared" si="11"/>
        <v>55.924246903435289</v>
      </c>
      <c r="AE50" s="1">
        <f t="shared" si="12"/>
        <v>13.398300590450829</v>
      </c>
      <c r="AF50" s="1">
        <f t="shared" si="13"/>
        <v>30.672429456179728</v>
      </c>
      <c r="AG50" s="1">
        <f t="shared" si="14"/>
        <v>25.442204706327985</v>
      </c>
      <c r="AH50" s="1">
        <f t="shared" si="15"/>
        <v>65.274536606630249</v>
      </c>
      <c r="AI50" s="1">
        <f t="shared" si="16"/>
        <v>22.748590293645794</v>
      </c>
      <c r="AJ50" s="1">
        <f t="shared" si="17"/>
        <v>21.612596633787021</v>
      </c>
    </row>
    <row r="51" spans="1:36" ht="15.75" x14ac:dyDescent="0.25">
      <c r="A51" s="8">
        <v>46</v>
      </c>
      <c r="B51" s="3" t="s">
        <v>133</v>
      </c>
      <c r="C51" s="11" t="s">
        <v>132</v>
      </c>
      <c r="D51" s="3" t="s">
        <v>102</v>
      </c>
      <c r="E51" s="15">
        <f>((1/100000)*688500)/10</f>
        <v>0.68850000000000011</v>
      </c>
      <c r="F51" s="24">
        <f>(((1/100000)*688500)/10)/(((1/100000)*7348620/2)/10)</f>
        <v>0.1873821207247075</v>
      </c>
      <c r="G51" s="23">
        <v>1.1004910000000001</v>
      </c>
      <c r="H51" s="25">
        <f>1.100491/((211.99865/2)/10)</f>
        <v>0.10382056678191112</v>
      </c>
      <c r="I51" s="16">
        <v>4.2439</v>
      </c>
      <c r="J51" s="12">
        <v>82</v>
      </c>
      <c r="K51" s="24">
        <v>0.67337839553186096</v>
      </c>
      <c r="L51" s="17">
        <v>46.703737549000003</v>
      </c>
      <c r="M51" s="26">
        <f>46.703737549/(1246.530862135/2)</f>
        <v>7.4933945027254312E-2</v>
      </c>
      <c r="N51" s="3"/>
      <c r="O51" s="9">
        <v>1.1000000000000001</v>
      </c>
      <c r="P51" s="25">
        <v>0.28947368421052633</v>
      </c>
      <c r="Q51" s="27">
        <v>36.42</v>
      </c>
      <c r="R51" s="28">
        <v>0.5993088695079809</v>
      </c>
      <c r="S51" s="2">
        <f t="shared" si="0"/>
        <v>-65.209979978836145</v>
      </c>
      <c r="T51" s="2">
        <f t="shared" si="1"/>
        <v>-75.485986768829051</v>
      </c>
      <c r="U51" s="2">
        <f t="shared" si="2"/>
        <v>-12.533183402388886</v>
      </c>
      <c r="V51" s="2">
        <f t="shared" si="3"/>
        <v>-79.996220766569991</v>
      </c>
      <c r="W51" s="2">
        <f t="shared" si="4"/>
        <v>-62.3827739753429</v>
      </c>
      <c r="X51" s="2">
        <f t="shared" si="5"/>
        <v>-70.357099252843085</v>
      </c>
      <c r="Y51" s="2">
        <f t="shared" si="6"/>
        <v>-10.411175772066358</v>
      </c>
      <c r="Z51" s="2">
        <f t="shared" si="7"/>
        <v>-74.912369447005702</v>
      </c>
      <c r="AA51" s="2">
        <f t="shared" si="8"/>
        <v>-71.390738364904479</v>
      </c>
      <c r="AB51" s="1">
        <f t="shared" si="9"/>
        <v>21.29050115961622</v>
      </c>
      <c r="AC51" s="1">
        <f t="shared" si="10"/>
        <v>15.023384613906494</v>
      </c>
      <c r="AD51" s="1">
        <f t="shared" si="11"/>
        <v>57.740221770152722</v>
      </c>
      <c r="AE51" s="1">
        <f t="shared" si="12"/>
        <v>12.85688798230723</v>
      </c>
      <c r="AF51" s="1">
        <f t="shared" si="13"/>
        <v>29.036380792052586</v>
      </c>
      <c r="AG51" s="1">
        <f t="shared" si="14"/>
        <v>22.769264246342857</v>
      </c>
      <c r="AH51" s="1">
        <f t="shared" si="15"/>
        <v>65.486101402589085</v>
      </c>
      <c r="AI51" s="1">
        <f t="shared" si="16"/>
        <v>20.602767614743595</v>
      </c>
      <c r="AJ51" s="1">
        <f t="shared" si="17"/>
        <v>20.263197734828164</v>
      </c>
    </row>
    <row r="52" spans="1:36" ht="15.75" x14ac:dyDescent="0.25">
      <c r="A52" s="8">
        <v>47</v>
      </c>
      <c r="B52" s="7" t="s">
        <v>131</v>
      </c>
      <c r="C52" s="3" t="s">
        <v>130</v>
      </c>
      <c r="D52" s="3" t="s">
        <v>129</v>
      </c>
      <c r="E52" s="15">
        <f>((1/100000)*677590)/10</f>
        <v>0.67759000000000014</v>
      </c>
      <c r="F52" s="24">
        <f>(((1/100000)*677590)/10)/(((1/100000)*7348620/2)/10)</f>
        <v>0.18441285574706545</v>
      </c>
      <c r="G52" s="23">
        <v>0.71273799999999998</v>
      </c>
      <c r="H52" s="25">
        <f>0.712738/((211.99865/2)/10)</f>
        <v>6.7239862140631559E-2</v>
      </c>
      <c r="I52" s="16">
        <v>3.9087999999999998</v>
      </c>
      <c r="J52" s="3">
        <v>127</v>
      </c>
      <c r="K52" s="24">
        <v>0.62020817466362022</v>
      </c>
      <c r="L52" s="17">
        <v>27.859502943999999</v>
      </c>
      <c r="M52" s="26">
        <f>27.859502944/(1246.530862135/2)</f>
        <v>4.4699259024014115E-2</v>
      </c>
      <c r="O52" s="9">
        <v>2</v>
      </c>
      <c r="P52" s="25">
        <v>0.52631578947368418</v>
      </c>
      <c r="Q52" s="27">
        <v>39.589999999999996</v>
      </c>
      <c r="R52" s="28">
        <v>0.65147276616751681</v>
      </c>
      <c r="S52" s="2">
        <f t="shared" si="0"/>
        <v>-58.964141785585198</v>
      </c>
      <c r="T52" s="2">
        <f t="shared" si="1"/>
        <v>-80.931699152660272</v>
      </c>
      <c r="U52" s="2">
        <f t="shared" si="2"/>
        <v>-16.019791897181818</v>
      </c>
      <c r="V52" s="2">
        <f t="shared" si="3"/>
        <v>-84.777093026407243</v>
      </c>
      <c r="W52" s="2">
        <f t="shared" si="4"/>
        <v>-63.506474149871117</v>
      </c>
      <c r="X52" s="2">
        <f t="shared" si="5"/>
        <v>-81.886718629311915</v>
      </c>
      <c r="Y52" s="2">
        <f t="shared" si="6"/>
        <v>-17.219629270072033</v>
      </c>
      <c r="Z52" s="2">
        <f t="shared" si="7"/>
        <v>-85.864962494763802</v>
      </c>
      <c r="AA52" s="2">
        <f t="shared" si="8"/>
        <v>-75.98851487309993</v>
      </c>
      <c r="AB52" s="1">
        <f t="shared" si="9"/>
        <v>26.988858917872015</v>
      </c>
      <c r="AC52" s="1">
        <f t="shared" si="10"/>
        <v>18.200884397389473</v>
      </c>
      <c r="AD52" s="1">
        <f t="shared" si="11"/>
        <v>59.673507836613616</v>
      </c>
      <c r="AE52" s="1">
        <f t="shared" si="12"/>
        <v>16.510339163643163</v>
      </c>
      <c r="AF52" s="1">
        <f t="shared" si="13"/>
        <v>30.11778333521783</v>
      </c>
      <c r="AG52" s="1">
        <f t="shared" si="14"/>
        <v>21.329808814735287</v>
      </c>
      <c r="AH52" s="1">
        <f t="shared" si="15"/>
        <v>62.802432253959431</v>
      </c>
      <c r="AI52" s="1">
        <f t="shared" si="16"/>
        <v>19.639263580988981</v>
      </c>
      <c r="AJ52" s="1">
        <f t="shared" si="17"/>
        <v>22.131156368307796</v>
      </c>
    </row>
    <row r="53" spans="1:36" ht="15.75" x14ac:dyDescent="0.25">
      <c r="A53" s="8">
        <v>48</v>
      </c>
      <c r="B53" s="3" t="s">
        <v>128</v>
      </c>
      <c r="C53" s="3" t="s">
        <v>127</v>
      </c>
      <c r="D53" s="3" t="s">
        <v>49</v>
      </c>
      <c r="E53" s="15">
        <f>((1/100000)*662170)/10</f>
        <v>0.66217000000000004</v>
      </c>
      <c r="F53" s="24">
        <f>(((1/100000)*662170)/10)/(((1/100000)*7348620/2)/10)</f>
        <v>0.18021614942669506</v>
      </c>
      <c r="G53" s="23">
        <v>1.025598</v>
      </c>
      <c r="H53" s="25">
        <f>1.025598/((211.99865/2)/10)</f>
        <v>9.6755144431344267E-2</v>
      </c>
      <c r="I53" s="16">
        <v>4.0820999999999996</v>
      </c>
      <c r="J53" s="3">
        <v>97</v>
      </c>
      <c r="K53" s="24">
        <v>0.64770563594821018</v>
      </c>
      <c r="L53" s="17">
        <v>41.865935958000001</v>
      </c>
      <c r="M53" s="26">
        <f>41.865935958/(1246.530862135/2)</f>
        <v>6.7171920454972098E-2</v>
      </c>
      <c r="O53" s="9">
        <v>1.6</v>
      </c>
      <c r="P53" s="25">
        <v>0.4210526315789474</v>
      </c>
      <c r="Q53" s="27">
        <v>43.03</v>
      </c>
      <c r="R53" s="28">
        <v>0.70807964456146122</v>
      </c>
      <c r="S53" s="2">
        <f t="shared" si="0"/>
        <v>-63.149393096098315</v>
      </c>
      <c r="T53" s="2">
        <f t="shared" si="1"/>
        <v>-74.812040379010767</v>
      </c>
      <c r="U53" s="2">
        <f t="shared" si="2"/>
        <v>-13.920498396961435</v>
      </c>
      <c r="V53" s="2">
        <f t="shared" si="3"/>
        <v>-79.621224664732466</v>
      </c>
      <c r="W53" s="2">
        <f t="shared" si="4"/>
        <v>-64.880112710643516</v>
      </c>
      <c r="X53" s="2">
        <f t="shared" si="5"/>
        <v>-75.442021764384478</v>
      </c>
      <c r="Y53" s="2">
        <f t="shared" si="6"/>
        <v>-13.246560161147855</v>
      </c>
      <c r="Z53" s="2">
        <f t="shared" si="7"/>
        <v>-79.964569844523709</v>
      </c>
      <c r="AA53" s="2">
        <f t="shared" si="8"/>
        <v>-72.978227076565545</v>
      </c>
      <c r="AB53" s="1">
        <f t="shared" si="9"/>
        <v>24.042526996475814</v>
      </c>
      <c r="AC53" s="1">
        <f t="shared" si="10"/>
        <v>17.782951621824505</v>
      </c>
      <c r="AD53" s="1">
        <f t="shared" si="11"/>
        <v>59.104238485589441</v>
      </c>
      <c r="AE53" s="1">
        <f t="shared" si="12"/>
        <v>15.564209823596592</v>
      </c>
      <c r="AF53" s="1">
        <f t="shared" si="13"/>
        <v>31.218202321038657</v>
      </c>
      <c r="AG53" s="1">
        <f t="shared" si="14"/>
        <v>24.958626946387351</v>
      </c>
      <c r="AH53" s="1">
        <f t="shared" si="15"/>
        <v>66.279913810152294</v>
      </c>
      <c r="AI53" s="1">
        <f t="shared" si="16"/>
        <v>22.739885148159438</v>
      </c>
      <c r="AJ53" s="1">
        <f t="shared" si="17"/>
        <v>22.717733809580395</v>
      </c>
    </row>
    <row r="54" spans="1:36" ht="15.75" x14ac:dyDescent="0.25">
      <c r="A54" s="8">
        <v>51</v>
      </c>
      <c r="B54" s="7" t="s">
        <v>126</v>
      </c>
      <c r="C54" s="3" t="s">
        <v>125</v>
      </c>
      <c r="D54" s="3" t="s">
        <v>124</v>
      </c>
      <c r="E54" s="15">
        <f>((1/100000)*616280)/10</f>
        <v>0.61628000000000005</v>
      </c>
      <c r="F54" s="24">
        <f>(((1/100000)*616280)/10)/(((1/100000)*7348620/2)/10)</f>
        <v>0.16772672964447746</v>
      </c>
      <c r="G54" s="23">
        <v>1.1886129999999999</v>
      </c>
      <c r="H54" s="25">
        <f>1.188613/((211.99865/2)/10)</f>
        <v>0.11213401594774305</v>
      </c>
      <c r="I54" s="16">
        <v>4.1748000000000003</v>
      </c>
      <c r="J54" s="3">
        <v>89</v>
      </c>
      <c r="K54" s="24">
        <v>0.66241431835491249</v>
      </c>
      <c r="L54" s="17">
        <v>49.622215523999998</v>
      </c>
      <c r="M54" s="26">
        <f>49.622215524/(1246.530862135/2)</f>
        <v>7.9616505345097316E-2</v>
      </c>
      <c r="O54" s="9">
        <v>1.5</v>
      </c>
      <c r="P54" s="25">
        <v>0.39473684210526316</v>
      </c>
      <c r="Q54" s="27">
        <v>41.349999999999994</v>
      </c>
      <c r="R54" s="28">
        <v>0.68043442488069761</v>
      </c>
      <c r="S54" s="2">
        <f t="shared" si="0"/>
        <v>-66.384598311822614</v>
      </c>
      <c r="T54" s="2">
        <f t="shared" si="1"/>
        <v>-71.395044292554303</v>
      </c>
      <c r="U54" s="2">
        <f t="shared" si="2"/>
        <v>-12.371390984525718</v>
      </c>
      <c r="V54" s="2">
        <f t="shared" si="3"/>
        <v>-76.487493831796428</v>
      </c>
      <c r="W54" s="2">
        <f t="shared" si="4"/>
        <v>-67.069068308200968</v>
      </c>
      <c r="X54" s="2">
        <f t="shared" si="5"/>
        <v>-70.712043506583939</v>
      </c>
      <c r="Y54" s="2">
        <f t="shared" si="6"/>
        <v>-11.428058138595901</v>
      </c>
      <c r="Z54" s="2">
        <f t="shared" si="7"/>
        <v>-75.575457998780777</v>
      </c>
      <c r="AA54" s="2">
        <f t="shared" si="8"/>
        <v>-71.270617708289834</v>
      </c>
      <c r="AB54" s="1">
        <f t="shared" si="9"/>
        <v>22.447925775967388</v>
      </c>
      <c r="AC54" s="1">
        <f t="shared" si="10"/>
        <v>18.278472248712308</v>
      </c>
      <c r="AD54" s="1">
        <f t="shared" si="11"/>
        <v>59.549494929250017</v>
      </c>
      <c r="AE54" s="1">
        <f t="shared" si="12"/>
        <v>15.839658953513878</v>
      </c>
      <c r="AF54" s="1">
        <f t="shared" si="13"/>
        <v>29.590365345353252</v>
      </c>
      <c r="AG54" s="1">
        <f t="shared" si="14"/>
        <v>25.420911818098169</v>
      </c>
      <c r="AH54" s="1">
        <f t="shared" si="15"/>
        <v>66.691934498635874</v>
      </c>
      <c r="AI54" s="1">
        <f t="shared" si="16"/>
        <v>22.982098522899737</v>
      </c>
      <c r="AJ54" s="1">
        <f t="shared" si="17"/>
        <v>22.426572110757458</v>
      </c>
    </row>
    <row r="55" spans="1:36" ht="15.75" x14ac:dyDescent="0.25">
      <c r="A55" s="8">
        <v>52</v>
      </c>
      <c r="B55" s="3" t="s">
        <v>123</v>
      </c>
      <c r="C55" s="3" t="s">
        <v>122</v>
      </c>
      <c r="D55" s="3" t="s">
        <v>44</v>
      </c>
      <c r="E55" s="15">
        <f>((1/100000)*596710)/10</f>
        <v>0.59671000000000007</v>
      </c>
      <c r="F55" s="24">
        <f>(((1/100000)*596710)/10)/(((1/100000)*7348620/2)/10)</f>
        <v>0.16240055956084271</v>
      </c>
      <c r="G55" s="23">
        <v>1.1701109999999999</v>
      </c>
      <c r="H55" s="25">
        <f>1.170111/((211.99865/2)/10)</f>
        <v>0.11038853313452703</v>
      </c>
      <c r="I55" s="16">
        <v>3.8488000000000002</v>
      </c>
      <c r="J55" s="12">
        <v>139</v>
      </c>
      <c r="K55" s="24">
        <v>0.61068799187611078</v>
      </c>
      <c r="L55" s="17">
        <v>45.035232168</v>
      </c>
      <c r="M55" s="26">
        <f>45.035232168/(1246.530862135/2)</f>
        <v>7.2256906805926571E-2</v>
      </c>
      <c r="N55" s="3"/>
      <c r="O55" s="9">
        <v>1</v>
      </c>
      <c r="P55" s="25">
        <v>0.26315789473684209</v>
      </c>
      <c r="Q55" s="27">
        <v>33.879999999999995</v>
      </c>
      <c r="R55" s="28">
        <v>0.55751193022873113</v>
      </c>
      <c r="S55" s="2">
        <f t="shared" si="0"/>
        <v>-70.393039091945369</v>
      </c>
      <c r="T55" s="2">
        <f t="shared" si="1"/>
        <v>-74.411067541156555</v>
      </c>
      <c r="U55" s="2">
        <f t="shared" si="2"/>
        <v>-21.033491213006243</v>
      </c>
      <c r="V55" s="2">
        <f t="shared" si="3"/>
        <v>-81.163245799239334</v>
      </c>
      <c r="W55" s="2">
        <f t="shared" si="4"/>
        <v>-67.015752333220419</v>
      </c>
      <c r="X55" s="2">
        <f t="shared" si="5"/>
        <v>-66.892668993069208</v>
      </c>
      <c r="Y55" s="2">
        <f t="shared" si="6"/>
        <v>-18.960019854023642</v>
      </c>
      <c r="Z55" s="2">
        <f t="shared" si="7"/>
        <v>-74.61405869935777</v>
      </c>
      <c r="AA55" s="2">
        <f t="shared" si="8"/>
        <v>-72.414972076331438</v>
      </c>
      <c r="AB55" s="1">
        <f t="shared" si="9"/>
        <v>18.758989335484255</v>
      </c>
      <c r="AC55" s="1">
        <f t="shared" si="10"/>
        <v>14.85808735351058</v>
      </c>
      <c r="AD55" s="1">
        <f t="shared" si="11"/>
        <v>52.380546759129366</v>
      </c>
      <c r="AE55" s="1">
        <f t="shared" si="12"/>
        <v>11.998215378865545</v>
      </c>
      <c r="AF55" s="1">
        <f t="shared" si="13"/>
        <v>26.117840222781481</v>
      </c>
      <c r="AG55" s="1">
        <f t="shared" si="14"/>
        <v>22.216938240807803</v>
      </c>
      <c r="AH55" s="1">
        <f t="shared" si="15"/>
        <v>59.739397646426582</v>
      </c>
      <c r="AI55" s="1">
        <f t="shared" si="16"/>
        <v>19.357066266162771</v>
      </c>
      <c r="AJ55" s="1">
        <f t="shared" si="17"/>
        <v>18.884522799602074</v>
      </c>
    </row>
    <row r="56" spans="1:36" ht="16.5" thickBot="1" x14ac:dyDescent="0.3">
      <c r="A56" s="8">
        <v>53</v>
      </c>
      <c r="B56" s="7" t="s">
        <v>121</v>
      </c>
      <c r="C56" s="3" t="s">
        <v>120</v>
      </c>
      <c r="D56" s="3" t="s">
        <v>119</v>
      </c>
      <c r="E56" s="15">
        <f>((1/100000)*573180)/10</f>
        <v>0.57318000000000002</v>
      </c>
      <c r="F56" s="24">
        <f>(((1/100000)*573180)/10)/(((1/100000)*7348620/2)/10)</f>
        <v>0.15599663610310505</v>
      </c>
      <c r="G56" s="23">
        <v>0.92251600000000011</v>
      </c>
      <c r="H56" s="25">
        <f>0.922516/((211.99865/2)/10)</f>
        <v>8.703036552355406E-2</v>
      </c>
      <c r="I56" s="16">
        <v>3.496</v>
      </c>
      <c r="J56" s="3">
        <v>209</v>
      </c>
      <c r="K56" s="24">
        <v>0.55470931708555471</v>
      </c>
      <c r="L56" s="17">
        <v>32.251159360000003</v>
      </c>
      <c r="M56" s="26">
        <f>32.25115936/(1246.530862135/2)</f>
        <v>5.174546469673718E-2</v>
      </c>
      <c r="O56" s="9">
        <v>1.2</v>
      </c>
      <c r="P56" s="25">
        <v>0.31578947368421051</v>
      </c>
      <c r="Q56" s="27">
        <v>37.4</v>
      </c>
      <c r="R56" s="28">
        <v>0.61543524765509294</v>
      </c>
      <c r="S56" s="2">
        <f t="shared" si="0"/>
        <v>-70.49408341459241</v>
      </c>
      <c r="T56" s="2">
        <f t="shared" si="1"/>
        <v>-79.061050698025497</v>
      </c>
      <c r="U56" s="2">
        <f t="shared" si="2"/>
        <v>-27.619916779467232</v>
      </c>
      <c r="V56" s="2">
        <f t="shared" si="3"/>
        <v>-85.846525787097974</v>
      </c>
      <c r="W56" s="2">
        <f t="shared" si="4"/>
        <v>-68.822804141353771</v>
      </c>
      <c r="X56" s="2">
        <f t="shared" si="5"/>
        <v>-75.602870127489069</v>
      </c>
      <c r="Y56" s="2">
        <f t="shared" si="6"/>
        <v>-26.126109549542107</v>
      </c>
      <c r="Z56" s="2">
        <f t="shared" si="7"/>
        <v>-82.984717755263006</v>
      </c>
      <c r="AA56" s="2">
        <f t="shared" si="8"/>
        <v>-77.135341987303605</v>
      </c>
      <c r="AB56" s="1">
        <f t="shared" si="9"/>
        <v>19.594484549838143</v>
      </c>
      <c r="AC56" s="1">
        <f t="shared" si="10"/>
        <v>14.422014256371817</v>
      </c>
      <c r="AD56" s="1">
        <f t="shared" si="11"/>
        <v>49.497935623521869</v>
      </c>
      <c r="AE56" s="1">
        <f t="shared" si="12"/>
        <v>11.77564669436055</v>
      </c>
      <c r="AF56" s="1">
        <f t="shared" si="13"/>
        <v>27.085628899110205</v>
      </c>
      <c r="AG56" s="1">
        <f t="shared" si="14"/>
        <v>21.913158605643879</v>
      </c>
      <c r="AH56" s="1">
        <f t="shared" si="15"/>
        <v>56.989079972793931</v>
      </c>
      <c r="AI56" s="1">
        <f t="shared" si="16"/>
        <v>19.266791043632612</v>
      </c>
      <c r="AJ56" s="1">
        <f t="shared" si="17"/>
        <v>19.009620674826198</v>
      </c>
    </row>
    <row r="57" spans="1:36" ht="16.5" thickBot="1" x14ac:dyDescent="0.3">
      <c r="A57" s="8">
        <v>54</v>
      </c>
      <c r="B57" s="7" t="s">
        <v>118</v>
      </c>
      <c r="C57" s="3" t="s">
        <v>117</v>
      </c>
      <c r="D57" s="3" t="s">
        <v>88</v>
      </c>
      <c r="E57" s="15">
        <f>((1/100000)*564510)/10</f>
        <v>0.56451000000000007</v>
      </c>
      <c r="F57" s="24">
        <f>(((1/100000)*564510)/10)/(((1/100000)*7348620/2)/10)</f>
        <v>0.15363700939768282</v>
      </c>
      <c r="G57" s="23">
        <v>0.99651200000000006</v>
      </c>
      <c r="H57" s="25">
        <f>0.996512/((211.99865/2)/10)</f>
        <v>9.4011164693737451E-2</v>
      </c>
      <c r="I57" s="16">
        <v>4.68</v>
      </c>
      <c r="J57" s="3">
        <v>29</v>
      </c>
      <c r="K57" s="24">
        <v>0.74257425742574257</v>
      </c>
      <c r="L57" s="17">
        <v>46.6367616</v>
      </c>
      <c r="M57" s="26">
        <f>46.6367616/(1246.530862135/2)</f>
        <v>7.4826485274697055E-2</v>
      </c>
      <c r="O57" s="9">
        <v>1.1000000000000001</v>
      </c>
      <c r="P57" s="25">
        <v>0.28947368421052633</v>
      </c>
      <c r="Q57" s="22"/>
      <c r="R57" s="29"/>
      <c r="S57" s="2">
        <f t="shared" si="0"/>
        <v>-71.47521539266927</v>
      </c>
      <c r="T57" s="2">
        <f t="shared" si="1"/>
        <v>-77.802173436201997</v>
      </c>
      <c r="U57" s="2">
        <f t="shared" si="2"/>
        <v>-3.5451585388863975</v>
      </c>
      <c r="V57" s="2">
        <f t="shared" si="3"/>
        <v>-80.024907380705315</v>
      </c>
      <c r="W57" s="2">
        <f t="shared" si="4"/>
        <v>-63.013510148991649</v>
      </c>
      <c r="X57" s="2">
        <f t="shared" si="5"/>
        <v>-13.899324336000277</v>
      </c>
      <c r="Y57" s="2">
        <f t="shared" si="6"/>
        <v>-4.7163376869280143</v>
      </c>
      <c r="Z57" s="2">
        <f t="shared" si="7"/>
        <v>-22.983440289856034</v>
      </c>
      <c r="AA57" s="2">
        <f t="shared" si="8"/>
        <v>-54.866428497404094</v>
      </c>
      <c r="AB57" s="1">
        <f t="shared" si="9"/>
        <v>18.759617810089367</v>
      </c>
      <c r="AC57" s="1">
        <f t="shared" si="10"/>
        <v>14.287679457293468</v>
      </c>
      <c r="AD57" s="1">
        <f t="shared" si="11"/>
        <v>62.92991141219386</v>
      </c>
      <c r="AE57" s="1">
        <f t="shared" si="12"/>
        <v>12.848828500865439</v>
      </c>
      <c r="AF57" s="1">
        <f t="shared" si="13"/>
        <v>11.522775704826211</v>
      </c>
      <c r="AG57" s="1">
        <f t="shared" si="14"/>
        <v>7.0508373520303094</v>
      </c>
      <c r="AH57" s="1">
        <f t="shared" si="15"/>
        <v>55.693069306930695</v>
      </c>
      <c r="AI57" s="1">
        <f t="shared" si="16"/>
        <v>5.6119863956022797</v>
      </c>
      <c r="AJ57" s="1">
        <f t="shared" si="17"/>
        <v>11.680287536784512</v>
      </c>
    </row>
    <row r="58" spans="1:36" ht="15.75" x14ac:dyDescent="0.25">
      <c r="A58" s="8">
        <v>55</v>
      </c>
      <c r="B58" s="7" t="s">
        <v>116</v>
      </c>
      <c r="C58" s="3" t="s">
        <v>115</v>
      </c>
      <c r="D58" s="3" t="s">
        <v>114</v>
      </c>
      <c r="E58" s="15">
        <f>((1/100000)*554660)/10</f>
        <v>0.55466000000000004</v>
      </c>
      <c r="F58" s="24">
        <f>(((1/100000)*554660)/10)/(((1/100000)*7348620/2)/10)</f>
        <v>0.15095623395957336</v>
      </c>
      <c r="G58" s="23">
        <v>0.624776</v>
      </c>
      <c r="H58" s="25">
        <f>0.624776/((211.99865/2)/10)</f>
        <v>5.8941507410542472E-2</v>
      </c>
      <c r="I58" s="16">
        <v>3.4161000000000001</v>
      </c>
      <c r="J58" s="3">
        <v>224</v>
      </c>
      <c r="K58" s="24">
        <v>0.5420316070068546</v>
      </c>
      <c r="L58" s="17">
        <v>21.342972935999999</v>
      </c>
      <c r="M58" s="26">
        <f>21.342972936/(1246.530862135/2)</f>
        <v>3.4243793851112113E-2</v>
      </c>
      <c r="O58" s="9">
        <v>1.7</v>
      </c>
      <c r="P58" s="25">
        <v>0.44736842105263158</v>
      </c>
      <c r="Q58" s="27">
        <v>41.32</v>
      </c>
      <c r="R58" s="28">
        <v>0.67994076024354122</v>
      </c>
      <c r="S58" s="2">
        <f t="shared" si="0"/>
        <v>-68.493847427675945</v>
      </c>
      <c r="T58" s="2">
        <f t="shared" si="1"/>
        <v>-84.334732488357602</v>
      </c>
      <c r="U58" s="2">
        <f t="shared" si="2"/>
        <v>-27.629454161772458</v>
      </c>
      <c r="V58" s="2">
        <f t="shared" si="3"/>
        <v>-89.319530723314841</v>
      </c>
      <c r="W58" s="2">
        <f t="shared" si="4"/>
        <v>-70.357767399336893</v>
      </c>
      <c r="X58" s="2">
        <f t="shared" si="5"/>
        <v>-84.597251623846091</v>
      </c>
      <c r="Y58" s="2">
        <f t="shared" si="6"/>
        <v>-27.526736505368802</v>
      </c>
      <c r="Z58" s="2">
        <f t="shared" si="7"/>
        <v>-89.489426295274455</v>
      </c>
      <c r="AA58" s="2">
        <f t="shared" si="8"/>
        <v>-81.098759326300979</v>
      </c>
      <c r="AB58" s="1">
        <f t="shared" si="9"/>
        <v>22.505928073283794</v>
      </c>
      <c r="AC58" s="1">
        <f t="shared" si="10"/>
        <v>15.604823582106475</v>
      </c>
      <c r="AD58" s="1">
        <f t="shared" si="11"/>
        <v>51.836581051829874</v>
      </c>
      <c r="AE58" s="1">
        <f t="shared" si="12"/>
        <v>13.752495065149198</v>
      </c>
      <c r="AF58" s="1">
        <f t="shared" si="13"/>
        <v>28.320236553056532</v>
      </c>
      <c r="AG58" s="1">
        <f t="shared" si="14"/>
        <v>21.419132061879214</v>
      </c>
      <c r="AH58" s="1">
        <f t="shared" si="15"/>
        <v>57.650889531602623</v>
      </c>
      <c r="AI58" s="1">
        <f t="shared" si="16"/>
        <v>19.566803544921939</v>
      </c>
      <c r="AJ58" s="1">
        <f t="shared" si="17"/>
        <v>20.194903146732859</v>
      </c>
    </row>
    <row r="59" spans="1:36" ht="15.75" x14ac:dyDescent="0.25">
      <c r="A59" s="8">
        <v>56</v>
      </c>
      <c r="B59" s="7" t="s">
        <v>113</v>
      </c>
      <c r="C59" s="3" t="s">
        <v>112</v>
      </c>
      <c r="D59" s="3" t="s">
        <v>3</v>
      </c>
      <c r="E59" s="15">
        <f>((1/100000)*547950)/10</f>
        <v>0.54795000000000005</v>
      </c>
      <c r="F59" s="24">
        <f>(((1/100000)*547950)/10)/(((1/100000)*7348620/2)/10)</f>
        <v>0.14913004074234346</v>
      </c>
      <c r="G59" s="23">
        <v>0.58384499999999995</v>
      </c>
      <c r="H59" s="25">
        <f>0.583845/((211.99865/2)/10)</f>
        <v>5.5080067726846371E-2</v>
      </c>
      <c r="I59" s="16">
        <v>3.9144999999999999</v>
      </c>
      <c r="J59" s="3">
        <v>125</v>
      </c>
      <c r="K59" s="24">
        <v>0.62111259202843361</v>
      </c>
      <c r="L59" s="17">
        <v>22.854612525</v>
      </c>
      <c r="M59" s="26">
        <f>22.854612525/(1246.530862135/2)</f>
        <v>3.6669148304688877E-2</v>
      </c>
      <c r="O59" s="9">
        <v>1.8</v>
      </c>
      <c r="P59" s="25">
        <v>0.47368421052631582</v>
      </c>
      <c r="Q59" s="27">
        <v>40.92</v>
      </c>
      <c r="R59" s="28">
        <v>0.67335856508145464</v>
      </c>
      <c r="S59" s="2">
        <f t="shared" si="0"/>
        <v>-68.217447944187711</v>
      </c>
      <c r="T59" s="2">
        <f t="shared" si="1"/>
        <v>-85.048007868474812</v>
      </c>
      <c r="U59" s="2">
        <f t="shared" si="2"/>
        <v>-16.683286022267012</v>
      </c>
      <c r="V59" s="2">
        <f t="shared" si="3"/>
        <v>-88.232898682896391</v>
      </c>
      <c r="W59" s="2">
        <f t="shared" si="4"/>
        <v>-70.664015777153253</v>
      </c>
      <c r="X59" s="2">
        <f t="shared" si="5"/>
        <v>-85.506058548208046</v>
      </c>
      <c r="Y59" s="2">
        <f t="shared" si="6"/>
        <v>-16.986843178038185</v>
      </c>
      <c r="Z59" s="2">
        <f t="shared" si="7"/>
        <v>-88.668016658903838</v>
      </c>
      <c r="AA59" s="2">
        <f t="shared" si="8"/>
        <v>-81.056074246637351</v>
      </c>
      <c r="AB59" s="1">
        <f t="shared" si="9"/>
        <v>23.026858318833654</v>
      </c>
      <c r="AC59" s="1">
        <f t="shared" si="10"/>
        <v>15.973110342671374</v>
      </c>
      <c r="AD59" s="1">
        <f t="shared" si="11"/>
        <v>58.425549665290418</v>
      </c>
      <c r="AE59" s="1">
        <f t="shared" si="12"/>
        <v>14.592291386009562</v>
      </c>
      <c r="AF59" s="1">
        <f t="shared" si="13"/>
        <v>28.018717182712127</v>
      </c>
      <c r="AG59" s="1">
        <f t="shared" si="14"/>
        <v>20.964969206549846</v>
      </c>
      <c r="AH59" s="1">
        <f t="shared" si="15"/>
        <v>63.417408529168881</v>
      </c>
      <c r="AI59" s="1">
        <f t="shared" si="16"/>
        <v>19.584150249888033</v>
      </c>
      <c r="AJ59" s="1">
        <f t="shared" si="17"/>
        <v>20.3600161144441</v>
      </c>
    </row>
    <row r="60" spans="1:36" ht="15.75" x14ac:dyDescent="0.25">
      <c r="A60" s="8">
        <v>57</v>
      </c>
      <c r="B60" s="3" t="s">
        <v>111</v>
      </c>
      <c r="C60" s="3" t="s">
        <v>110</v>
      </c>
      <c r="D60" s="3" t="s">
        <v>109</v>
      </c>
      <c r="E60" s="15">
        <f>((1/100000)*531230)/10</f>
        <v>0.53123000000000009</v>
      </c>
      <c r="F60" s="24">
        <f>(((1/100000)*531230)/10)/(((1/100000)*7348620/2)/10)</f>
        <v>0.14457952649613123</v>
      </c>
      <c r="G60" s="23">
        <v>0.80323499999999992</v>
      </c>
      <c r="H60" s="25">
        <f>0.803235/((211.99865/2)/10)</f>
        <v>7.5777369337021713E-2</v>
      </c>
      <c r="I60" s="16">
        <v>3.8260999999999998</v>
      </c>
      <c r="J60" s="3">
        <v>142</v>
      </c>
      <c r="K60" s="24">
        <v>0.60708618938816961</v>
      </c>
      <c r="L60" s="17">
        <v>30.732574334999999</v>
      </c>
      <c r="M60" s="26">
        <f>30.732574335/(1246.530862135/2)</f>
        <v>4.930896661854433E-2</v>
      </c>
      <c r="O60" s="9">
        <v>2.6</v>
      </c>
      <c r="P60" s="25">
        <v>0.68421052631578949</v>
      </c>
      <c r="Q60" s="27">
        <v>44.019999999999996</v>
      </c>
      <c r="R60" s="28">
        <v>0.72437057758762535</v>
      </c>
      <c r="S60" s="2">
        <f t="shared" si="0"/>
        <v>-62.92054363119103</v>
      </c>
      <c r="T60" s="2">
        <f t="shared" si="1"/>
        <v>-75.184837409995666</v>
      </c>
      <c r="U60" s="2">
        <f t="shared" si="2"/>
        <v>-15.402472279335242</v>
      </c>
      <c r="V60" s="2">
        <f t="shared" si="3"/>
        <v>-79.424875126884928</v>
      </c>
      <c r="W60" s="2">
        <f t="shared" si="4"/>
        <v>-71.947806899034106</v>
      </c>
      <c r="X60" s="2">
        <f t="shared" si="5"/>
        <v>-81.081152483275844</v>
      </c>
      <c r="Y60" s="2">
        <f t="shared" si="6"/>
        <v>-18.605030649903597</v>
      </c>
      <c r="Z60" s="2">
        <f t="shared" si="7"/>
        <v>-85.529024667200915</v>
      </c>
      <c r="AA60" s="2">
        <f t="shared" si="8"/>
        <v>-76.014706702930411</v>
      </c>
      <c r="AB60" s="1">
        <f t="shared" si="9"/>
        <v>27.948727645104576</v>
      </c>
      <c r="AC60" s="1">
        <f t="shared" si="10"/>
        <v>22.788565858171367</v>
      </c>
      <c r="AD60" s="1">
        <f t="shared" si="11"/>
        <v>62.636727362007463</v>
      </c>
      <c r="AE60" s="1">
        <f t="shared" si="12"/>
        <v>20.803435654285561</v>
      </c>
      <c r="AF60" s="1">
        <f t="shared" si="13"/>
        <v>28.952728926900473</v>
      </c>
      <c r="AG60" s="1">
        <f t="shared" si="14"/>
        <v>23.792567139967264</v>
      </c>
      <c r="AH60" s="1">
        <f t="shared" si="15"/>
        <v>63.640728643803357</v>
      </c>
      <c r="AI60" s="1">
        <f t="shared" si="16"/>
        <v>21.807436936081459</v>
      </c>
      <c r="AJ60" s="1">
        <f t="shared" si="17"/>
        <v>24.348910360085114</v>
      </c>
    </row>
    <row r="61" spans="1:36" ht="15.75" x14ac:dyDescent="0.25">
      <c r="A61" s="8">
        <v>58</v>
      </c>
      <c r="B61" s="7" t="s">
        <v>108</v>
      </c>
      <c r="C61" s="11" t="s">
        <v>107</v>
      </c>
      <c r="D61" s="3" t="s">
        <v>44</v>
      </c>
      <c r="E61" s="15">
        <f>((1/100000)*529120)/10</f>
        <v>0.52912000000000003</v>
      </c>
      <c r="F61" s="24">
        <f>(((1/100000)*529120)/10)/(((1/100000)*7348620/2)/10)</f>
        <v>0.1440052690164956</v>
      </c>
      <c r="G61" s="23">
        <v>0.875583</v>
      </c>
      <c r="H61" s="25">
        <f>0.875583/((211.99865/2)/10)</f>
        <v>8.2602695819053565E-2</v>
      </c>
      <c r="I61" s="16">
        <v>3.4828999999999999</v>
      </c>
      <c r="J61" s="3">
        <v>210</v>
      </c>
      <c r="K61" s="24">
        <v>0.5526307438436151</v>
      </c>
      <c r="L61" s="17">
        <v>30.495680307000001</v>
      </c>
      <c r="M61" s="26">
        <f>30.495680307/(1246.530862135/2)</f>
        <v>4.8928881319100948E-2</v>
      </c>
      <c r="O61" s="9">
        <v>1</v>
      </c>
      <c r="P61" s="25">
        <v>0.26315789473684209</v>
      </c>
      <c r="Q61" s="27">
        <v>32.4</v>
      </c>
      <c r="R61" s="28">
        <v>0.53315780812901092</v>
      </c>
      <c r="S61" s="2">
        <f t="shared" si="0"/>
        <v>-73.746652216872747</v>
      </c>
      <c r="T61" s="2">
        <f t="shared" si="1"/>
        <v>-80.852043738490181</v>
      </c>
      <c r="U61" s="2">
        <f t="shared" si="2"/>
        <v>-28.540726082358006</v>
      </c>
      <c r="V61" s="2">
        <f t="shared" si="3"/>
        <v>-87.244661424525589</v>
      </c>
      <c r="W61" s="2">
        <f t="shared" si="4"/>
        <v>-70.550802207123425</v>
      </c>
      <c r="X61" s="2">
        <f t="shared" si="5"/>
        <v>-74.476248335370741</v>
      </c>
      <c r="Y61" s="2">
        <f t="shared" si="6"/>
        <v>-26.773751271743933</v>
      </c>
      <c r="Z61" s="2">
        <f t="shared" si="7"/>
        <v>-82.300609477496167</v>
      </c>
      <c r="AA61" s="2">
        <f t="shared" si="8"/>
        <v>-78.19516956664647</v>
      </c>
      <c r="AB61" s="1">
        <f t="shared" si="9"/>
        <v>17.379342544658222</v>
      </c>
      <c r="AC61" s="1">
        <f t="shared" si="10"/>
        <v>12.774149554850069</v>
      </c>
      <c r="AD61" s="1">
        <f t="shared" si="11"/>
        <v>48.026253156692185</v>
      </c>
      <c r="AE61" s="1">
        <f t="shared" si="12"/>
        <v>10.248613467353623</v>
      </c>
      <c r="AF61" s="1">
        <f t="shared" si="13"/>
        <v>24.129340379462445</v>
      </c>
      <c r="AG61" s="1">
        <f t="shared" si="14"/>
        <v>19.524147389654289</v>
      </c>
      <c r="AH61" s="1">
        <f t="shared" si="15"/>
        <v>54.776250991496411</v>
      </c>
      <c r="AI61" s="1">
        <f t="shared" si="16"/>
        <v>16.998611302157844</v>
      </c>
      <c r="AJ61" s="1">
        <f t="shared" si="17"/>
        <v>16.842367439689415</v>
      </c>
    </row>
    <row r="62" spans="1:36" ht="15.75" x14ac:dyDescent="0.25">
      <c r="A62" s="8">
        <v>59</v>
      </c>
      <c r="B62" s="7" t="s">
        <v>106</v>
      </c>
      <c r="C62" s="3" t="s">
        <v>105</v>
      </c>
      <c r="D62" s="3" t="s">
        <v>57</v>
      </c>
      <c r="E62" s="15">
        <f>((1/100000)*528320)/10</f>
        <v>0.52832000000000012</v>
      </c>
      <c r="F62" s="24">
        <f>(((1/100000)*528320)/10)/(((1/100000)*7348620/2)/10)</f>
        <v>0.1437875410621314</v>
      </c>
      <c r="G62" s="23">
        <v>0.54025800000000002</v>
      </c>
      <c r="H62" s="25">
        <f>0.540258/((211.99865/2)/10)</f>
        <v>5.0968060409818654E-2</v>
      </c>
      <c r="I62" s="16">
        <v>3.5629</v>
      </c>
      <c r="J62" s="3">
        <v>198</v>
      </c>
      <c r="K62" s="24">
        <v>0.56532432089362783</v>
      </c>
      <c r="L62" s="17">
        <v>19.248852282000001</v>
      </c>
      <c r="M62" s="26">
        <f>19.248852282/(1246.530862135/2)</f>
        <v>3.0883875990092156E-2</v>
      </c>
      <c r="O62" s="9">
        <v>2.7</v>
      </c>
      <c r="P62" s="25">
        <v>0.71052631578947378</v>
      </c>
      <c r="Q62" s="27">
        <v>40.81</v>
      </c>
      <c r="R62" s="28">
        <v>0.67154846141188085</v>
      </c>
      <c r="S62" s="2">
        <f t="shared" si="0"/>
        <v>-62.161713782156006</v>
      </c>
      <c r="T62" s="2">
        <f t="shared" si="1"/>
        <v>-82.867341977790119</v>
      </c>
      <c r="U62" s="2">
        <f t="shared" si="2"/>
        <v>-20.837734909172468</v>
      </c>
      <c r="V62" s="2">
        <f t="shared" si="3"/>
        <v>-86.610471151009577</v>
      </c>
      <c r="W62" s="2">
        <f t="shared" si="4"/>
        <v>-71.701049098282525</v>
      </c>
      <c r="X62" s="2">
        <f t="shared" si="5"/>
        <v>-86.562361088443822</v>
      </c>
      <c r="Y62" s="2">
        <f t="shared" si="6"/>
        <v>-24.451523659146474</v>
      </c>
      <c r="Z62" s="2">
        <f t="shared" si="7"/>
        <v>-90.437870786588718</v>
      </c>
      <c r="AA62" s="2">
        <f t="shared" si="8"/>
        <v>-80.056801314045117</v>
      </c>
      <c r="AB62" s="1">
        <f t="shared" si="9"/>
        <v>28.547223474396699</v>
      </c>
      <c r="AC62" s="1">
        <f t="shared" si="10"/>
        <v>21.585762425473241</v>
      </c>
      <c r="AD62" s="1">
        <f t="shared" si="11"/>
        <v>60.162481961758928</v>
      </c>
      <c r="AE62" s="1">
        <f t="shared" si="12"/>
        <v>20.079448593993757</v>
      </c>
      <c r="AF62" s="1">
        <f t="shared" si="13"/>
        <v>27.572777114956875</v>
      </c>
      <c r="AG62" s="1">
        <f t="shared" si="14"/>
        <v>20.611316066033421</v>
      </c>
      <c r="AH62" s="1">
        <f t="shared" si="15"/>
        <v>59.188035602319111</v>
      </c>
      <c r="AI62" s="1">
        <f t="shared" si="16"/>
        <v>19.105002234553933</v>
      </c>
      <c r="AJ62" s="1">
        <f t="shared" si="17"/>
        <v>22.916921651567989</v>
      </c>
    </row>
    <row r="63" spans="1:36" ht="15.75" x14ac:dyDescent="0.25">
      <c r="A63" s="8">
        <v>60</v>
      </c>
      <c r="B63" s="7" t="s">
        <v>104</v>
      </c>
      <c r="C63" s="3" t="s">
        <v>103</v>
      </c>
      <c r="D63" s="3" t="s">
        <v>102</v>
      </c>
      <c r="E63" s="15">
        <f>((1/100000)*518730)/10</f>
        <v>0.51873000000000002</v>
      </c>
      <c r="F63" s="24">
        <f>(((1/100000)*518730)/10)/(((1/100000)*7348620/2)/10)</f>
        <v>0.14117752720919027</v>
      </c>
      <c r="G63" s="23">
        <v>0.440888</v>
      </c>
      <c r="H63" s="25">
        <f>0.440888/((211.99865/2)/10)</f>
        <v>4.1593472411262995E-2</v>
      </c>
      <c r="I63" s="16">
        <v>4.0319000000000003</v>
      </c>
      <c r="J63" s="3">
        <v>103</v>
      </c>
      <c r="K63" s="24">
        <v>0.63974041634932732</v>
      </c>
      <c r="L63" s="17">
        <v>17.776163272000002</v>
      </c>
      <c r="M63" s="26">
        <f>17.776163272/(1246.530862135/2)</f>
        <v>2.852101590417716E-2</v>
      </c>
      <c r="O63" s="9">
        <v>1.1000000000000001</v>
      </c>
      <c r="P63" s="25">
        <v>0.28947368421052633</v>
      </c>
      <c r="Q63" s="27">
        <v>36.61</v>
      </c>
      <c r="R63" s="28">
        <v>0.60243541220997199</v>
      </c>
      <c r="S63" s="2">
        <f t="shared" si="0"/>
        <v>-73.7884864406996</v>
      </c>
      <c r="T63" s="2">
        <f t="shared" si="1"/>
        <v>-90.178988955416713</v>
      </c>
      <c r="U63" s="2">
        <f t="shared" si="2"/>
        <v>-16.902505280541874</v>
      </c>
      <c r="V63" s="2">
        <f t="shared" si="3"/>
        <v>-92.38625291311169</v>
      </c>
      <c r="W63" s="2">
        <f t="shared" si="4"/>
        <v>-71.68294984020531</v>
      </c>
      <c r="X63" s="2">
        <f t="shared" si="5"/>
        <v>-88.166698504768306</v>
      </c>
      <c r="Y63" s="2">
        <f t="shared" si="6"/>
        <v>-14.870134699911574</v>
      </c>
      <c r="Z63" s="2">
        <f t="shared" si="7"/>
        <v>-90.484754080321153</v>
      </c>
      <c r="AA63" s="2">
        <f t="shared" si="8"/>
        <v>-84.448021789087136</v>
      </c>
      <c r="AB63" s="1">
        <f t="shared" si="9"/>
        <v>17.825156645952429</v>
      </c>
      <c r="AC63" s="1">
        <f t="shared" si="10"/>
        <v>10.356352536107883</v>
      </c>
      <c r="AD63" s="1">
        <f t="shared" si="11"/>
        <v>55.217373331462703</v>
      </c>
      <c r="AE63" s="1">
        <f t="shared" si="12"/>
        <v>9.3759182980764457</v>
      </c>
      <c r="AF63" s="1">
        <f t="shared" si="13"/>
        <v>25.649199845938568</v>
      </c>
      <c r="AG63" s="1">
        <f t="shared" si="14"/>
        <v>18.180395736094024</v>
      </c>
      <c r="AH63" s="1">
        <f t="shared" si="15"/>
        <v>63.04141653144886</v>
      </c>
      <c r="AI63" s="1">
        <f t="shared" si="16"/>
        <v>17.199961498062589</v>
      </c>
      <c r="AJ63" s="1">
        <f t="shared" si="17"/>
        <v>16.43116409337199</v>
      </c>
    </row>
    <row r="64" spans="1:36" ht="15.75" x14ac:dyDescent="0.25">
      <c r="A64" s="8">
        <v>61</v>
      </c>
      <c r="B64" s="3" t="s">
        <v>101</v>
      </c>
      <c r="C64" s="3" t="s">
        <v>100</v>
      </c>
      <c r="D64" s="3" t="s">
        <v>33</v>
      </c>
      <c r="E64" s="15">
        <f>((1/100000)*514610)/10</f>
        <v>0.51461000000000001</v>
      </c>
      <c r="F64" s="24">
        <f>(((1/100000)*514610)/10)/(((1/100000)*7348620/2)/10)</f>
        <v>0.14005622824421454</v>
      </c>
      <c r="G64" s="23">
        <v>0.687249</v>
      </c>
      <c r="H64" s="25">
        <f>0.687249/((211.99865/2)/10)</f>
        <v>6.4835224186569118E-2</v>
      </c>
      <c r="I64" s="16">
        <v>3.6873999999999998</v>
      </c>
      <c r="J64" s="3">
        <v>166</v>
      </c>
      <c r="K64" s="24">
        <v>0.58507870017771013</v>
      </c>
      <c r="L64" s="17">
        <v>25.341619626</v>
      </c>
      <c r="M64" s="26">
        <f>25.341619626/(1246.530862135/2)</f>
        <v>4.0659433947100282E-2</v>
      </c>
      <c r="O64" s="9">
        <v>1.3</v>
      </c>
      <c r="P64" s="25">
        <v>0.34210526315789475</v>
      </c>
      <c r="Q64" s="27">
        <v>51.209999999999994</v>
      </c>
      <c r="R64" s="28">
        <v>0.84268553562613113</v>
      </c>
      <c r="S64" s="2">
        <f t="shared" si="0"/>
        <v>-73.00294759485017</v>
      </c>
      <c r="T64" s="2">
        <f t="shared" si="1"/>
        <v>-84.099743029725559</v>
      </c>
      <c r="U64" s="2">
        <f t="shared" si="2"/>
        <v>-23.308655209136987</v>
      </c>
      <c r="V64" s="2">
        <f t="shared" si="3"/>
        <v>-88.598225375461766</v>
      </c>
      <c r="W64" s="2">
        <f t="shared" si="4"/>
        <v>-73.660249179897178</v>
      </c>
      <c r="X64" s="2">
        <f t="shared" si="5"/>
        <v>-85.531949819177939</v>
      </c>
      <c r="Y64" s="2">
        <f t="shared" si="6"/>
        <v>-20.9763306041269</v>
      </c>
      <c r="Z64" s="2">
        <f t="shared" si="7"/>
        <v>-89.31505842437673</v>
      </c>
      <c r="AA64" s="2">
        <f t="shared" si="8"/>
        <v>-82.36802890391489</v>
      </c>
      <c r="AB64" s="1">
        <f t="shared" si="9"/>
        <v>19.056848697263458</v>
      </c>
      <c r="AC64" s="1">
        <f t="shared" si="10"/>
        <v>13.415273392940053</v>
      </c>
      <c r="AD64" s="1">
        <f t="shared" si="11"/>
        <v>52.433534092275622</v>
      </c>
      <c r="AE64" s="1">
        <f t="shared" si="12"/>
        <v>11.602089124979889</v>
      </c>
      <c r="AF64" s="1">
        <f t="shared" si="13"/>
        <v>31.571355508969368</v>
      </c>
      <c r="AG64" s="1">
        <f t="shared" si="14"/>
        <v>25.929780204645965</v>
      </c>
      <c r="AH64" s="1">
        <f t="shared" si="15"/>
        <v>64.948040903981536</v>
      </c>
      <c r="AI64" s="1">
        <f t="shared" si="16"/>
        <v>24.116595936685801</v>
      </c>
      <c r="AJ64" s="1">
        <f t="shared" si="17"/>
        <v>20.948657144247424</v>
      </c>
    </row>
    <row r="65" spans="1:36" ht="15.75" x14ac:dyDescent="0.25">
      <c r="A65" s="8">
        <v>62</v>
      </c>
      <c r="B65" s="3" t="s">
        <v>99</v>
      </c>
      <c r="C65" s="3" t="s">
        <v>98</v>
      </c>
      <c r="D65" s="3" t="s">
        <v>49</v>
      </c>
      <c r="E65" s="15">
        <f>((1/100000)*479420)/10</f>
        <v>0.47942000000000001</v>
      </c>
      <c r="F65" s="24">
        <f>(((1/100000)*479420)/10)/(((1/100000)*7348620/2)/10)</f>
        <v>0.13047891985161839</v>
      </c>
      <c r="G65" s="23">
        <v>0.47919799999999996</v>
      </c>
      <c r="H65" s="25">
        <f>0.479198/((211.99865/2)/10)</f>
        <v>4.5207646369446221E-2</v>
      </c>
      <c r="I65" s="16">
        <v>3.9371999999999998</v>
      </c>
      <c r="J65" s="3">
        <v>120</v>
      </c>
      <c r="K65" s="24">
        <v>0.62471439451637478</v>
      </c>
      <c r="L65" s="17">
        <v>18.866983655999999</v>
      </c>
      <c r="M65" s="26">
        <f>18.866983656/(1246.530862135/2)</f>
        <v>3.0271185783054752E-2</v>
      </c>
      <c r="O65" s="9">
        <v>1.6</v>
      </c>
      <c r="P65" s="25">
        <v>0.4210526315789474</v>
      </c>
      <c r="Q65" s="27">
        <v>44.01</v>
      </c>
      <c r="R65" s="28">
        <v>0.72420602270857326</v>
      </c>
      <c r="S65" s="2">
        <f t="shared" si="0"/>
        <v>-73.319664192173391</v>
      </c>
      <c r="T65" s="2">
        <f t="shared" si="1"/>
        <v>-88.231236922791581</v>
      </c>
      <c r="U65" s="2">
        <f t="shared" si="2"/>
        <v>-16.976013887096485</v>
      </c>
      <c r="V65" s="2">
        <f t="shared" si="3"/>
        <v>-90.816256405553531</v>
      </c>
      <c r="W65" s="2">
        <f t="shared" si="4"/>
        <v>-74.682575779554583</v>
      </c>
      <c r="X65" s="2">
        <f t="shared" si="5"/>
        <v>-88.711432880862446</v>
      </c>
      <c r="Y65" s="2">
        <f t="shared" si="6"/>
        <v>-16.242386326949003</v>
      </c>
      <c r="Z65" s="2">
        <f t="shared" si="7"/>
        <v>-91.114704631314765</v>
      </c>
      <c r="AA65" s="2">
        <f t="shared" si="8"/>
        <v>-84.479311802041707</v>
      </c>
      <c r="AB65" s="1">
        <f t="shared" si="9"/>
        <v>20.312234778345061</v>
      </c>
      <c r="AC65" s="1">
        <f t="shared" si="10"/>
        <v>13.916889267182153</v>
      </c>
      <c r="AD65" s="1">
        <f t="shared" si="11"/>
        <v>57.379895378201795</v>
      </c>
      <c r="AE65" s="1">
        <f t="shared" si="12"/>
        <v>12.79665472320279</v>
      </c>
      <c r="AF65" s="1">
        <f t="shared" si="13"/>
        <v>27.891069556585713</v>
      </c>
      <c r="AG65" s="1">
        <f t="shared" si="14"/>
        <v>21.495724045422797</v>
      </c>
      <c r="AH65" s="1">
        <f t="shared" si="15"/>
        <v>64.958730156442442</v>
      </c>
      <c r="AI65" s="1">
        <f t="shared" si="16"/>
        <v>20.37548950144344</v>
      </c>
      <c r="AJ65" s="1">
        <f t="shared" si="17"/>
        <v>19.464676978696993</v>
      </c>
    </row>
    <row r="66" spans="1:36" ht="15.75" x14ac:dyDescent="0.25">
      <c r="A66" s="8">
        <v>63</v>
      </c>
      <c r="B66" s="3" t="s">
        <v>97</v>
      </c>
      <c r="C66" s="3" t="s">
        <v>68</v>
      </c>
      <c r="D66" s="3" t="s">
        <v>60</v>
      </c>
      <c r="E66" s="15">
        <f>((1/100000)*466040)/10</f>
        <v>0.46604000000000001</v>
      </c>
      <c r="F66" s="24">
        <f>(((1/100000)*466040)/10)/(((1/100000)*7348620/2)/10)</f>
        <v>0.12683741981487678</v>
      </c>
      <c r="G66" s="23">
        <v>0.95055800000000001</v>
      </c>
      <c r="H66" s="25">
        <f>0.950558/((211.99865/2)/10)</f>
        <v>8.967585406793864E-2</v>
      </c>
      <c r="I66" s="16">
        <v>4.1550000000000002</v>
      </c>
      <c r="J66" s="3">
        <v>91</v>
      </c>
      <c r="K66" s="24">
        <v>0.65927265803503432</v>
      </c>
      <c r="L66" s="17">
        <v>39.495684900000001</v>
      </c>
      <c r="M66" s="26">
        <f>39.4956849/(1246.530862135/2)</f>
        <v>6.3368964379034512E-2</v>
      </c>
      <c r="O66" s="9">
        <v>1.9</v>
      </c>
      <c r="P66" s="25">
        <v>0.5</v>
      </c>
      <c r="Q66" s="27">
        <v>39.54</v>
      </c>
      <c r="R66" s="28">
        <v>0.65064999177225602</v>
      </c>
      <c r="S66" s="2">
        <f t="shared" si="0"/>
        <v>-72.385053139218741</v>
      </c>
      <c r="T66" s="2">
        <f t="shared" si="1"/>
        <v>-75.124791736816093</v>
      </c>
      <c r="U66" s="2">
        <f t="shared" si="2"/>
        <v>-11.149288761283145</v>
      </c>
      <c r="V66" s="2">
        <f t="shared" si="3"/>
        <v>-79.060437860680295</v>
      </c>
      <c r="W66" s="2">
        <f t="shared" si="4"/>
        <v>-74.894454217463306</v>
      </c>
      <c r="X66" s="2">
        <f t="shared" si="5"/>
        <v>-75.821287310754684</v>
      </c>
      <c r="Y66" s="2">
        <f t="shared" si="6"/>
        <v>-12.010083808219875</v>
      </c>
      <c r="Z66" s="2">
        <f t="shared" si="7"/>
        <v>-79.943581040384686</v>
      </c>
      <c r="AA66" s="2">
        <f t="shared" si="8"/>
        <v>-76.20493421755296</v>
      </c>
      <c r="AB66" s="1">
        <f t="shared" si="9"/>
        <v>22.01280648611576</v>
      </c>
      <c r="AC66" s="1">
        <f t="shared" si="10"/>
        <v>19.225689055095398</v>
      </c>
      <c r="AD66" s="1">
        <f t="shared" si="11"/>
        <v>61.945449352627577</v>
      </c>
      <c r="AE66" s="1">
        <f t="shared" si="12"/>
        <v>17.252672328427586</v>
      </c>
      <c r="AF66" s="1">
        <f t="shared" si="13"/>
        <v>25.779056280422157</v>
      </c>
      <c r="AG66" s="1">
        <f t="shared" si="14"/>
        <v>22.991938849401798</v>
      </c>
      <c r="AH66" s="1">
        <f t="shared" si="15"/>
        <v>65.711699146933981</v>
      </c>
      <c r="AI66" s="1">
        <f t="shared" si="16"/>
        <v>21.01892212273399</v>
      </c>
      <c r="AJ66" s="1">
        <f t="shared" si="17"/>
        <v>21.380180853699446</v>
      </c>
    </row>
    <row r="67" spans="1:36" ht="15.75" x14ac:dyDescent="0.25">
      <c r="A67" s="8">
        <v>64</v>
      </c>
      <c r="B67" s="3" t="s">
        <v>96</v>
      </c>
      <c r="C67" s="11" t="s">
        <v>95</v>
      </c>
      <c r="D67" s="3" t="s">
        <v>94</v>
      </c>
      <c r="E67" s="15">
        <f>((1/100000)*442820)/10</f>
        <v>0.44282000000000005</v>
      </c>
      <c r="F67" s="24">
        <f>(((1/100000)*442820)/10)/(((1/100000)*7348620/2)/10)</f>
        <v>0.12051786593945529</v>
      </c>
      <c r="G67" s="23">
        <v>0.87615599999999993</v>
      </c>
      <c r="H67" s="25">
        <f>0.876156/((211.99865/2)/10)</f>
        <v>8.2656752767057709E-2</v>
      </c>
      <c r="I67" s="16">
        <v>5.1913999999999998</v>
      </c>
      <c r="J67" s="10">
        <v>9</v>
      </c>
      <c r="K67" s="24">
        <v>0.82371794871794879</v>
      </c>
      <c r="L67" s="17">
        <v>45.484762584000002</v>
      </c>
      <c r="M67" s="26">
        <f>45.484762584/(1246.530862135/2)</f>
        <v>7.2978157165071417E-2</v>
      </c>
      <c r="O67" s="9">
        <v>1.2</v>
      </c>
      <c r="P67" s="25">
        <v>0.31578947368421051</v>
      </c>
      <c r="Q67" s="27">
        <v>37.379999999999995</v>
      </c>
      <c r="R67" s="28">
        <v>0.61510613789698854</v>
      </c>
      <c r="S67" s="2">
        <f t="shared" ref="S67:S101" si="18">((E67/( -0.3642238*O67 + 2.379662
))*100)-100</f>
        <v>-77.204700125004024</v>
      </c>
      <c r="T67" s="2">
        <f t="shared" ref="T67:T101" si="19">((G67/( -0.834907*O67 + 5.40763
))*100)-100</f>
        <v>-80.113313953773414</v>
      </c>
      <c r="U67" s="2">
        <f t="shared" ref="U67:U101" si="20">((I67/( -0.219535*O67 + 5.0935
))*100)-100</f>
        <v>7.4811109928700716</v>
      </c>
      <c r="V67" s="2">
        <f t="shared" ref="V67:V101" si="21">((L67/(-56.0713*O67 + 295.153
))*100)-100</f>
        <v>-80.038937294419952</v>
      </c>
      <c r="W67" s="2">
        <f t="shared" ref="W67:W101" si="22">((E67/( 0.00834757*Q67 + 1.52626
))*100)-100</f>
        <v>-75.91133727023302</v>
      </c>
      <c r="X67" s="2">
        <f t="shared" ref="X67:X101" si="23">((G67/( 0.0701569*Q67 + 1.15738
))*100)-100</f>
        <v>-76.820318873388956</v>
      </c>
      <c r="Y67" s="2">
        <f t="shared" ref="Y67:Y101" si="24">((I67/(-0.00479307*Q67 + 4.91165
))*100)-100</f>
        <v>9.6971242886443036</v>
      </c>
      <c r="Z67" s="2">
        <f t="shared" ref="Z67:Z101" si="25">((L67/(3.44888*Q67 + 60.5542
))*100)-100</f>
        <v>-75.994108760456797</v>
      </c>
      <c r="AA67" s="2">
        <f t="shared" ref="AA67:AA101" si="26">(S67+T67+V67+W67+X67+Z67)/6</f>
        <v>-77.680452712879358</v>
      </c>
      <c r="AB67" s="1">
        <f t="shared" ref="AB67:AB101" si="27">(F67*0.75+P67*0.25)*100</f>
        <v>16.933576787564409</v>
      </c>
      <c r="AC67" s="1">
        <f t="shared" ref="AC67:AC101" si="28">(H67*0.75+P67*0.25)*100</f>
        <v>14.093993299634592</v>
      </c>
      <c r="AD67" s="1">
        <f t="shared" ref="AD67:AD101" si="29">(K67*0.75+P67*0.25)*100</f>
        <v>69.673582995951421</v>
      </c>
      <c r="AE67" s="1">
        <f t="shared" ref="AE67:AE101" si="30">(M67*0.75+P67*0.25)*100</f>
        <v>13.368098629485619</v>
      </c>
      <c r="AF67" s="1">
        <f t="shared" ref="AF67:AF101" si="31">(F67*0.75+R67*0.25)*100</f>
        <v>24.416493392883858</v>
      </c>
      <c r="AG67" s="1">
        <f t="shared" ref="AG67:AG101" si="32">(H67*0.75+R67*0.25)*100</f>
        <v>21.576909904954043</v>
      </c>
      <c r="AH67" s="1">
        <f t="shared" ref="AH67:AH101" si="33">(K67*0.75+R67*0.25)*100</f>
        <v>77.156499601270866</v>
      </c>
      <c r="AI67" s="1">
        <f t="shared" ref="AI67:AI101" si="34">(M67*0.75+R67*0.25)*100</f>
        <v>20.851015234805072</v>
      </c>
      <c r="AJ67" s="1">
        <f t="shared" ref="AJ67:AJ101" si="35">SUM(AI67,AE67:AG67,AB67:AC67)/6</f>
        <v>18.540014541554598</v>
      </c>
    </row>
    <row r="68" spans="1:36" ht="15.75" x14ac:dyDescent="0.25">
      <c r="A68" s="8">
        <v>65</v>
      </c>
      <c r="B68" s="7" t="s">
        <v>93</v>
      </c>
      <c r="C68" s="3" t="s">
        <v>92</v>
      </c>
      <c r="D68" s="3" t="s">
        <v>91</v>
      </c>
      <c r="E68" s="15">
        <f>((1/100000)*439760)/10</f>
        <v>0.43976000000000004</v>
      </c>
      <c r="F68" s="24">
        <f>(((1/100000)*439760)/10)/(((1/100000)*7348620/2)/10)</f>
        <v>0.11968505651401215</v>
      </c>
      <c r="G68" s="23">
        <v>0.54522000000000004</v>
      </c>
      <c r="H68" s="25">
        <f>0.54522/((211.99865/2)/10)</f>
        <v>5.1436176598294379E-2</v>
      </c>
      <c r="I68" s="16">
        <v>4.2850999999999999</v>
      </c>
      <c r="J68" s="3">
        <v>79</v>
      </c>
      <c r="K68" s="24">
        <v>0.6799155877126174</v>
      </c>
      <c r="L68" s="17">
        <v>23.363222220000001</v>
      </c>
      <c r="M68" s="26">
        <f>23.36322222/(1246.530862135/2)</f>
        <v>3.7485188581668265E-2</v>
      </c>
      <c r="O68" s="9">
        <v>3.1</v>
      </c>
      <c r="P68" s="25">
        <v>0.81578947368421062</v>
      </c>
      <c r="Q68" s="27">
        <v>31.529999999999998</v>
      </c>
      <c r="R68" s="28">
        <v>0.51884153365147268</v>
      </c>
      <c r="S68" s="2">
        <f t="shared" si="18"/>
        <v>-64.835185080906655</v>
      </c>
      <c r="T68" s="2">
        <f t="shared" si="19"/>
        <v>-80.661968463494759</v>
      </c>
      <c r="U68" s="2">
        <f t="shared" si="20"/>
        <v>-2.8969679294411605</v>
      </c>
      <c r="V68" s="2">
        <f t="shared" si="21"/>
        <v>-80.744380710211829</v>
      </c>
      <c r="W68" s="2">
        <f t="shared" si="22"/>
        <v>-75.424973191676557</v>
      </c>
      <c r="X68" s="2">
        <f t="shared" si="23"/>
        <v>-83.818613943064804</v>
      </c>
      <c r="Y68" s="2">
        <f t="shared" si="24"/>
        <v>-9.9868092814223104</v>
      </c>
      <c r="Z68" s="2">
        <f t="shared" si="25"/>
        <v>-86.199891967144978</v>
      </c>
      <c r="AA68" s="2">
        <f t="shared" si="26"/>
        <v>-78.61416889274993</v>
      </c>
      <c r="AB68" s="1">
        <f t="shared" si="27"/>
        <v>29.371116080656179</v>
      </c>
      <c r="AC68" s="1">
        <f t="shared" si="28"/>
        <v>24.252450086977344</v>
      </c>
      <c r="AD68" s="1">
        <f t="shared" si="29"/>
        <v>71.388405920551563</v>
      </c>
      <c r="AE68" s="1">
        <f t="shared" si="30"/>
        <v>23.206125985730385</v>
      </c>
      <c r="AF68" s="1">
        <f t="shared" si="31"/>
        <v>21.947417579837726</v>
      </c>
      <c r="AG68" s="1">
        <f t="shared" si="32"/>
        <v>16.828751586158898</v>
      </c>
      <c r="AH68" s="1">
        <f t="shared" si="33"/>
        <v>63.964707419733124</v>
      </c>
      <c r="AI68" s="1">
        <f t="shared" si="34"/>
        <v>15.782427484911937</v>
      </c>
      <c r="AJ68" s="1">
        <f t="shared" si="35"/>
        <v>21.898048134045411</v>
      </c>
    </row>
    <row r="69" spans="1:36" ht="15.75" x14ac:dyDescent="0.25">
      <c r="A69" s="8">
        <v>66</v>
      </c>
      <c r="B69" s="7" t="s">
        <v>90</v>
      </c>
      <c r="C69" s="3" t="s">
        <v>89</v>
      </c>
      <c r="D69" s="3" t="s">
        <v>88</v>
      </c>
      <c r="E69" s="15">
        <f>((1/100000)*439620)/10</f>
        <v>0.43962000000000001</v>
      </c>
      <c r="F69" s="24">
        <f>(((1/100000)*439620)/10)/(((1/100000)*7348620/2)/10)</f>
        <v>0.1196469541219984</v>
      </c>
      <c r="G69" s="23">
        <v>0.23593199999999998</v>
      </c>
      <c r="H69" s="25">
        <f>0.235932/((211.99865/2)/10)</f>
        <v>2.2257877585541229E-2</v>
      </c>
      <c r="I69" s="16">
        <v>3.9287999999999998</v>
      </c>
      <c r="J69" s="3">
        <v>122</v>
      </c>
      <c r="K69" s="24">
        <v>0.6233815689261234</v>
      </c>
      <c r="L69" s="17">
        <v>9.2692964159999995</v>
      </c>
      <c r="M69" s="26">
        <f>9.269296416/(1246.530862135/2)</f>
        <v>1.487214909404486E-2</v>
      </c>
      <c r="O69" s="9">
        <v>1.1000000000000001</v>
      </c>
      <c r="P69" s="25">
        <v>0.28947368421052633</v>
      </c>
      <c r="Q69" s="27">
        <v>42.41</v>
      </c>
      <c r="R69" s="28">
        <v>0.69787724206022694</v>
      </c>
      <c r="S69" s="2">
        <f t="shared" si="18"/>
        <v>-77.785927956856852</v>
      </c>
      <c r="T69" s="2">
        <f t="shared" si="19"/>
        <v>-94.744491168345206</v>
      </c>
      <c r="U69" s="2">
        <f t="shared" si="20"/>
        <v>-19.027397193926689</v>
      </c>
      <c r="V69" s="2">
        <f t="shared" si="21"/>
        <v>-96.029847526435105</v>
      </c>
      <c r="W69" s="2">
        <f t="shared" si="22"/>
        <v>-76.619445175161232</v>
      </c>
      <c r="X69" s="2">
        <f t="shared" si="23"/>
        <v>-94.291140135426801</v>
      </c>
      <c r="Y69" s="2">
        <f t="shared" si="24"/>
        <v>-16.557214581884949</v>
      </c>
      <c r="Z69" s="2">
        <f t="shared" si="25"/>
        <v>-95.518207814215529</v>
      </c>
      <c r="AA69" s="2">
        <f t="shared" si="26"/>
        <v>-89.164843296073457</v>
      </c>
      <c r="AB69" s="1">
        <f t="shared" si="27"/>
        <v>16.210363664413038</v>
      </c>
      <c r="AC69" s="1">
        <f t="shared" si="28"/>
        <v>8.9061829241787507</v>
      </c>
      <c r="AD69" s="1">
        <f t="shared" si="29"/>
        <v>53.99045977472241</v>
      </c>
      <c r="AE69" s="1">
        <f t="shared" si="30"/>
        <v>8.3522532873165236</v>
      </c>
      <c r="AF69" s="1">
        <f t="shared" si="31"/>
        <v>26.420452610655552</v>
      </c>
      <c r="AG69" s="1">
        <f t="shared" si="32"/>
        <v>19.116271870421265</v>
      </c>
      <c r="AH69" s="1">
        <f t="shared" si="33"/>
        <v>64.200548720964932</v>
      </c>
      <c r="AI69" s="1">
        <f t="shared" si="34"/>
        <v>18.562342233559036</v>
      </c>
      <c r="AJ69" s="1">
        <f t="shared" si="35"/>
        <v>16.261311098424027</v>
      </c>
    </row>
    <row r="70" spans="1:36" ht="15.75" x14ac:dyDescent="0.25">
      <c r="A70" s="8">
        <v>67</v>
      </c>
      <c r="B70" s="7" t="s">
        <v>87</v>
      </c>
      <c r="C70" s="3" t="s">
        <v>86</v>
      </c>
      <c r="D70" s="3" t="s">
        <v>54</v>
      </c>
      <c r="E70" s="15">
        <f>((1/100000)*438070)/10</f>
        <v>0.43807000000000001</v>
      </c>
      <c r="F70" s="24">
        <f>(((1/100000)*438070)/10)/(((1/100000)*7348620/2)/10)</f>
        <v>0.11922510621041772</v>
      </c>
      <c r="G70" s="23">
        <v>0.22677800000000001</v>
      </c>
      <c r="H70" s="25">
        <f>0.226778/((211.99865/2)/10)</f>
        <v>2.139428718060233E-2</v>
      </c>
      <c r="I70" s="16">
        <v>4.6477000000000004</v>
      </c>
      <c r="J70" s="3">
        <v>33</v>
      </c>
      <c r="K70" s="24">
        <v>0.73744922569180005</v>
      </c>
      <c r="L70" s="17">
        <v>10.539961106</v>
      </c>
      <c r="M70" s="26">
        <f>10.539961106/(1246.530862135/2)</f>
        <v>1.6910870683053358E-2</v>
      </c>
      <c r="N70" s="3"/>
      <c r="O70" s="9">
        <v>2.5</v>
      </c>
      <c r="P70" s="25">
        <v>0.65789473684210531</v>
      </c>
      <c r="Q70" s="27">
        <v>38.349999999999994</v>
      </c>
      <c r="R70" s="28">
        <v>0.63106796116504837</v>
      </c>
      <c r="S70" s="2">
        <f t="shared" si="18"/>
        <v>-70.181113979453443</v>
      </c>
      <c r="T70" s="2">
        <f t="shared" si="19"/>
        <v>-93.170083085807647</v>
      </c>
      <c r="U70" s="2">
        <f t="shared" si="20"/>
        <v>2.2672200630960049</v>
      </c>
      <c r="V70" s="2">
        <f t="shared" si="21"/>
        <v>-93.198917174571989</v>
      </c>
      <c r="W70" s="2">
        <f t="shared" si="22"/>
        <v>-76.274234380254896</v>
      </c>
      <c r="X70" s="2">
        <f t="shared" si="23"/>
        <v>-94.106443254005768</v>
      </c>
      <c r="Y70" s="2">
        <f t="shared" si="24"/>
        <v>-1.6949777757672422</v>
      </c>
      <c r="Z70" s="2">
        <f t="shared" si="25"/>
        <v>-94.533746736079834</v>
      </c>
      <c r="AA70" s="2">
        <f t="shared" si="26"/>
        <v>-86.910756435028929</v>
      </c>
      <c r="AB70" s="1">
        <f t="shared" si="27"/>
        <v>25.389251386833962</v>
      </c>
      <c r="AC70" s="1">
        <f t="shared" si="28"/>
        <v>18.051939959597807</v>
      </c>
      <c r="AD70" s="1">
        <f t="shared" si="29"/>
        <v>71.756060347937634</v>
      </c>
      <c r="AE70" s="1">
        <f t="shared" si="30"/>
        <v>17.715683722281632</v>
      </c>
      <c r="AF70" s="1">
        <f t="shared" si="31"/>
        <v>24.718581994907542</v>
      </c>
      <c r="AG70" s="1">
        <f t="shared" si="32"/>
        <v>17.381270567671383</v>
      </c>
      <c r="AH70" s="1">
        <f t="shared" si="33"/>
        <v>71.08539095601121</v>
      </c>
      <c r="AI70" s="1">
        <f t="shared" si="34"/>
        <v>17.045014330355212</v>
      </c>
      <c r="AJ70" s="1">
        <f t="shared" si="35"/>
        <v>20.050290326941255</v>
      </c>
    </row>
    <row r="71" spans="1:36" ht="15.75" x14ac:dyDescent="0.25">
      <c r="A71" s="8">
        <v>68</v>
      </c>
      <c r="B71" s="7" t="s">
        <v>85</v>
      </c>
      <c r="C71" s="3" t="s">
        <v>84</v>
      </c>
      <c r="D71" s="3" t="s">
        <v>30</v>
      </c>
      <c r="E71" s="15">
        <f>((1/100000)*433950)/10</f>
        <v>0.43395</v>
      </c>
      <c r="F71" s="24">
        <f>(((1/100000)*433950)/10)/(((1/100000)*7348620/2)/10)</f>
        <v>0.11810380724544198</v>
      </c>
      <c r="G71" s="23">
        <v>0.45602200000000004</v>
      </c>
      <c r="H71" s="25">
        <f>0.456022/((211.99865/2)/10)</f>
        <v>4.3021217352091634E-2</v>
      </c>
      <c r="I71" s="16">
        <v>4.6650999999999998</v>
      </c>
      <c r="J71" s="10">
        <v>32</v>
      </c>
      <c r="K71" s="24">
        <v>0.74021007870017774</v>
      </c>
      <c r="L71" s="17">
        <v>21.273882321999999</v>
      </c>
      <c r="M71" s="26">
        <f>21.273882322/(1246.530862135/2)</f>
        <v>3.4132941218259265E-2</v>
      </c>
      <c r="O71" s="9">
        <v>3.5</v>
      </c>
      <c r="P71" s="25">
        <v>0.92105263157894746</v>
      </c>
      <c r="Q71" s="27">
        <v>40.07</v>
      </c>
      <c r="R71" s="28">
        <v>0.65937140036202069</v>
      </c>
      <c r="S71" s="2">
        <f t="shared" si="18"/>
        <v>-60.724195334745801</v>
      </c>
      <c r="T71" s="2">
        <f t="shared" si="19"/>
        <v>-81.652377200074596</v>
      </c>
      <c r="U71" s="2">
        <f t="shared" si="20"/>
        <v>7.8604041152544113</v>
      </c>
      <c r="V71" s="2">
        <f t="shared" si="21"/>
        <v>-78.490252542252065</v>
      </c>
      <c r="W71" s="2">
        <f t="shared" si="22"/>
        <v>-76.678722593363815</v>
      </c>
      <c r="X71" s="2">
        <f t="shared" si="23"/>
        <v>-88.509151994827249</v>
      </c>
      <c r="Y71" s="2">
        <f t="shared" si="24"/>
        <v>-1.1545847339301361</v>
      </c>
      <c r="Z71" s="2">
        <f t="shared" si="25"/>
        <v>-89.296204085729428</v>
      </c>
      <c r="AA71" s="2">
        <f t="shared" si="26"/>
        <v>-79.225150625165497</v>
      </c>
      <c r="AB71" s="1">
        <f t="shared" si="27"/>
        <v>31.88410133288183</v>
      </c>
      <c r="AC71" s="1">
        <f t="shared" si="28"/>
        <v>26.252907090880562</v>
      </c>
      <c r="AD71" s="1">
        <f t="shared" si="29"/>
        <v>78.542071691987019</v>
      </c>
      <c r="AE71" s="1">
        <f t="shared" si="30"/>
        <v>25.586286380843131</v>
      </c>
      <c r="AF71" s="1">
        <f t="shared" si="31"/>
        <v>25.342070552458662</v>
      </c>
      <c r="AG71" s="1">
        <f t="shared" si="32"/>
        <v>19.71087631045739</v>
      </c>
      <c r="AH71" s="1">
        <f t="shared" si="33"/>
        <v>72.000040911563843</v>
      </c>
      <c r="AI71" s="1">
        <f t="shared" si="34"/>
        <v>19.044255600419962</v>
      </c>
      <c r="AJ71" s="1">
        <f t="shared" si="35"/>
        <v>24.636749544656922</v>
      </c>
    </row>
    <row r="72" spans="1:36" ht="16.5" thickBot="1" x14ac:dyDescent="0.3">
      <c r="A72" s="8">
        <v>69</v>
      </c>
      <c r="B72" s="7" t="s">
        <v>20</v>
      </c>
      <c r="C72" s="6" t="s">
        <v>83</v>
      </c>
      <c r="D72" s="3" t="s">
        <v>82</v>
      </c>
      <c r="E72" s="15">
        <f>((1/100000)*431150)/10</f>
        <v>0.43115000000000003</v>
      </c>
      <c r="F72" s="24">
        <f>(((1/100000)*431150)/10)/(((1/100000)*7348620/2)/10)</f>
        <v>0.11734175940516722</v>
      </c>
      <c r="G72" s="23">
        <v>0.251662</v>
      </c>
      <c r="H72" s="25">
        <f>0.251662/((211.99865/2)/10)</f>
        <v>2.3741849299512049E-2</v>
      </c>
      <c r="I72" s="16">
        <v>3.5417999999999998</v>
      </c>
      <c r="J72" s="3">
        <v>202</v>
      </c>
      <c r="K72" s="24">
        <v>0.56197638994668697</v>
      </c>
      <c r="L72" s="17">
        <v>8.9133647160000002</v>
      </c>
      <c r="M72" s="26">
        <f>8.913364716/(1246.530862135/2)</f>
        <v>1.4301073461965642E-2</v>
      </c>
      <c r="O72" s="9">
        <v>1.7</v>
      </c>
      <c r="P72" s="25">
        <v>0.44736842105263158</v>
      </c>
      <c r="Q72" s="27">
        <v>39.739999999999995</v>
      </c>
      <c r="R72" s="28">
        <v>0.6539410893532992</v>
      </c>
      <c r="S72" s="2">
        <f t="shared" si="18"/>
        <v>-75.509541554181823</v>
      </c>
      <c r="T72" s="2">
        <f t="shared" si="19"/>
        <v>-93.689974402802051</v>
      </c>
      <c r="U72" s="2">
        <f t="shared" si="20"/>
        <v>-24.966482465433003</v>
      </c>
      <c r="V72" s="2">
        <f t="shared" si="21"/>
        <v>-95.539566194147582</v>
      </c>
      <c r="W72" s="2">
        <f t="shared" si="22"/>
        <v>-76.794846274895349</v>
      </c>
      <c r="X72" s="2">
        <f t="shared" si="23"/>
        <v>-93.621406446214223</v>
      </c>
      <c r="Y72" s="2">
        <f t="shared" si="24"/>
        <v>-24.980514349454936</v>
      </c>
      <c r="Z72" s="2">
        <f t="shared" si="25"/>
        <v>-95.489477592823761</v>
      </c>
      <c r="AA72" s="2">
        <f t="shared" si="26"/>
        <v>-88.440802077510796</v>
      </c>
      <c r="AB72" s="1">
        <f t="shared" si="27"/>
        <v>19.984842481703328</v>
      </c>
      <c r="AC72" s="1">
        <f t="shared" si="28"/>
        <v>12.964849223779193</v>
      </c>
      <c r="AD72" s="1">
        <f t="shared" si="29"/>
        <v>53.332439772317308</v>
      </c>
      <c r="AE72" s="1">
        <f t="shared" si="30"/>
        <v>12.256791035963213</v>
      </c>
      <c r="AF72" s="1">
        <f t="shared" si="31"/>
        <v>25.149159189220022</v>
      </c>
      <c r="AG72" s="1">
        <f t="shared" si="32"/>
        <v>18.129165931295883</v>
      </c>
      <c r="AH72" s="1">
        <f t="shared" si="33"/>
        <v>58.496756479833998</v>
      </c>
      <c r="AI72" s="1">
        <f t="shared" si="34"/>
        <v>17.421107743479901</v>
      </c>
      <c r="AJ72" s="1">
        <f t="shared" si="35"/>
        <v>17.650985934240257</v>
      </c>
    </row>
    <row r="73" spans="1:36" ht="16.5" thickBot="1" x14ac:dyDescent="0.3">
      <c r="A73" s="8">
        <v>70</v>
      </c>
      <c r="B73" s="3" t="s">
        <v>81</v>
      </c>
      <c r="C73" s="3" t="s">
        <v>80</v>
      </c>
      <c r="D73" s="3" t="s">
        <v>79</v>
      </c>
      <c r="E73" s="15">
        <f>((1/100000)*425860)/10</f>
        <v>0.42586000000000002</v>
      </c>
      <c r="F73" s="24">
        <f>(((1/100000)*425860)/10)/(((1/100000)*7348620/2)/10)</f>
        <v>0.1159020333069338</v>
      </c>
      <c r="G73" s="23">
        <v>0.843746</v>
      </c>
      <c r="H73" s="25">
        <f>0.843746/((211.99865/2)/10)</f>
        <v>7.959918612689279E-2</v>
      </c>
      <c r="I73" s="16">
        <v>3.6758000000000002</v>
      </c>
      <c r="J73" s="3">
        <v>169</v>
      </c>
      <c r="K73" s="24">
        <v>0.58323813150545833</v>
      </c>
      <c r="L73" s="17">
        <v>31.014415467999999</v>
      </c>
      <c r="M73" s="26">
        <f>31.014415468/(1246.530862135/2)</f>
        <v>4.9761167428907384E-2</v>
      </c>
      <c r="O73" s="9">
        <v>1.2</v>
      </c>
      <c r="P73" s="25">
        <v>0.31578947368421051</v>
      </c>
      <c r="Q73" s="22"/>
      <c r="R73" s="29"/>
      <c r="S73" s="2">
        <f t="shared" si="18"/>
        <v>-78.077759801350922</v>
      </c>
      <c r="T73" s="2">
        <f t="shared" si="19"/>
        <v>-80.848944931314179</v>
      </c>
      <c r="U73" s="2">
        <f t="shared" si="20"/>
        <v>-23.897394192781945</v>
      </c>
      <c r="V73" s="2">
        <f t="shared" si="21"/>
        <v>-86.389272873737468</v>
      </c>
      <c r="W73" s="2">
        <f t="shared" si="22"/>
        <v>-72.097807712971573</v>
      </c>
      <c r="X73" s="2">
        <f t="shared" si="23"/>
        <v>-27.098619295304914</v>
      </c>
      <c r="Y73" s="2">
        <f t="shared" si="24"/>
        <v>-25.161605570429487</v>
      </c>
      <c r="Z73" s="2">
        <f t="shared" si="25"/>
        <v>-48.782387566840946</v>
      </c>
      <c r="AA73" s="2">
        <f t="shared" si="26"/>
        <v>-65.549132030253332</v>
      </c>
      <c r="AB73" s="1">
        <f t="shared" si="27"/>
        <v>16.587389340125299</v>
      </c>
      <c r="AC73" s="1">
        <f t="shared" si="28"/>
        <v>13.864675801622223</v>
      </c>
      <c r="AD73" s="1">
        <f t="shared" si="29"/>
        <v>51.637596705014644</v>
      </c>
      <c r="AE73" s="1">
        <f t="shared" si="30"/>
        <v>11.626824399273318</v>
      </c>
      <c r="AF73" s="1">
        <f t="shared" si="31"/>
        <v>8.6926524980200348</v>
      </c>
      <c r="AG73" s="1">
        <f t="shared" si="32"/>
        <v>5.9699389595169592</v>
      </c>
      <c r="AH73" s="1">
        <f t="shared" si="33"/>
        <v>43.742859862909377</v>
      </c>
      <c r="AI73" s="1">
        <f t="shared" si="34"/>
        <v>3.7320875571680538</v>
      </c>
      <c r="AJ73" s="1">
        <f t="shared" si="35"/>
        <v>10.078928092620982</v>
      </c>
    </row>
    <row r="74" spans="1:36" ht="15.75" x14ac:dyDescent="0.25">
      <c r="A74" s="8">
        <v>71</v>
      </c>
      <c r="B74" s="7" t="s">
        <v>78</v>
      </c>
      <c r="C74" s="3" t="s">
        <v>77</v>
      </c>
      <c r="D74" s="3" t="s">
        <v>76</v>
      </c>
      <c r="E74" s="15">
        <f>((1/100000)*423010)/10</f>
        <v>0.42301</v>
      </c>
      <c r="F74" s="24">
        <f>(((1/100000)*423010)/10)/(((1/100000)*7348620/2)/10)</f>
        <v>0.11512637746951127</v>
      </c>
      <c r="G74" s="23">
        <v>5.4564279999999998</v>
      </c>
      <c r="H74" s="25">
        <f>5.456428/((211.99865/2)/10)</f>
        <v>0.51476063644744907</v>
      </c>
      <c r="I74" s="16">
        <v>3.9908999999999999</v>
      </c>
      <c r="J74" s="3">
        <v>110</v>
      </c>
      <c r="K74" s="24">
        <v>0.63323495811119579</v>
      </c>
      <c r="L74" s="17">
        <v>217.76058505200001</v>
      </c>
      <c r="M74" s="26">
        <f>217.760585052/(1246.530862135/2)</f>
        <v>0.34938659228866553</v>
      </c>
      <c r="O74" s="9">
        <v>2.1</v>
      </c>
      <c r="P74" s="25">
        <v>0.55263157894736847</v>
      </c>
      <c r="Q74" s="27">
        <v>39.14</v>
      </c>
      <c r="R74" s="28">
        <v>0.64406779661016944</v>
      </c>
      <c r="S74" s="2">
        <f t="shared" si="18"/>
        <v>-73.804056822128715</v>
      </c>
      <c r="T74" s="2">
        <f t="shared" si="19"/>
        <v>49.314238663974436</v>
      </c>
      <c r="U74" s="2">
        <f t="shared" si="20"/>
        <v>-13.849535987932143</v>
      </c>
      <c r="V74" s="2">
        <f t="shared" si="21"/>
        <v>22.748912718463416</v>
      </c>
      <c r="W74" s="2">
        <f t="shared" si="22"/>
        <v>-77.171415125165652</v>
      </c>
      <c r="X74" s="2">
        <f t="shared" si="23"/>
        <v>39.789371864087371</v>
      </c>
      <c r="Y74" s="2">
        <f t="shared" si="24"/>
        <v>-15.519508856113475</v>
      </c>
      <c r="Z74" s="2">
        <f t="shared" si="25"/>
        <v>11.3617877326148</v>
      </c>
      <c r="AA74" s="2">
        <f t="shared" si="26"/>
        <v>-4.6268601613590574</v>
      </c>
      <c r="AB74" s="1">
        <f t="shared" si="27"/>
        <v>22.450267783897555</v>
      </c>
      <c r="AC74" s="1">
        <f t="shared" si="28"/>
        <v>52.422837207242893</v>
      </c>
      <c r="AD74" s="1">
        <f t="shared" si="29"/>
        <v>61.308411332023894</v>
      </c>
      <c r="AE74" s="1">
        <f t="shared" si="30"/>
        <v>40.019783895334129</v>
      </c>
      <c r="AF74" s="1">
        <f t="shared" si="31"/>
        <v>24.736173225467581</v>
      </c>
      <c r="AG74" s="1">
        <f t="shared" si="32"/>
        <v>54.708742648812915</v>
      </c>
      <c r="AH74" s="1">
        <f t="shared" si="33"/>
        <v>63.594316773593917</v>
      </c>
      <c r="AI74" s="1">
        <f t="shared" si="34"/>
        <v>42.305689336904152</v>
      </c>
      <c r="AJ74" s="1">
        <f t="shared" si="35"/>
        <v>39.440582349609876</v>
      </c>
    </row>
    <row r="75" spans="1:36" ht="15.75" x14ac:dyDescent="0.25">
      <c r="A75" s="8">
        <v>72</v>
      </c>
      <c r="B75" s="3" t="s">
        <v>75</v>
      </c>
      <c r="C75" s="3" t="s">
        <v>74</v>
      </c>
      <c r="D75" s="3" t="s">
        <v>73</v>
      </c>
      <c r="E75" s="15">
        <f>((1/100000)*422550)/10</f>
        <v>0.42255000000000004</v>
      </c>
      <c r="F75" s="24">
        <f>(((1/100000)*422550)/10)/(((1/100000)*7348620/2)/10)</f>
        <v>0.11500118389575184</v>
      </c>
      <c r="G75" s="23">
        <v>0.41793899999999995</v>
      </c>
      <c r="H75" s="25">
        <f>0.417939/((211.99865/2)/10)</f>
        <v>3.9428458624618599E-2</v>
      </c>
      <c r="I75" s="16">
        <v>3.7307999999999999</v>
      </c>
      <c r="J75" s="3">
        <v>158</v>
      </c>
      <c r="K75" s="24">
        <v>0.59196496572734203</v>
      </c>
      <c r="L75" s="17">
        <v>15.592468212</v>
      </c>
      <c r="M75" s="26">
        <f>15.592468212/(1246.530862135/2)</f>
        <v>2.5017380131758547E-2</v>
      </c>
      <c r="O75" s="9">
        <v>1.6</v>
      </c>
      <c r="P75" s="25">
        <v>0.4210526315789474</v>
      </c>
      <c r="Q75" s="27">
        <v>42.69</v>
      </c>
      <c r="R75" s="28">
        <v>0.70248477867368764</v>
      </c>
      <c r="S75" s="2">
        <f t="shared" si="18"/>
        <v>-76.484552384971153</v>
      </c>
      <c r="T75" s="2">
        <f t="shared" si="19"/>
        <v>-89.73571452358857</v>
      </c>
      <c r="U75" s="2">
        <f t="shared" si="20"/>
        <v>-21.328383777806451</v>
      </c>
      <c r="V75" s="2">
        <f t="shared" si="21"/>
        <v>-92.410168330324169</v>
      </c>
      <c r="W75" s="2">
        <f t="shared" si="22"/>
        <v>-77.555188937592874</v>
      </c>
      <c r="X75" s="2">
        <f t="shared" si="23"/>
        <v>-89.934948266744541</v>
      </c>
      <c r="Y75" s="2">
        <f t="shared" si="24"/>
        <v>-20.739894263165553</v>
      </c>
      <c r="Z75" s="2">
        <f t="shared" si="25"/>
        <v>-92.495932528700976</v>
      </c>
      <c r="AA75" s="2">
        <f t="shared" si="26"/>
        <v>-86.43608416198704</v>
      </c>
      <c r="AB75" s="1">
        <f t="shared" si="27"/>
        <v>19.151404581655072</v>
      </c>
      <c r="AC75" s="1">
        <f t="shared" si="28"/>
        <v>13.483450186320079</v>
      </c>
      <c r="AD75" s="1">
        <f t="shared" si="29"/>
        <v>54.923688219024335</v>
      </c>
      <c r="AE75" s="1">
        <f t="shared" si="30"/>
        <v>12.402619299355576</v>
      </c>
      <c r="AF75" s="1">
        <f t="shared" si="31"/>
        <v>26.187208259023574</v>
      </c>
      <c r="AG75" s="1">
        <f t="shared" si="32"/>
        <v>20.519253863688586</v>
      </c>
      <c r="AH75" s="1">
        <f t="shared" si="33"/>
        <v>61.959491896392848</v>
      </c>
      <c r="AI75" s="1">
        <f t="shared" si="34"/>
        <v>19.43842297672408</v>
      </c>
      <c r="AJ75" s="1">
        <f t="shared" si="35"/>
        <v>18.530393194461162</v>
      </c>
    </row>
    <row r="76" spans="1:36" ht="16.5" thickBot="1" x14ac:dyDescent="0.3">
      <c r="A76" s="8">
        <v>73</v>
      </c>
      <c r="B76" s="3" t="s">
        <v>72</v>
      </c>
      <c r="C76" s="3" t="s">
        <v>71</v>
      </c>
      <c r="D76" s="3" t="s">
        <v>70</v>
      </c>
      <c r="E76" s="15">
        <f>((1/100000)*416210)/10</f>
        <v>0.41621000000000008</v>
      </c>
      <c r="F76" s="24">
        <f>(((1/100000)*416210)/10)/(((1/100000)*7348620/2)/10)</f>
        <v>0.1132756898574154</v>
      </c>
      <c r="G76" s="23">
        <v>0.71699800000000002</v>
      </c>
      <c r="H76" s="25">
        <f>0.716998/((211.99865/2)/10)</f>
        <v>6.7641751492285448E-2</v>
      </c>
      <c r="I76" s="16">
        <v>4.4981</v>
      </c>
      <c r="J76" s="3">
        <v>54</v>
      </c>
      <c r="K76" s="24">
        <v>0.71371223660827621</v>
      </c>
      <c r="L76" s="17">
        <v>32.251287038000001</v>
      </c>
      <c r="M76" s="26">
        <f>32.251287038/(1246.530862135/2)</f>
        <v>5.1745669550068735E-2</v>
      </c>
      <c r="O76" s="9">
        <v>3.8</v>
      </c>
      <c r="P76" s="25">
        <v>1</v>
      </c>
      <c r="Q76" s="27">
        <v>38.94</v>
      </c>
      <c r="R76" s="28">
        <v>0.64077669902912615</v>
      </c>
      <c r="S76" s="2">
        <f t="shared" si="18"/>
        <v>-58.195543651582348</v>
      </c>
      <c r="T76" s="2">
        <f t="shared" si="19"/>
        <v>-67.91931430005252</v>
      </c>
      <c r="U76" s="2">
        <f t="shared" si="20"/>
        <v>5.6073732874694286</v>
      </c>
      <c r="V76" s="2">
        <f t="shared" si="21"/>
        <v>-60.708482416255166</v>
      </c>
      <c r="W76" s="2">
        <f t="shared" si="22"/>
        <v>-77.518134929398741</v>
      </c>
      <c r="X76" s="2">
        <f t="shared" si="23"/>
        <v>-81.564808541237568</v>
      </c>
      <c r="Y76" s="2">
        <f t="shared" si="24"/>
        <v>-4.8022746459205337</v>
      </c>
      <c r="Z76" s="2">
        <f t="shared" si="25"/>
        <v>-83.448450961851222</v>
      </c>
      <c r="AA76" s="2">
        <f t="shared" si="26"/>
        <v>-71.55912246672959</v>
      </c>
      <c r="AB76" s="1">
        <f t="shared" si="27"/>
        <v>33.495676739306155</v>
      </c>
      <c r="AC76" s="1">
        <f t="shared" si="28"/>
        <v>30.073131361921408</v>
      </c>
      <c r="AD76" s="1">
        <f t="shared" si="29"/>
        <v>78.528417745620715</v>
      </c>
      <c r="AE76" s="1">
        <f t="shared" si="30"/>
        <v>28.880925216255154</v>
      </c>
      <c r="AF76" s="1">
        <f t="shared" si="31"/>
        <v>24.51509421503431</v>
      </c>
      <c r="AG76" s="1">
        <f t="shared" si="32"/>
        <v>21.092548837649559</v>
      </c>
      <c r="AH76" s="1">
        <f t="shared" si="33"/>
        <v>69.547835221348862</v>
      </c>
      <c r="AI76" s="1">
        <f t="shared" si="34"/>
        <v>19.900342691983308</v>
      </c>
      <c r="AJ76" s="1">
        <f t="shared" si="35"/>
        <v>26.326286510358315</v>
      </c>
    </row>
    <row r="77" spans="1:36" ht="16.5" thickBot="1" x14ac:dyDescent="0.3">
      <c r="A77" s="8">
        <v>74</v>
      </c>
      <c r="B77" s="7" t="s">
        <v>69</v>
      </c>
      <c r="C77" s="3" t="s">
        <v>68</v>
      </c>
      <c r="D77" s="3" t="s">
        <v>67</v>
      </c>
      <c r="E77" s="15">
        <f>((1/100000)*409020)/10</f>
        <v>0.40902000000000005</v>
      </c>
      <c r="F77" s="24">
        <f>(((1/100000)*409020)/10)/(((1/100000)*7348620/2)/10)</f>
        <v>0.11131885986756697</v>
      </c>
      <c r="G77" s="23">
        <v>0.95055800000000001</v>
      </c>
      <c r="H77" s="25">
        <f>0.950558/((211.99865/2)/10)</f>
        <v>8.967585406793864E-2</v>
      </c>
      <c r="I77" s="16">
        <v>4.1550000000000002</v>
      </c>
      <c r="J77" s="3">
        <v>91</v>
      </c>
      <c r="K77" s="24">
        <v>0.65927265803503432</v>
      </c>
      <c r="L77" s="17">
        <v>39.495684900000001</v>
      </c>
      <c r="M77" s="26">
        <f>39.4956849/(1246.530862135/2)</f>
        <v>6.3368964379034512E-2</v>
      </c>
      <c r="O77" s="9">
        <v>2.2999999999999998</v>
      </c>
      <c r="P77" s="25">
        <v>0.60526315789473684</v>
      </c>
      <c r="Q77" s="22"/>
      <c r="R77" s="29"/>
      <c r="S77" s="2">
        <f t="shared" si="18"/>
        <v>-73.47380091326859</v>
      </c>
      <c r="T77" s="2">
        <f t="shared" si="19"/>
        <v>-72.742636595146237</v>
      </c>
      <c r="U77" s="2">
        <f t="shared" si="20"/>
        <v>-9.4489034109650021</v>
      </c>
      <c r="V77" s="2">
        <f t="shared" si="21"/>
        <v>-76.234478501316062</v>
      </c>
      <c r="W77" s="2">
        <f t="shared" si="22"/>
        <v>-73.201158387168633</v>
      </c>
      <c r="X77" s="2">
        <f t="shared" si="23"/>
        <v>-17.869843957904934</v>
      </c>
      <c r="Y77" s="2">
        <f t="shared" si="24"/>
        <v>-15.405210061791848</v>
      </c>
      <c r="Z77" s="2">
        <f t="shared" si="25"/>
        <v>-34.776308001757101</v>
      </c>
      <c r="AA77" s="2">
        <f t="shared" si="26"/>
        <v>-58.049704392760269</v>
      </c>
      <c r="AB77" s="1">
        <f t="shared" si="27"/>
        <v>23.480493437435946</v>
      </c>
      <c r="AC77" s="1">
        <f t="shared" si="28"/>
        <v>21.857268002463819</v>
      </c>
      <c r="AD77" s="1">
        <f t="shared" si="29"/>
        <v>64.577028299996002</v>
      </c>
      <c r="AE77" s="1">
        <f t="shared" si="30"/>
        <v>19.884251275796011</v>
      </c>
      <c r="AF77" s="1">
        <f t="shared" si="31"/>
        <v>8.3489144900675232</v>
      </c>
      <c r="AG77" s="1">
        <f t="shared" si="32"/>
        <v>6.7256890550953976</v>
      </c>
      <c r="AH77" s="1">
        <f t="shared" si="33"/>
        <v>49.445449352627577</v>
      </c>
      <c r="AI77" s="1">
        <f t="shared" si="34"/>
        <v>4.7526723284275887</v>
      </c>
      <c r="AJ77" s="1">
        <f t="shared" si="35"/>
        <v>14.174881431547716</v>
      </c>
    </row>
    <row r="78" spans="1:36" ht="15.75" x14ac:dyDescent="0.25">
      <c r="A78" s="8">
        <v>75</v>
      </c>
      <c r="B78" s="7" t="s">
        <v>66</v>
      </c>
      <c r="C78" s="3" t="s">
        <v>65</v>
      </c>
      <c r="D78" s="3" t="s">
        <v>44</v>
      </c>
      <c r="E78" s="15">
        <f>((1/100000)*404170)/10</f>
        <v>0.40417000000000003</v>
      </c>
      <c r="F78" s="24">
        <f>(((1/100000)*404170)/10)/(((1/100000)*7348620/2)/10)</f>
        <v>0.10999888414423387</v>
      </c>
      <c r="G78" s="23">
        <v>1.098201</v>
      </c>
      <c r="H78" s="25">
        <f>1.098201/((211.99865/2)/10)</f>
        <v>0.1036045276703413</v>
      </c>
      <c r="I78" s="16">
        <v>4.3955000000000002</v>
      </c>
      <c r="J78" s="3">
        <v>69</v>
      </c>
      <c r="K78" s="24">
        <v>0.69743272404163503</v>
      </c>
      <c r="L78" s="17">
        <v>48.271424955000001</v>
      </c>
      <c r="M78" s="26">
        <f>48.271424955/(1246.530862135/2)</f>
        <v>7.7449225560806342E-2</v>
      </c>
      <c r="O78" s="9">
        <v>1</v>
      </c>
      <c r="P78" s="25">
        <v>0.26315789473684209</v>
      </c>
      <c r="Q78" s="27">
        <v>42.08</v>
      </c>
      <c r="R78" s="28">
        <v>0.69244693105150557</v>
      </c>
      <c r="S78" s="2">
        <f t="shared" si="18"/>
        <v>-79.946296542359875</v>
      </c>
      <c r="T78" s="2">
        <f t="shared" si="19"/>
        <v>-75.983653503612615</v>
      </c>
      <c r="U78" s="2">
        <f t="shared" si="20"/>
        <v>-9.816750838383129</v>
      </c>
      <c r="V78" s="2">
        <f t="shared" si="21"/>
        <v>-79.809652953362814</v>
      </c>
      <c r="W78" s="2">
        <f t="shared" si="22"/>
        <v>-78.473264563898709</v>
      </c>
      <c r="X78" s="2">
        <f t="shared" si="23"/>
        <v>-73.277065503613983</v>
      </c>
      <c r="Y78" s="2">
        <f t="shared" si="24"/>
        <v>-6.6764425530835325</v>
      </c>
      <c r="Z78" s="2">
        <f t="shared" si="25"/>
        <v>-76.531162792774026</v>
      </c>
      <c r="AA78" s="2">
        <f t="shared" si="26"/>
        <v>-77.336849309936994</v>
      </c>
      <c r="AB78" s="1">
        <f t="shared" si="27"/>
        <v>14.828863679238591</v>
      </c>
      <c r="AC78" s="1">
        <f t="shared" si="28"/>
        <v>14.349286943696649</v>
      </c>
      <c r="AD78" s="1">
        <f t="shared" si="29"/>
        <v>58.886401671543673</v>
      </c>
      <c r="AE78" s="1">
        <f t="shared" si="30"/>
        <v>12.387639285481528</v>
      </c>
      <c r="AF78" s="1">
        <f t="shared" si="31"/>
        <v>25.56108958710518</v>
      </c>
      <c r="AG78" s="1">
        <f t="shared" si="32"/>
        <v>25.081512851563236</v>
      </c>
      <c r="AH78" s="1">
        <f t="shared" si="33"/>
        <v>69.618627579410258</v>
      </c>
      <c r="AI78" s="1">
        <f t="shared" si="34"/>
        <v>23.119865193348115</v>
      </c>
      <c r="AJ78" s="1">
        <f t="shared" si="35"/>
        <v>19.221376256738886</v>
      </c>
    </row>
    <row r="79" spans="1:36" ht="15.75" x14ac:dyDescent="0.25">
      <c r="A79" s="8">
        <v>76</v>
      </c>
      <c r="B79" s="7" t="s">
        <v>64</v>
      </c>
      <c r="C79" s="3" t="s">
        <v>63</v>
      </c>
      <c r="D79" s="3" t="s">
        <v>18</v>
      </c>
      <c r="E79" s="15">
        <f>((1/100000)*400790)/10</f>
        <v>0.40079000000000004</v>
      </c>
      <c r="F79" s="24">
        <f>(((1/100000)*400790)/10)/(((1/100000)*7348620/2)/10)</f>
        <v>0.10907898353704504</v>
      </c>
      <c r="G79" s="23">
        <v>0.53669100000000003</v>
      </c>
      <c r="H79" s="25">
        <f>0.536691/((211.99865/2)/10)</f>
        <v>5.0631548832976062E-2</v>
      </c>
      <c r="I79" s="16">
        <v>4.1677</v>
      </c>
      <c r="J79" s="3">
        <v>90</v>
      </c>
      <c r="K79" s="24">
        <v>0.66128776339172379</v>
      </c>
      <c r="L79" s="17">
        <v>22.367670807</v>
      </c>
      <c r="M79" s="26">
        <f>22.367670807/(1246.530862135/2)</f>
        <v>3.5887873275258816E-2</v>
      </c>
      <c r="O79" s="9">
        <v>1.4</v>
      </c>
      <c r="P79" s="25">
        <v>0.36842105263157893</v>
      </c>
      <c r="Q79" s="27">
        <v>42.53</v>
      </c>
      <c r="R79" s="28">
        <v>0.69985190060885305</v>
      </c>
      <c r="S79" s="2">
        <f t="shared" si="18"/>
        <v>-78.564498839491094</v>
      </c>
      <c r="T79" s="2">
        <f t="shared" si="19"/>
        <v>-87.338491099354954</v>
      </c>
      <c r="U79" s="2">
        <f t="shared" si="20"/>
        <v>-12.921677565124867</v>
      </c>
      <c r="V79" s="2">
        <f t="shared" si="21"/>
        <v>-89.675816986854286</v>
      </c>
      <c r="W79" s="2">
        <f t="shared" si="22"/>
        <v>-78.695912277027972</v>
      </c>
      <c r="X79" s="2">
        <f t="shared" si="23"/>
        <v>-87.0400585157618</v>
      </c>
      <c r="Y79" s="2">
        <f t="shared" si="24"/>
        <v>-11.472463758407599</v>
      </c>
      <c r="Z79" s="2">
        <f t="shared" si="25"/>
        <v>-89.206618746739281</v>
      </c>
      <c r="AA79" s="2">
        <f t="shared" si="26"/>
        <v>-85.086899410871567</v>
      </c>
      <c r="AB79" s="1">
        <f t="shared" si="27"/>
        <v>17.391450081067848</v>
      </c>
      <c r="AC79" s="1">
        <f t="shared" si="28"/>
        <v>13.007892478262677</v>
      </c>
      <c r="AD79" s="1">
        <f t="shared" si="29"/>
        <v>58.807108570168751</v>
      </c>
      <c r="AE79" s="1">
        <f t="shared" si="30"/>
        <v>11.902116811433885</v>
      </c>
      <c r="AF79" s="1">
        <f t="shared" si="31"/>
        <v>25.677221280499708</v>
      </c>
      <c r="AG79" s="1">
        <f t="shared" si="32"/>
        <v>21.293663677694529</v>
      </c>
      <c r="AH79" s="1">
        <f t="shared" si="33"/>
        <v>67.092879769600614</v>
      </c>
      <c r="AI79" s="1">
        <f t="shared" si="34"/>
        <v>20.187888010865738</v>
      </c>
      <c r="AJ79" s="1">
        <f t="shared" si="35"/>
        <v>18.243372056637394</v>
      </c>
    </row>
    <row r="80" spans="1:36" ht="15.75" x14ac:dyDescent="0.25">
      <c r="A80" s="8">
        <v>77</v>
      </c>
      <c r="B80" s="3" t="s">
        <v>62</v>
      </c>
      <c r="C80" s="3" t="s">
        <v>61</v>
      </c>
      <c r="D80" s="3" t="s">
        <v>60</v>
      </c>
      <c r="E80" s="15">
        <f>((1/100000)*400170)/10</f>
        <v>0.40017000000000003</v>
      </c>
      <c r="F80" s="24">
        <f>(((1/100000)*400170)/10)/(((1/100000)*7348620/2)/10)</f>
        <v>0.10891024437241277</v>
      </c>
      <c r="G80" s="23">
        <v>0.61820300000000006</v>
      </c>
      <c r="H80" s="25">
        <f>0.618203/((211.99865/2)/10)</f>
        <v>5.8321409122180742E-2</v>
      </c>
      <c r="I80" s="16">
        <v>3.9902000000000002</v>
      </c>
      <c r="J80" s="3">
        <v>111</v>
      </c>
      <c r="K80" s="24">
        <v>0.63312388931200825</v>
      </c>
      <c r="L80" s="17">
        <v>24.667536106</v>
      </c>
      <c r="M80" s="26">
        <f>24.667536106/(1246.530862135/2)</f>
        <v>3.957789871925127E-2</v>
      </c>
      <c r="O80" s="9">
        <v>1.9</v>
      </c>
      <c r="P80" s="25">
        <v>0.5</v>
      </c>
      <c r="Q80" s="27">
        <v>38.950000000000003</v>
      </c>
      <c r="R80" s="28">
        <v>0.64094125390817835</v>
      </c>
      <c r="S80" s="2">
        <f t="shared" si="18"/>
        <v>-76.288144182304436</v>
      </c>
      <c r="T80" s="2">
        <f t="shared" si="19"/>
        <v>-83.822209298196341</v>
      </c>
      <c r="U80" s="2">
        <f t="shared" si="20"/>
        <v>-14.673379546395196</v>
      </c>
      <c r="V80" s="2">
        <f t="shared" si="21"/>
        <v>-86.921928144218626</v>
      </c>
      <c r="W80" s="2">
        <f t="shared" si="22"/>
        <v>-78.385520990219206</v>
      </c>
      <c r="X80" s="2">
        <f t="shared" si="23"/>
        <v>-84.107856304165395</v>
      </c>
      <c r="Y80" s="2">
        <f t="shared" si="24"/>
        <v>-15.550606468546064</v>
      </c>
      <c r="Z80" s="2">
        <f t="shared" si="25"/>
        <v>-87.342716592881757</v>
      </c>
      <c r="AA80" s="2">
        <f t="shared" si="26"/>
        <v>-82.811395918664303</v>
      </c>
      <c r="AB80" s="1">
        <f t="shared" si="27"/>
        <v>20.668268327930956</v>
      </c>
      <c r="AC80" s="1">
        <f t="shared" si="28"/>
        <v>16.874105684163553</v>
      </c>
      <c r="AD80" s="1">
        <f t="shared" si="29"/>
        <v>59.984291698400618</v>
      </c>
      <c r="AE80" s="1">
        <f t="shared" si="30"/>
        <v>15.468342403943847</v>
      </c>
      <c r="AF80" s="1">
        <f t="shared" si="31"/>
        <v>24.191799675635416</v>
      </c>
      <c r="AG80" s="1">
        <f t="shared" si="32"/>
        <v>20.397637031868015</v>
      </c>
      <c r="AH80" s="1">
        <f t="shared" si="33"/>
        <v>63.507823046105074</v>
      </c>
      <c r="AI80" s="1">
        <f t="shared" si="34"/>
        <v>18.991873751648303</v>
      </c>
      <c r="AJ80" s="1">
        <f t="shared" si="35"/>
        <v>19.432004479198351</v>
      </c>
    </row>
    <row r="81" spans="1:36" ht="13.5" thickBot="1" x14ac:dyDescent="0.25">
      <c r="A81" s="8">
        <v>78</v>
      </c>
      <c r="B81" s="7" t="s">
        <v>59</v>
      </c>
      <c r="C81" s="3" t="s">
        <v>58</v>
      </c>
      <c r="D81" s="3" t="s">
        <v>57</v>
      </c>
      <c r="E81" s="15">
        <f>((1/100000)*385470)/10</f>
        <v>0.38547000000000003</v>
      </c>
      <c r="F81" s="24">
        <f>(((1/100000)*385470)/10)/(((1/100000)*7348620/2)/10)</f>
        <v>0.10490949321097022</v>
      </c>
      <c r="G81" s="23">
        <v>0.34237600000000001</v>
      </c>
      <c r="H81" s="25">
        <f>0.342376/((211.99865/2)/10)</f>
        <v>3.2299828324378485E-2</v>
      </c>
      <c r="I81" s="16">
        <v>4.3103999999999996</v>
      </c>
      <c r="J81" s="3">
        <v>74</v>
      </c>
      <c r="K81" s="24">
        <v>0.68392993145468395</v>
      </c>
      <c r="L81" s="17">
        <v>14.757775104</v>
      </c>
      <c r="M81" s="26">
        <f>14.757775104/(1246.530862135/2)</f>
        <v>2.3678154391979626E-2</v>
      </c>
      <c r="O81" s="3">
        <v>2.7</v>
      </c>
      <c r="P81" s="25">
        <v>0.71052631578947378</v>
      </c>
      <c r="Q81" s="27">
        <v>40.049999999999997</v>
      </c>
      <c r="R81" s="28">
        <v>0.65904229060391628</v>
      </c>
      <c r="S81" s="2">
        <f t="shared" si="18"/>
        <v>-72.392632895986665</v>
      </c>
      <c r="T81" s="2">
        <f t="shared" si="19"/>
        <v>-89.142574616179445</v>
      </c>
      <c r="U81" s="2">
        <f t="shared" si="20"/>
        <v>-4.2294121509155502</v>
      </c>
      <c r="V81" s="2">
        <f t="shared" si="21"/>
        <v>-89.73447078261907</v>
      </c>
      <c r="W81" s="2">
        <f t="shared" si="22"/>
        <v>-79.282268807637948</v>
      </c>
      <c r="X81" s="2">
        <f t="shared" si="23"/>
        <v>-91.369753975966674</v>
      </c>
      <c r="Y81" s="2">
        <f t="shared" si="24"/>
        <v>-8.6719203859907452</v>
      </c>
      <c r="Z81" s="2">
        <f t="shared" si="25"/>
        <v>-92.572157170033108</v>
      </c>
      <c r="AA81" s="2">
        <f t="shared" si="26"/>
        <v>-85.74897637473714</v>
      </c>
      <c r="AB81" s="1">
        <f t="shared" si="27"/>
        <v>25.631369885559614</v>
      </c>
      <c r="AC81" s="1">
        <f t="shared" si="28"/>
        <v>20.18564501906523</v>
      </c>
      <c r="AD81" s="1">
        <f t="shared" si="29"/>
        <v>69.057902753838135</v>
      </c>
      <c r="AE81" s="1">
        <f t="shared" si="30"/>
        <v>19.539019474135316</v>
      </c>
      <c r="AF81" s="1">
        <f t="shared" si="31"/>
        <v>24.344269255920675</v>
      </c>
      <c r="AG81" s="1">
        <f t="shared" si="32"/>
        <v>18.898544389426295</v>
      </c>
      <c r="AH81" s="1">
        <f t="shared" si="33"/>
        <v>67.770802124199207</v>
      </c>
      <c r="AI81" s="1">
        <f t="shared" si="34"/>
        <v>18.25191884449638</v>
      </c>
      <c r="AJ81" s="1">
        <f t="shared" si="35"/>
        <v>21.141794478100586</v>
      </c>
    </row>
    <row r="82" spans="1:36" ht="16.5" thickBot="1" x14ac:dyDescent="0.3">
      <c r="A82" s="8">
        <v>79</v>
      </c>
      <c r="B82" s="3" t="s">
        <v>56</v>
      </c>
      <c r="C82" s="3" t="s">
        <v>55</v>
      </c>
      <c r="D82" s="3" t="s">
        <v>54</v>
      </c>
      <c r="E82" s="15">
        <f>((1/100000)*384830)/10</f>
        <v>0.38483000000000006</v>
      </c>
      <c r="F82" s="24">
        <f>(((1/100000)*384830)/10)/(((1/100000)*7348620/2)/10)</f>
        <v>0.10473531084747885</v>
      </c>
      <c r="G82" s="23">
        <v>0.72652600000000001</v>
      </c>
      <c r="H82" s="25">
        <f>0.726526/((211.99865/2)/10)</f>
        <v>6.8540625140773304E-2</v>
      </c>
      <c r="I82" s="16">
        <v>4.9222999999999999</v>
      </c>
      <c r="J82" s="3">
        <v>16</v>
      </c>
      <c r="K82" s="24">
        <v>0.78101992891596861</v>
      </c>
      <c r="L82" s="17">
        <v>35.761789297999997</v>
      </c>
      <c r="M82" s="26">
        <f>35.761789298/(1246.530862135/2)</f>
        <v>5.7378104921925271E-2</v>
      </c>
      <c r="O82" s="9">
        <v>2.5</v>
      </c>
      <c r="P82" s="25">
        <v>0.65789473684210531</v>
      </c>
      <c r="Q82" s="22"/>
      <c r="R82" s="29"/>
      <c r="S82" s="2">
        <f t="shared" si="18"/>
        <v>-73.805095287769234</v>
      </c>
      <c r="T82" s="2">
        <f t="shared" si="19"/>
        <v>-78.119075853916556</v>
      </c>
      <c r="U82" s="2">
        <f t="shared" si="20"/>
        <v>8.3094729256573174</v>
      </c>
      <c r="V82" s="2">
        <f t="shared" si="21"/>
        <v>-76.924118736761955</v>
      </c>
      <c r="W82" s="2">
        <f t="shared" si="22"/>
        <v>-74.786078387692783</v>
      </c>
      <c r="X82" s="2">
        <f t="shared" si="23"/>
        <v>-37.226667127477583</v>
      </c>
      <c r="Y82" s="2">
        <f t="shared" si="24"/>
        <v>0.2168314110329419</v>
      </c>
      <c r="Z82" s="2">
        <f t="shared" si="25"/>
        <v>-40.942512165960423</v>
      </c>
      <c r="AA82" s="2">
        <f t="shared" si="26"/>
        <v>-63.633924593263089</v>
      </c>
      <c r="AB82" s="1">
        <f t="shared" si="27"/>
        <v>24.302516734613548</v>
      </c>
      <c r="AC82" s="1">
        <f t="shared" si="28"/>
        <v>21.587915306610629</v>
      </c>
      <c r="AD82" s="1">
        <f t="shared" si="29"/>
        <v>75.023863089750279</v>
      </c>
      <c r="AE82" s="1">
        <f t="shared" si="30"/>
        <v>20.750726290197026</v>
      </c>
      <c r="AF82" s="1">
        <f t="shared" si="31"/>
        <v>7.8551483135609139</v>
      </c>
      <c r="AG82" s="1">
        <f t="shared" si="32"/>
        <v>5.1405468855579981</v>
      </c>
      <c r="AH82" s="1">
        <f t="shared" si="33"/>
        <v>58.576494668697642</v>
      </c>
      <c r="AI82" s="1">
        <f t="shared" si="34"/>
        <v>4.3033578691443957</v>
      </c>
      <c r="AJ82" s="1">
        <f t="shared" si="35"/>
        <v>13.99003523328075</v>
      </c>
    </row>
    <row r="83" spans="1:36" ht="16.5" thickBot="1" x14ac:dyDescent="0.3">
      <c r="A83" s="8">
        <v>81</v>
      </c>
      <c r="B83" s="3" t="s">
        <v>53</v>
      </c>
      <c r="C83" s="3" t="s">
        <v>52</v>
      </c>
      <c r="D83" s="3" t="s">
        <v>21</v>
      </c>
      <c r="E83" s="15">
        <f>((1/100000)*371760)/10</f>
        <v>0.37176000000000003</v>
      </c>
      <c r="F83" s="24">
        <f>(((1/100000)*371760)/10)/(((1/100000)*7348620/2)/10)</f>
        <v>0.10117818039305339</v>
      </c>
      <c r="G83" s="23">
        <v>0.39230200000000004</v>
      </c>
      <c r="H83" s="25">
        <f>0.392302/((211.99865/2)/10)</f>
        <v>3.700985831749401E-2</v>
      </c>
      <c r="I83" s="16">
        <v>3.2557999999999998</v>
      </c>
      <c r="J83" s="3">
        <v>246</v>
      </c>
      <c r="K83" s="24">
        <v>0.51659685199289163</v>
      </c>
      <c r="L83" s="17">
        <v>12.772568516</v>
      </c>
      <c r="M83" s="26">
        <f>12.772568516/(1246.530862135/2)</f>
        <v>2.0492984015050762E-2</v>
      </c>
      <c r="O83" s="9">
        <v>1.7</v>
      </c>
      <c r="P83" s="25">
        <v>0.44736842105263158</v>
      </c>
      <c r="Q83" s="22"/>
      <c r="R83" s="29"/>
      <c r="S83" s="2">
        <f t="shared" si="18"/>
        <v>-78.883050372683826</v>
      </c>
      <c r="T83" s="2">
        <f t="shared" si="19"/>
        <v>-90.163649411385308</v>
      </c>
      <c r="U83" s="2">
        <f t="shared" si="20"/>
        <v>-31.02543159155141</v>
      </c>
      <c r="V83" s="2">
        <f t="shared" si="21"/>
        <v>-93.608340036387602</v>
      </c>
      <c r="W83" s="2">
        <f t="shared" si="22"/>
        <v>-75.642420033283969</v>
      </c>
      <c r="X83" s="2">
        <f t="shared" si="23"/>
        <v>-66.10430454993174</v>
      </c>
      <c r="Y83" s="2">
        <f t="shared" si="24"/>
        <v>-33.712703470320577</v>
      </c>
      <c r="Z83" s="2">
        <f t="shared" si="25"/>
        <v>-78.907212850636284</v>
      </c>
      <c r="AA83" s="2">
        <f t="shared" si="26"/>
        <v>-80.55149620905145</v>
      </c>
      <c r="AB83" s="1">
        <f t="shared" si="27"/>
        <v>18.772574055794795</v>
      </c>
      <c r="AC83" s="1">
        <f t="shared" si="28"/>
        <v>13.959949900127841</v>
      </c>
      <c r="AD83" s="1">
        <f t="shared" si="29"/>
        <v>49.928974425782663</v>
      </c>
      <c r="AE83" s="1">
        <f t="shared" si="30"/>
        <v>12.721184327444595</v>
      </c>
      <c r="AF83" s="1">
        <f t="shared" si="31"/>
        <v>7.5883635294790048</v>
      </c>
      <c r="AG83" s="1">
        <f t="shared" si="32"/>
        <v>2.7757393738120508</v>
      </c>
      <c r="AH83" s="1">
        <f t="shared" si="33"/>
        <v>38.744763899466875</v>
      </c>
      <c r="AI83" s="1">
        <f t="shared" si="34"/>
        <v>1.5369738011288072</v>
      </c>
      <c r="AJ83" s="1">
        <f t="shared" si="35"/>
        <v>9.559130831297848</v>
      </c>
    </row>
    <row r="84" spans="1:36" ht="13.5" thickBot="1" x14ac:dyDescent="0.25">
      <c r="A84" s="8">
        <v>82</v>
      </c>
      <c r="B84" s="7" t="s">
        <v>51</v>
      </c>
      <c r="C84" s="6" t="s">
        <v>50</v>
      </c>
      <c r="D84" s="6" t="s">
        <v>49</v>
      </c>
      <c r="E84" s="15">
        <f>((1/100000)*369390)/10</f>
        <v>0.36939</v>
      </c>
      <c r="F84" s="24">
        <f>(((1/100000)*369390)/10)/(((1/100000)*7348620/2)/10)</f>
        <v>0.10053316132824937</v>
      </c>
      <c r="G84" s="23">
        <v>0.20703299999999997</v>
      </c>
      <c r="H84" s="25">
        <f>0.207033/((211.99865/2)/10)</f>
        <v>1.9531539469708883E-2</v>
      </c>
      <c r="I84" s="16">
        <v>3.6313</v>
      </c>
      <c r="J84" s="3">
        <v>183</v>
      </c>
      <c r="K84" s="24">
        <v>0.57617732927138876</v>
      </c>
      <c r="L84" s="17">
        <v>7.5179893289999997</v>
      </c>
      <c r="M84" s="26">
        <f>7.517989329/(1246.530862135/2)</f>
        <v>1.2062259439166292E-2</v>
      </c>
      <c r="O84" s="3">
        <v>1.6</v>
      </c>
      <c r="P84" s="25">
        <v>0.4210526315789474</v>
      </c>
      <c r="Q84" s="22"/>
      <c r="R84" s="29"/>
      <c r="S84" s="2">
        <f t="shared" si="18"/>
        <v>-79.442974335544889</v>
      </c>
      <c r="T84" s="2">
        <f t="shared" si="19"/>
        <v>-94.915416328608032</v>
      </c>
      <c r="U84" s="2">
        <f t="shared" si="20"/>
        <v>-23.426546588492698</v>
      </c>
      <c r="V84" s="2">
        <f t="shared" si="21"/>
        <v>-96.340523339491853</v>
      </c>
      <c r="W84" s="2">
        <f t="shared" si="22"/>
        <v>-75.797701571160871</v>
      </c>
      <c r="X84" s="2">
        <f t="shared" si="23"/>
        <v>-82.111925210388989</v>
      </c>
      <c r="Y84" s="2">
        <f t="shared" si="24"/>
        <v>-26.067614752679845</v>
      </c>
      <c r="Z84" s="2">
        <f t="shared" si="25"/>
        <v>-87.58469382966004</v>
      </c>
      <c r="AA84" s="2">
        <f t="shared" si="26"/>
        <v>-86.032205769142436</v>
      </c>
      <c r="AB84" s="1">
        <f t="shared" si="27"/>
        <v>18.066302889092391</v>
      </c>
      <c r="AC84" s="1">
        <f t="shared" si="28"/>
        <v>11.991181249701851</v>
      </c>
      <c r="AD84" s="1">
        <f t="shared" si="29"/>
        <v>53.739615484827837</v>
      </c>
      <c r="AE84" s="1">
        <f t="shared" si="30"/>
        <v>11.430985247411158</v>
      </c>
      <c r="AF84" s="1">
        <f t="shared" si="31"/>
        <v>7.5399870996187026</v>
      </c>
      <c r="AG84" s="1">
        <f t="shared" si="32"/>
        <v>1.4648654602281663</v>
      </c>
      <c r="AH84" s="1">
        <f t="shared" si="33"/>
        <v>43.213299695354159</v>
      </c>
      <c r="AI84" s="1">
        <f t="shared" si="34"/>
        <v>0.90466945793747189</v>
      </c>
      <c r="AJ84" s="1">
        <f t="shared" si="35"/>
        <v>8.5663319006649576</v>
      </c>
    </row>
    <row r="85" spans="1:36" ht="13.5" thickBot="1" x14ac:dyDescent="0.25">
      <c r="A85" s="8">
        <v>83</v>
      </c>
      <c r="B85" s="7" t="s">
        <v>48</v>
      </c>
      <c r="C85" s="3" t="s">
        <v>47</v>
      </c>
      <c r="D85" s="3" t="s">
        <v>24</v>
      </c>
      <c r="E85" s="15">
        <f>((1/100000)*368960)/10</f>
        <v>0.36896000000000007</v>
      </c>
      <c r="F85" s="24">
        <f>(((1/100000)*368960)/10)/(((1/100000)*7348620/2)/10)</f>
        <v>0.10041613255277862</v>
      </c>
      <c r="G85" s="23">
        <v>0.335227</v>
      </c>
      <c r="H85" s="25">
        <f>0.335227/((211.99865/2)/10)</f>
        <v>3.1625390067342413E-2</v>
      </c>
      <c r="I85" s="16">
        <v>2.6154999999999999</v>
      </c>
      <c r="J85" s="3">
        <v>275</v>
      </c>
      <c r="K85" s="24">
        <v>0.41500063467885251</v>
      </c>
      <c r="L85" s="17">
        <v>8.7678621850000003</v>
      </c>
      <c r="M85" s="26">
        <f>8.767862185/(1246.530862135/2)</f>
        <v>1.4067621510762782E-2</v>
      </c>
      <c r="O85" s="3">
        <v>2.5</v>
      </c>
      <c r="P85" s="25">
        <v>0.65789473684210531</v>
      </c>
      <c r="Q85" s="22"/>
      <c r="R85" s="29"/>
      <c r="S85" s="2">
        <f t="shared" si="18"/>
        <v>-74.885346665736392</v>
      </c>
      <c r="T85" s="2">
        <f t="shared" si="19"/>
        <v>-89.903903564746315</v>
      </c>
      <c r="U85" s="2">
        <f t="shared" si="20"/>
        <v>-42.448971733324527</v>
      </c>
      <c r="V85" s="2">
        <f t="shared" si="21"/>
        <v>-94.34239307693673</v>
      </c>
      <c r="W85" s="2">
        <f t="shared" si="22"/>
        <v>-75.825875014741911</v>
      </c>
      <c r="X85" s="2">
        <f t="shared" si="23"/>
        <v>-71.035701325407388</v>
      </c>
      <c r="Y85" s="2">
        <f t="shared" si="24"/>
        <v>-46.749055816273554</v>
      </c>
      <c r="Z85" s="2">
        <f t="shared" si="25"/>
        <v>-85.520637404176753</v>
      </c>
      <c r="AA85" s="2">
        <f t="shared" si="26"/>
        <v>-81.918976175290922</v>
      </c>
      <c r="AB85" s="1">
        <f t="shared" si="27"/>
        <v>23.97857836251103</v>
      </c>
      <c r="AC85" s="1">
        <f t="shared" si="28"/>
        <v>18.819272676103314</v>
      </c>
      <c r="AD85" s="1">
        <f t="shared" si="29"/>
        <v>47.572416021966568</v>
      </c>
      <c r="AE85" s="1">
        <f t="shared" si="30"/>
        <v>17.502440034359843</v>
      </c>
      <c r="AF85" s="1">
        <f t="shared" si="31"/>
        <v>7.5312099414583971</v>
      </c>
      <c r="AG85" s="1">
        <f t="shared" si="32"/>
        <v>2.3719042550506808</v>
      </c>
      <c r="AH85" s="1">
        <f t="shared" si="33"/>
        <v>31.125047600913934</v>
      </c>
      <c r="AI85" s="1">
        <f t="shared" si="34"/>
        <v>1.0550716133072087</v>
      </c>
      <c r="AJ85" s="1">
        <f t="shared" si="35"/>
        <v>11.876412813798412</v>
      </c>
    </row>
    <row r="86" spans="1:36" ht="15.75" x14ac:dyDescent="0.25">
      <c r="A86" s="8">
        <v>84</v>
      </c>
      <c r="B86" s="3" t="s">
        <v>46</v>
      </c>
      <c r="C86" s="3" t="s">
        <v>45</v>
      </c>
      <c r="D86" s="3" t="s">
        <v>44</v>
      </c>
      <c r="E86" s="15">
        <f>((1/100000)*368950)/10</f>
        <v>0.36895</v>
      </c>
      <c r="F86" s="24">
        <f>(((1/100000)*368950)/10)/(((1/100000)*7348620/2)/10)</f>
        <v>0.10041341095334905</v>
      </c>
      <c r="G86" s="23">
        <v>0.73211700000000002</v>
      </c>
      <c r="H86" s="25">
        <f>0.732117/((211.99865/2)/10)</f>
        <v>6.9068081329763192E-2</v>
      </c>
      <c r="I86" s="16">
        <v>3.9750000000000001</v>
      </c>
      <c r="J86" s="3">
        <v>112</v>
      </c>
      <c r="K86" s="24">
        <v>0.63071210967250579</v>
      </c>
      <c r="L86" s="17">
        <v>29.101650750000001</v>
      </c>
      <c r="M86" s="26">
        <f>29.10165075/(1246.530862135/2)</f>
        <v>4.6692226617086802E-2</v>
      </c>
      <c r="O86" s="9">
        <v>1</v>
      </c>
      <c r="P86" s="25">
        <v>0.26315789473684209</v>
      </c>
      <c r="Q86" s="27">
        <v>38.950000000000003</v>
      </c>
      <c r="R86" s="28">
        <v>0.64094125390817835</v>
      </c>
      <c r="S86" s="2">
        <f t="shared" si="18"/>
        <v>-81.693807331824914</v>
      </c>
      <c r="T86" s="2">
        <f t="shared" si="19"/>
        <v>-83.989474105472823</v>
      </c>
      <c r="U86" s="2">
        <f t="shared" si="20"/>
        <v>-18.444223542844483</v>
      </c>
      <c r="V86" s="2">
        <f t="shared" si="21"/>
        <v>-87.827738070291446</v>
      </c>
      <c r="W86" s="2">
        <f t="shared" si="22"/>
        <v>-80.071814402232491</v>
      </c>
      <c r="X86" s="2">
        <f t="shared" si="23"/>
        <v>-81.17946925821559</v>
      </c>
      <c r="Y86" s="2">
        <f t="shared" si="24"/>
        <v>-15.872302318798702</v>
      </c>
      <c r="Z86" s="2">
        <f t="shared" si="25"/>
        <v>-85.067505746221229</v>
      </c>
      <c r="AA86" s="2">
        <f t="shared" si="26"/>
        <v>-83.304968152376418</v>
      </c>
      <c r="AB86" s="1">
        <f t="shared" si="27"/>
        <v>14.10995318992223</v>
      </c>
      <c r="AC86" s="1">
        <f t="shared" si="28"/>
        <v>11.75905346815329</v>
      </c>
      <c r="AD86" s="1">
        <f t="shared" si="29"/>
        <v>53.882355593858989</v>
      </c>
      <c r="AE86" s="1">
        <f t="shared" si="30"/>
        <v>10.080864364702563</v>
      </c>
      <c r="AF86" s="1">
        <f t="shared" si="31"/>
        <v>23.554537169205638</v>
      </c>
      <c r="AG86" s="1">
        <f t="shared" si="32"/>
        <v>21.203637447436698</v>
      </c>
      <c r="AH86" s="1">
        <f t="shared" si="33"/>
        <v>63.326939573142397</v>
      </c>
      <c r="AI86" s="1">
        <f t="shared" si="34"/>
        <v>19.525448343985968</v>
      </c>
      <c r="AJ86" s="1">
        <f t="shared" si="35"/>
        <v>16.705582330567733</v>
      </c>
    </row>
    <row r="87" spans="1:36" x14ac:dyDescent="0.2">
      <c r="A87" s="8">
        <v>85</v>
      </c>
      <c r="B87" s="7" t="s">
        <v>43</v>
      </c>
      <c r="C87" s="6" t="s">
        <v>42</v>
      </c>
      <c r="D87" s="3" t="s">
        <v>41</v>
      </c>
      <c r="E87" s="15">
        <f>((1/100000)*364050)/10</f>
        <v>0.36405000000000004</v>
      </c>
      <c r="F87" s="24">
        <f>(((1/100000)*364050)/10)/(((1/100000)*7348620/2)/10)</f>
        <v>9.9079827232868206E-2</v>
      </c>
      <c r="G87" s="23">
        <v>0.294375</v>
      </c>
      <c r="H87" s="25">
        <f>0.294375/((211.99865/2)/10)</f>
        <v>2.7771403261294354E-2</v>
      </c>
      <c r="I87" s="16">
        <v>3.778</v>
      </c>
      <c r="J87" s="3">
        <v>148</v>
      </c>
      <c r="K87" s="24">
        <v>0.59945417618684949</v>
      </c>
      <c r="L87" s="17">
        <v>11.121487500000001</v>
      </c>
      <c r="M87" s="26">
        <f>11.1214875/(1246.530862135/2)</f>
        <v>1.7843902365885487E-2</v>
      </c>
      <c r="O87" s="3">
        <v>1.9</v>
      </c>
      <c r="P87" s="25">
        <v>0.5</v>
      </c>
      <c r="Q87" s="27">
        <v>42.68</v>
      </c>
      <c r="R87" s="28">
        <v>0.70232022379463543</v>
      </c>
      <c r="S87" s="2">
        <f t="shared" si="18"/>
        <v>-78.428415147482156</v>
      </c>
      <c r="T87" s="2">
        <f t="shared" si="19"/>
        <v>-92.296483294575651</v>
      </c>
      <c r="U87" s="2">
        <f t="shared" si="20"/>
        <v>-19.211074113147475</v>
      </c>
      <c r="V87" s="2">
        <f t="shared" si="21"/>
        <v>-94.103682992773784</v>
      </c>
      <c r="W87" s="2">
        <f t="shared" si="22"/>
        <v>-80.661706806725988</v>
      </c>
      <c r="X87" s="2">
        <f t="shared" si="23"/>
        <v>-92.909490887181576</v>
      </c>
      <c r="Y87" s="2">
        <f t="shared" si="24"/>
        <v>-19.737956919458583</v>
      </c>
      <c r="Z87" s="2">
        <f t="shared" si="25"/>
        <v>-94.646758552174674</v>
      </c>
      <c r="AA87" s="2">
        <f t="shared" si="26"/>
        <v>-88.841089613485636</v>
      </c>
      <c r="AB87" s="1">
        <f t="shared" si="27"/>
        <v>19.930987042465116</v>
      </c>
      <c r="AC87" s="1">
        <f t="shared" si="28"/>
        <v>14.582855244597075</v>
      </c>
      <c r="AD87" s="1">
        <f t="shared" si="29"/>
        <v>57.459063214013703</v>
      </c>
      <c r="AE87" s="1">
        <f t="shared" si="30"/>
        <v>13.838292677441411</v>
      </c>
      <c r="AF87" s="1">
        <f t="shared" si="31"/>
        <v>24.988992637331002</v>
      </c>
      <c r="AG87" s="1">
        <f t="shared" si="32"/>
        <v>19.640860839462963</v>
      </c>
      <c r="AH87" s="1">
        <f t="shared" si="33"/>
        <v>62.517068808879593</v>
      </c>
      <c r="AI87" s="1">
        <f t="shared" si="34"/>
        <v>18.896298272307295</v>
      </c>
      <c r="AJ87" s="1">
        <f t="shared" si="35"/>
        <v>18.646381118934144</v>
      </c>
    </row>
    <row r="88" spans="1:36" x14ac:dyDescent="0.2">
      <c r="A88" s="8">
        <v>86</v>
      </c>
      <c r="B88" s="7" t="s">
        <v>40</v>
      </c>
      <c r="C88" s="6" t="s">
        <v>39</v>
      </c>
      <c r="D88" s="3" t="s">
        <v>24</v>
      </c>
      <c r="E88" s="15">
        <f>((1/100000)*357720)/10</f>
        <v>0.35772000000000004</v>
      </c>
      <c r="F88" s="24">
        <f>(((1/100000)*357720)/10)/(((1/100000)*7348620/2)/10)</f>
        <v>9.7357054793961312E-2</v>
      </c>
      <c r="G88" s="23">
        <v>0.52646899999999996</v>
      </c>
      <c r="H88" s="25">
        <f>0.526469/((211.99865/2)/10)</f>
        <v>4.9667203069453505E-2</v>
      </c>
      <c r="I88" s="16">
        <v>3.3559999999999999</v>
      </c>
      <c r="J88" s="3">
        <v>233</v>
      </c>
      <c r="K88" s="24">
        <v>0.53249555724803255</v>
      </c>
      <c r="L88" s="17">
        <v>17.668299640000001</v>
      </c>
      <c r="M88" s="26">
        <f>17.66829964/(1246.530862135/2)</f>
        <v>2.8347953791915844E-2</v>
      </c>
      <c r="O88" s="3">
        <v>2.5</v>
      </c>
      <c r="P88" s="25">
        <v>0.65789473684210531</v>
      </c>
      <c r="Q88" s="27">
        <v>37.58</v>
      </c>
      <c r="R88" s="28">
        <v>0.61839723547803183</v>
      </c>
      <c r="S88" s="2">
        <f t="shared" si="18"/>
        <v>-75.650439639167445</v>
      </c>
      <c r="T88" s="2">
        <f t="shared" si="19"/>
        <v>-84.144231239811916</v>
      </c>
      <c r="U88" s="2">
        <f t="shared" si="20"/>
        <v>-26.155132531843662</v>
      </c>
      <c r="V88" s="2">
        <f t="shared" si="21"/>
        <v>-88.599239785836076</v>
      </c>
      <c r="W88" s="2">
        <f t="shared" si="22"/>
        <v>-80.558290763786459</v>
      </c>
      <c r="X88" s="2">
        <f t="shared" si="23"/>
        <v>-86.123190159825086</v>
      </c>
      <c r="Y88" s="2">
        <f t="shared" si="24"/>
        <v>-29.071515290561933</v>
      </c>
      <c r="Z88" s="2">
        <f t="shared" si="25"/>
        <v>-90.708871135502847</v>
      </c>
      <c r="AA88" s="2">
        <f t="shared" si="26"/>
        <v>-84.297377120654971</v>
      </c>
      <c r="AB88" s="1">
        <f t="shared" si="27"/>
        <v>23.749147530599732</v>
      </c>
      <c r="AC88" s="1">
        <f t="shared" si="28"/>
        <v>20.172408651261648</v>
      </c>
      <c r="AD88" s="1">
        <f t="shared" si="29"/>
        <v>56.384535214655074</v>
      </c>
      <c r="AE88" s="1">
        <f t="shared" si="30"/>
        <v>18.573464955446319</v>
      </c>
      <c r="AF88" s="1">
        <f t="shared" si="31"/>
        <v>22.761709996497896</v>
      </c>
      <c r="AG88" s="1">
        <f t="shared" si="32"/>
        <v>19.184971117159812</v>
      </c>
      <c r="AH88" s="1">
        <f t="shared" si="33"/>
        <v>55.39709768055323</v>
      </c>
      <c r="AI88" s="1">
        <f t="shared" si="34"/>
        <v>17.586027421344482</v>
      </c>
      <c r="AJ88" s="1">
        <f t="shared" si="35"/>
        <v>20.337954945384979</v>
      </c>
    </row>
    <row r="89" spans="1:36" ht="15.75" x14ac:dyDescent="0.25">
      <c r="A89" s="8">
        <v>87</v>
      </c>
      <c r="B89" s="7" t="s">
        <v>38</v>
      </c>
      <c r="C89" s="6" t="s">
        <v>37</v>
      </c>
      <c r="D89" s="3" t="s">
        <v>36</v>
      </c>
      <c r="E89" s="15">
        <f>((1/100000)*354190)/10</f>
        <v>0.35419000000000006</v>
      </c>
      <c r="F89" s="24">
        <f>(((1/100000)*354190)/10)/(((1/100000)*7348620/2)/10)</f>
        <v>9.6396330195329186E-2</v>
      </c>
      <c r="G89" s="23">
        <v>0.51692899999999997</v>
      </c>
      <c r="H89" s="25">
        <f>0.516929/((211.99865/2)/10)</f>
        <v>4.876719733828494E-2</v>
      </c>
      <c r="I89" s="16">
        <v>4.6844000000000001</v>
      </c>
      <c r="J89" s="10">
        <v>28</v>
      </c>
      <c r="K89" s="24">
        <v>0.74327240416349338</v>
      </c>
      <c r="L89" s="17">
        <v>24.215022076</v>
      </c>
      <c r="M89" s="26">
        <f>24.215022076/(1246.530862135/2)</f>
        <v>3.885186129210734E-2</v>
      </c>
      <c r="O89" s="9">
        <v>1.7</v>
      </c>
      <c r="P89" s="25">
        <v>0.44736842105263158</v>
      </c>
      <c r="Q89" s="27">
        <v>32.03</v>
      </c>
      <c r="R89" s="28">
        <v>0.52706927760408095</v>
      </c>
      <c r="S89" s="2">
        <f t="shared" si="18"/>
        <v>-79.881072766034237</v>
      </c>
      <c r="T89" s="2">
        <f t="shared" si="19"/>
        <v>-87.038825003640028</v>
      </c>
      <c r="U89" s="2">
        <f t="shared" si="20"/>
        <v>-0.76034515248584</v>
      </c>
      <c r="V89" s="2">
        <f t="shared" si="21"/>
        <v>-87.882297368201534</v>
      </c>
      <c r="W89" s="2">
        <f t="shared" si="22"/>
        <v>-80.252924330784779</v>
      </c>
      <c r="X89" s="2">
        <f t="shared" si="23"/>
        <v>-84.816326513875723</v>
      </c>
      <c r="Y89" s="2">
        <f t="shared" si="24"/>
        <v>-1.5495162887041829</v>
      </c>
      <c r="Z89" s="2">
        <f t="shared" si="25"/>
        <v>-85.840975631166572</v>
      </c>
      <c r="AA89" s="2">
        <f t="shared" si="26"/>
        <v>-84.285403602283807</v>
      </c>
      <c r="AB89" s="1">
        <f t="shared" si="27"/>
        <v>18.413935290965476</v>
      </c>
      <c r="AC89" s="1">
        <f t="shared" si="28"/>
        <v>14.841750326687158</v>
      </c>
      <c r="AD89" s="1">
        <f t="shared" si="29"/>
        <v>66.929640838577782</v>
      </c>
      <c r="AE89" s="1">
        <f t="shared" si="30"/>
        <v>14.098100123223839</v>
      </c>
      <c r="AF89" s="1">
        <f t="shared" si="31"/>
        <v>20.406456704751712</v>
      </c>
      <c r="AG89" s="1">
        <f t="shared" si="32"/>
        <v>16.834271740473394</v>
      </c>
      <c r="AH89" s="1">
        <f t="shared" si="33"/>
        <v>68.922162252364032</v>
      </c>
      <c r="AI89" s="1">
        <f t="shared" si="34"/>
        <v>16.090621537010076</v>
      </c>
      <c r="AJ89" s="1">
        <f t="shared" si="35"/>
        <v>16.780855953851944</v>
      </c>
    </row>
    <row r="90" spans="1:36" ht="16.5" thickBot="1" x14ac:dyDescent="0.3">
      <c r="A90" s="8">
        <v>88</v>
      </c>
      <c r="B90" s="3" t="s">
        <v>35</v>
      </c>
      <c r="C90" s="3" t="s">
        <v>34</v>
      </c>
      <c r="D90" s="3" t="s">
        <v>33</v>
      </c>
      <c r="E90" s="15">
        <f>((1/100000)*351220)/10</f>
        <v>0.35122000000000003</v>
      </c>
      <c r="F90" s="24">
        <f>(((1/100000)*351220)/10)/(((1/100000)*7348620/2)/10)</f>
        <v>9.5588015164752016E-2</v>
      </c>
      <c r="G90" s="23">
        <v>0.46516099999999999</v>
      </c>
      <c r="H90" s="25">
        <f>0.465161/((211.99865/2)/10)</f>
        <v>4.3883392653679638E-2</v>
      </c>
      <c r="I90" s="16">
        <v>3.7410999999999999</v>
      </c>
      <c r="J90" s="3">
        <v>155</v>
      </c>
      <c r="K90" s="24">
        <v>0.59359926377253114</v>
      </c>
      <c r="L90" s="17">
        <v>17.402138171000001</v>
      </c>
      <c r="M90" s="26">
        <f>17.402138171/(1246.530862135/2)</f>
        <v>2.7920910263215512E-2</v>
      </c>
      <c r="O90" s="9">
        <v>1.3</v>
      </c>
      <c r="P90" s="25">
        <v>0.34210526315789475</v>
      </c>
      <c r="Q90" s="27">
        <v>36.43</v>
      </c>
      <c r="R90" s="28">
        <v>0.59947342438703299</v>
      </c>
      <c r="S90" s="2">
        <f t="shared" si="18"/>
        <v>-81.574581244560491</v>
      </c>
      <c r="T90" s="2">
        <f t="shared" si="19"/>
        <v>-89.237991713993281</v>
      </c>
      <c r="U90" s="2">
        <f t="shared" si="20"/>
        <v>-22.191790964609865</v>
      </c>
      <c r="V90" s="2">
        <f t="shared" si="21"/>
        <v>-92.170379780807465</v>
      </c>
      <c r="W90" s="2">
        <f t="shared" si="22"/>
        <v>-80.811445780782705</v>
      </c>
      <c r="X90" s="2">
        <f t="shared" si="23"/>
        <v>-87.472758866991384</v>
      </c>
      <c r="Y90" s="2">
        <f t="shared" si="24"/>
        <v>-21.024495965798522</v>
      </c>
      <c r="Z90" s="2">
        <f t="shared" si="25"/>
        <v>-90.653905451413252</v>
      </c>
      <c r="AA90" s="2">
        <f t="shared" si="26"/>
        <v>-86.986843806424758</v>
      </c>
      <c r="AB90" s="1">
        <f t="shared" si="27"/>
        <v>15.721732716303771</v>
      </c>
      <c r="AC90" s="1">
        <f t="shared" si="28"/>
        <v>11.84388602797334</v>
      </c>
      <c r="AD90" s="1">
        <f t="shared" si="29"/>
        <v>53.072576361887201</v>
      </c>
      <c r="AE90" s="1">
        <f t="shared" si="30"/>
        <v>10.646699848688531</v>
      </c>
      <c r="AF90" s="1">
        <f t="shared" si="31"/>
        <v>22.155936747032225</v>
      </c>
      <c r="AG90" s="1">
        <f t="shared" si="32"/>
        <v>18.2780900587018</v>
      </c>
      <c r="AH90" s="1">
        <f t="shared" si="33"/>
        <v>59.506780392615653</v>
      </c>
      <c r="AI90" s="1">
        <f t="shared" si="34"/>
        <v>17.08090387941699</v>
      </c>
      <c r="AJ90" s="1">
        <f t="shared" si="35"/>
        <v>15.954541546352777</v>
      </c>
    </row>
    <row r="91" spans="1:36" ht="13.5" thickBot="1" x14ac:dyDescent="0.25">
      <c r="A91" s="8">
        <v>89</v>
      </c>
      <c r="B91" s="7" t="s">
        <v>32</v>
      </c>
      <c r="C91" s="3" t="s">
        <v>31</v>
      </c>
      <c r="D91" s="3" t="s">
        <v>30</v>
      </c>
      <c r="E91" s="15">
        <f>((1/100000)*343000)/10</f>
        <v>0.34300000000000003</v>
      </c>
      <c r="F91" s="24">
        <f>(((1/100000)*343000)/10)/(((1/100000)*7348620/2)/10)</f>
        <v>9.3350860433659644E-2</v>
      </c>
      <c r="G91" s="23">
        <v>0.19170100000000001</v>
      </c>
      <c r="H91" s="25">
        <f>0.191701/((211.99865/2)/10)</f>
        <v>1.8085115164648457E-2</v>
      </c>
      <c r="I91" s="16">
        <v>4.6205999999999996</v>
      </c>
      <c r="J91" s="3">
        <v>35</v>
      </c>
      <c r="K91" s="24">
        <v>0.73314927646610817</v>
      </c>
      <c r="L91" s="17">
        <v>8.8577364060000008</v>
      </c>
      <c r="M91" s="26">
        <f>8.857736406/(1246.530862135/2)</f>
        <v>1.4211820461194008E-2</v>
      </c>
      <c r="O91" s="3">
        <v>3.5</v>
      </c>
      <c r="P91" s="25">
        <v>0.92105263157894746</v>
      </c>
      <c r="Q91" s="22"/>
      <c r="R91" s="29"/>
      <c r="S91" s="2">
        <f t="shared" si="18"/>
        <v>-68.955868187159382</v>
      </c>
      <c r="T91" s="2">
        <f t="shared" si="19"/>
        <v>-92.287087819516387</v>
      </c>
      <c r="U91" s="2">
        <f t="shared" si="20"/>
        <v>6.8315327120414508</v>
      </c>
      <c r="V91" s="2">
        <f t="shared" si="21"/>
        <v>-91.044057203262369</v>
      </c>
      <c r="W91" s="2">
        <f t="shared" si="22"/>
        <v>-77.526764771401986</v>
      </c>
      <c r="X91" s="2">
        <f t="shared" si="23"/>
        <v>-83.436641379667861</v>
      </c>
      <c r="Y91" s="2">
        <f t="shared" si="24"/>
        <v>-5.9257072470554846</v>
      </c>
      <c r="Z91" s="2">
        <f t="shared" si="25"/>
        <v>-85.372217936988676</v>
      </c>
      <c r="AA91" s="2">
        <f t="shared" si="26"/>
        <v>-83.103772882999451</v>
      </c>
      <c r="AB91" s="1">
        <f t="shared" si="27"/>
        <v>30.02763032199816</v>
      </c>
      <c r="AC91" s="1">
        <f t="shared" si="28"/>
        <v>24.38269942682232</v>
      </c>
      <c r="AD91" s="1">
        <f t="shared" si="29"/>
        <v>78.012511524431787</v>
      </c>
      <c r="AE91" s="1">
        <f t="shared" si="30"/>
        <v>24.092202324063237</v>
      </c>
      <c r="AF91" s="1">
        <f t="shared" si="31"/>
        <v>7.0013145325244732</v>
      </c>
      <c r="AG91" s="1">
        <f t="shared" si="32"/>
        <v>1.3563836373486342</v>
      </c>
      <c r="AH91" s="1">
        <f t="shared" si="33"/>
        <v>54.986195734958109</v>
      </c>
      <c r="AI91" s="1">
        <f t="shared" si="34"/>
        <v>1.0658865345895507</v>
      </c>
      <c r="AJ91" s="1">
        <f t="shared" si="35"/>
        <v>14.654352796224396</v>
      </c>
    </row>
    <row r="92" spans="1:36" ht="15.75" x14ac:dyDescent="0.25">
      <c r="A92" s="8">
        <v>90</v>
      </c>
      <c r="B92" s="3" t="s">
        <v>29</v>
      </c>
      <c r="C92" s="3" t="s">
        <v>28</v>
      </c>
      <c r="D92" s="3" t="s">
        <v>27</v>
      </c>
      <c r="E92" s="15">
        <f>((1/100000)*340050)/10</f>
        <v>0.34005000000000002</v>
      </c>
      <c r="F92" s="24">
        <f>(((1/100000)*340050)/10)/(((1/100000)*7348620/2)/10)</f>
        <v>9.2547988601941578E-2</v>
      </c>
      <c r="G92" s="23">
        <v>0.29300000000000004</v>
      </c>
      <c r="H92" s="25">
        <f>0.293/((211.99865/2)/10)</f>
        <v>2.7641685454129077E-2</v>
      </c>
      <c r="I92" s="16">
        <v>3.9622000000000002</v>
      </c>
      <c r="J92" s="3">
        <v>114</v>
      </c>
      <c r="K92" s="24">
        <v>0.6286811373445037</v>
      </c>
      <c r="L92" s="17">
        <v>11.609246000000001</v>
      </c>
      <c r="M92" s="26">
        <f>11.609246/(1246.530862135/2)</f>
        <v>1.8626487883526967E-2</v>
      </c>
      <c r="O92" s="9">
        <v>1.3</v>
      </c>
      <c r="P92" s="25">
        <v>0.34210526315789475</v>
      </c>
      <c r="Q92" s="27">
        <v>32.129999999999995</v>
      </c>
      <c r="R92" s="28">
        <v>0.52871482639460254</v>
      </c>
      <c r="S92" s="2">
        <f t="shared" si="18"/>
        <v>-82.160572724254877</v>
      </c>
      <c r="T92" s="2">
        <f t="shared" si="19"/>
        <v>-93.221124669093129</v>
      </c>
      <c r="U92" s="2">
        <f t="shared" si="20"/>
        <v>-17.593305220383613</v>
      </c>
      <c r="V92" s="2">
        <f t="shared" si="21"/>
        <v>-94.776734541583238</v>
      </c>
      <c r="W92" s="2">
        <f t="shared" si="22"/>
        <v>-81.050087873813084</v>
      </c>
      <c r="X92" s="2">
        <f t="shared" si="23"/>
        <v>-91.411455972847051</v>
      </c>
      <c r="Y92" s="2">
        <f t="shared" si="24"/>
        <v>-16.71936533349492</v>
      </c>
      <c r="Z92" s="2">
        <f t="shared" si="25"/>
        <v>-93.225495370762616</v>
      </c>
      <c r="AA92" s="2">
        <f t="shared" si="26"/>
        <v>-89.30757852539233</v>
      </c>
      <c r="AB92" s="1">
        <f t="shared" si="27"/>
        <v>15.493730724092986</v>
      </c>
      <c r="AC92" s="1">
        <f t="shared" si="28"/>
        <v>10.625757988007049</v>
      </c>
      <c r="AD92" s="1">
        <f t="shared" si="29"/>
        <v>55.703716879785148</v>
      </c>
      <c r="AE92" s="1">
        <f t="shared" si="30"/>
        <v>9.94961817021189</v>
      </c>
      <c r="AF92" s="1">
        <f t="shared" si="31"/>
        <v>20.158969805010681</v>
      </c>
      <c r="AG92" s="1">
        <f t="shared" si="32"/>
        <v>15.290997068924744</v>
      </c>
      <c r="AH92" s="1">
        <f t="shared" si="33"/>
        <v>60.368955960702841</v>
      </c>
      <c r="AI92" s="1">
        <f t="shared" si="34"/>
        <v>14.614857251129587</v>
      </c>
      <c r="AJ92" s="1">
        <f t="shared" si="35"/>
        <v>14.355655167896158</v>
      </c>
    </row>
    <row r="93" spans="1:36" ht="15.75" x14ac:dyDescent="0.25">
      <c r="A93" s="8">
        <v>91</v>
      </c>
      <c r="B93" s="3" t="s">
        <v>26</v>
      </c>
      <c r="C93" s="3" t="s">
        <v>25</v>
      </c>
      <c r="D93" s="3" t="s">
        <v>24</v>
      </c>
      <c r="E93" s="15">
        <f>((1/100000)*333270)/10</f>
        <v>0.33327000000000007</v>
      </c>
      <c r="F93" s="24">
        <f>(((1/100000)*333270)/10)/(((1/100000)*7348620/2)/10)</f>
        <v>9.0702744188704817E-2</v>
      </c>
      <c r="G93" s="23">
        <v>0.67962199999999995</v>
      </c>
      <c r="H93" s="25">
        <f>0.679622/((211.99865/2)/10)</f>
        <v>6.4115691302751215E-2</v>
      </c>
      <c r="I93" s="16">
        <v>3.1051000000000002</v>
      </c>
      <c r="J93" s="3">
        <v>263</v>
      </c>
      <c r="K93" s="24">
        <v>0.49268532622493028</v>
      </c>
      <c r="L93" s="17">
        <v>21.102942722000002</v>
      </c>
      <c r="M93" s="26">
        <f>21.102942722/(1246.530862135/2)</f>
        <v>3.3858676689088728E-2</v>
      </c>
      <c r="O93" s="9">
        <v>2.5</v>
      </c>
      <c r="P93" s="25">
        <v>0.65789473684210531</v>
      </c>
      <c r="Q93" s="27">
        <v>41.269999999999996</v>
      </c>
      <c r="R93" s="28">
        <v>0.67911798584828031</v>
      </c>
      <c r="S93" s="2">
        <f t="shared" si="18"/>
        <v>-77.314721062689642</v>
      </c>
      <c r="T93" s="2">
        <f t="shared" si="19"/>
        <v>-79.531692699215824</v>
      </c>
      <c r="U93" s="2">
        <f t="shared" si="20"/>
        <v>-31.675894524620901</v>
      </c>
      <c r="V93" s="2">
        <f t="shared" si="21"/>
        <v>-86.382979987385042</v>
      </c>
      <c r="W93" s="2">
        <f t="shared" si="22"/>
        <v>-82.185355186732551</v>
      </c>
      <c r="X93" s="2">
        <f t="shared" si="23"/>
        <v>-83.230618285671696</v>
      </c>
      <c r="Y93" s="2">
        <f t="shared" si="24"/>
        <v>-34.128014542805687</v>
      </c>
      <c r="Z93" s="2">
        <f t="shared" si="25"/>
        <v>-89.598798827997967</v>
      </c>
      <c r="AA93" s="2">
        <f t="shared" si="26"/>
        <v>-83.040694341615463</v>
      </c>
      <c r="AB93" s="1">
        <f t="shared" si="27"/>
        <v>23.250074235205492</v>
      </c>
      <c r="AC93" s="1">
        <f t="shared" si="28"/>
        <v>21.256045268758974</v>
      </c>
      <c r="AD93" s="1">
        <f t="shared" si="29"/>
        <v>53.398767887922403</v>
      </c>
      <c r="AE93" s="1">
        <f t="shared" si="30"/>
        <v>18.986769172734284</v>
      </c>
      <c r="AF93" s="1">
        <f t="shared" si="31"/>
        <v>23.780655460359867</v>
      </c>
      <c r="AG93" s="1">
        <f t="shared" si="32"/>
        <v>21.786626493913349</v>
      </c>
      <c r="AH93" s="1">
        <f t="shared" si="33"/>
        <v>53.929349113076782</v>
      </c>
      <c r="AI93" s="1">
        <f t="shared" si="34"/>
        <v>19.517350397888659</v>
      </c>
      <c r="AJ93" s="1">
        <f t="shared" si="35"/>
        <v>21.429586838143436</v>
      </c>
    </row>
    <row r="94" spans="1:36" ht="15.75" x14ac:dyDescent="0.25">
      <c r="A94" s="8">
        <v>92</v>
      </c>
      <c r="B94" s="3" t="s">
        <v>23</v>
      </c>
      <c r="C94" s="3" t="s">
        <v>22</v>
      </c>
      <c r="D94" s="3" t="s">
        <v>21</v>
      </c>
      <c r="E94" s="15">
        <f>((1/100000)*330910)/10</f>
        <v>0.33091000000000004</v>
      </c>
      <c r="F94" s="24">
        <f>(((1/100000)*330910)/10)/(((1/100000)*7348620/2)/10)</f>
        <v>9.0060446723330356E-2</v>
      </c>
      <c r="G94" s="23">
        <v>0.60289400000000004</v>
      </c>
      <c r="H94" s="25">
        <f>0.602894/((211.99865/2)/10)</f>
        <v>5.6877154642258343E-2</v>
      </c>
      <c r="I94" s="16">
        <v>3.8437999999999999</v>
      </c>
      <c r="J94" s="3">
        <v>141</v>
      </c>
      <c r="K94" s="24">
        <v>0.60989464331048493</v>
      </c>
      <c r="L94" s="17">
        <v>23.174039572000002</v>
      </c>
      <c r="M94" s="26">
        <f>23.174039572/(1246.530862135/2)</f>
        <v>3.7181653942058981E-2</v>
      </c>
      <c r="O94" s="9">
        <v>1.7</v>
      </c>
      <c r="P94" s="25">
        <v>0.44736842105263158</v>
      </c>
      <c r="Q94" s="27">
        <v>44.58</v>
      </c>
      <c r="R94" s="28">
        <v>0.73358565081454663</v>
      </c>
      <c r="S94" s="2">
        <f t="shared" si="18"/>
        <v>-81.203438236563386</v>
      </c>
      <c r="T94" s="2">
        <f t="shared" si="19"/>
        <v>-84.883388940733738</v>
      </c>
      <c r="U94" s="2">
        <f t="shared" si="20"/>
        <v>-18.568571150440846</v>
      </c>
      <c r="V94" s="2">
        <f t="shared" si="21"/>
        <v>-88.40322674785628</v>
      </c>
      <c r="W94" s="2">
        <f t="shared" si="22"/>
        <v>-82.568956543930156</v>
      </c>
      <c r="X94" s="2">
        <f t="shared" si="23"/>
        <v>-85.930044959459011</v>
      </c>
      <c r="Y94" s="2">
        <f t="shared" si="24"/>
        <v>-18.181768749687933</v>
      </c>
      <c r="Z94" s="2">
        <f t="shared" si="25"/>
        <v>-89.186435065854539</v>
      </c>
      <c r="AA94" s="2">
        <f t="shared" si="26"/>
        <v>-85.36258174906618</v>
      </c>
      <c r="AB94" s="1">
        <f t="shared" si="27"/>
        <v>17.938744030565566</v>
      </c>
      <c r="AC94" s="1">
        <f t="shared" si="28"/>
        <v>15.449997124485165</v>
      </c>
      <c r="AD94" s="1">
        <f t="shared" si="29"/>
        <v>56.926308774602155</v>
      </c>
      <c r="AE94" s="1">
        <f t="shared" si="30"/>
        <v>13.972834571970214</v>
      </c>
      <c r="AF94" s="1">
        <f t="shared" si="31"/>
        <v>25.094174774613442</v>
      </c>
      <c r="AG94" s="1">
        <f t="shared" si="32"/>
        <v>22.605427868533042</v>
      </c>
      <c r="AH94" s="1">
        <f t="shared" si="33"/>
        <v>64.081739518650039</v>
      </c>
      <c r="AI94" s="1">
        <f t="shared" si="34"/>
        <v>21.128265316018087</v>
      </c>
      <c r="AJ94" s="1">
        <f t="shared" si="35"/>
        <v>19.36490728103092</v>
      </c>
    </row>
    <row r="95" spans="1:36" ht="15.75" x14ac:dyDescent="0.25">
      <c r="A95" s="8">
        <v>93</v>
      </c>
      <c r="B95" s="7" t="s">
        <v>20</v>
      </c>
      <c r="C95" s="3" t="s">
        <v>19</v>
      </c>
      <c r="D95" s="3" t="s">
        <v>18</v>
      </c>
      <c r="E95" s="15">
        <f>((1/100000)*327040)/10</f>
        <v>0.32704000000000005</v>
      </c>
      <c r="F95" s="24">
        <f>(((1/100000)*327040)/10)/(((1/100000)*7348620/2)/10)</f>
        <v>8.9007187744093441E-2</v>
      </c>
      <c r="G95" s="23">
        <v>0.251662</v>
      </c>
      <c r="H95" s="25">
        <f>0.251662/((211.99865/2)/10)</f>
        <v>2.3741849299512049E-2</v>
      </c>
      <c r="I95" s="16">
        <v>3.9491000000000001</v>
      </c>
      <c r="J95" s="3">
        <v>117</v>
      </c>
      <c r="K95" s="24">
        <v>0.62660256410256421</v>
      </c>
      <c r="L95" s="17">
        <v>9.9383840419999991</v>
      </c>
      <c r="M95" s="26">
        <f>9.938384042/(1246.530862135/2)</f>
        <v>1.5945668645504691E-2</v>
      </c>
      <c r="O95" s="9">
        <v>1.4</v>
      </c>
      <c r="P95" s="25">
        <v>0.36842105263157893</v>
      </c>
      <c r="Q95" s="27">
        <v>39.29</v>
      </c>
      <c r="R95" s="28">
        <v>0.64653611979595194</v>
      </c>
      <c r="S95" s="2">
        <f t="shared" si="18"/>
        <v>-82.508879214718846</v>
      </c>
      <c r="T95" s="2">
        <f t="shared" si="19"/>
        <v>-94.062839412335705</v>
      </c>
      <c r="U95" s="2">
        <f t="shared" si="20"/>
        <v>-17.489021971935273</v>
      </c>
      <c r="V95" s="2">
        <f t="shared" si="21"/>
        <v>-95.412767981526969</v>
      </c>
      <c r="W95" s="2">
        <f t="shared" si="22"/>
        <v>-82.362547402934439</v>
      </c>
      <c r="X95" s="2">
        <f t="shared" si="23"/>
        <v>-93.56995420984012</v>
      </c>
      <c r="Y95" s="2">
        <f t="shared" si="24"/>
        <v>-16.391618494846711</v>
      </c>
      <c r="Z95" s="2">
        <f t="shared" si="25"/>
        <v>-94.930965621711209</v>
      </c>
      <c r="AA95" s="2">
        <f t="shared" si="26"/>
        <v>-90.474658973844541</v>
      </c>
      <c r="AB95" s="1">
        <f t="shared" si="27"/>
        <v>15.886065396596482</v>
      </c>
      <c r="AC95" s="1">
        <f t="shared" si="28"/>
        <v>10.991165013252877</v>
      </c>
      <c r="AD95" s="1">
        <f t="shared" si="29"/>
        <v>56.205718623481779</v>
      </c>
      <c r="AE95" s="1">
        <f t="shared" si="30"/>
        <v>10.406451464202325</v>
      </c>
      <c r="AF95" s="1">
        <f t="shared" si="31"/>
        <v>22.838942075705805</v>
      </c>
      <c r="AG95" s="1">
        <f t="shared" si="32"/>
        <v>17.944041692362202</v>
      </c>
      <c r="AH95" s="1">
        <f t="shared" si="33"/>
        <v>63.158595302591117</v>
      </c>
      <c r="AI95" s="1">
        <f t="shared" si="34"/>
        <v>17.35932814331165</v>
      </c>
      <c r="AJ95" s="1">
        <f t="shared" si="35"/>
        <v>15.904332297571891</v>
      </c>
    </row>
    <row r="96" spans="1:36" ht="15.75" x14ac:dyDescent="0.25">
      <c r="A96" s="8">
        <v>94</v>
      </c>
      <c r="B96" s="7" t="s">
        <v>17</v>
      </c>
      <c r="C96" s="3" t="s">
        <v>16</v>
      </c>
      <c r="D96" s="3" t="s">
        <v>15</v>
      </c>
      <c r="E96" s="15">
        <f>((1/100000)*321830)/10</f>
        <v>0.32183</v>
      </c>
      <c r="F96" s="24">
        <f>(((1/100000)*321830)/10)/(((1/100000)*7348620/2)/10)</f>
        <v>8.7589234441296446E-2</v>
      </c>
      <c r="G96" s="23">
        <v>0.440801</v>
      </c>
      <c r="H96" s="25">
        <f>0.440801/((211.99865/2)/10)</f>
        <v>4.158526481182781E-2</v>
      </c>
      <c r="I96" s="16">
        <v>3.8887</v>
      </c>
      <c r="J96" s="3">
        <v>129</v>
      </c>
      <c r="K96" s="24">
        <v>0.61701891342980453</v>
      </c>
      <c r="L96" s="17">
        <v>17.141428486999999</v>
      </c>
      <c r="M96" s="26">
        <f>17.141428487/(1246.530862135/2)</f>
        <v>2.7502613866520656E-2</v>
      </c>
      <c r="O96" s="9">
        <v>2.9</v>
      </c>
      <c r="P96" s="25">
        <v>0.76315789473684215</v>
      </c>
      <c r="Q96" s="27">
        <v>32.019999999999996</v>
      </c>
      <c r="R96" s="28">
        <v>0.52690472272502875</v>
      </c>
      <c r="S96" s="2">
        <f t="shared" si="18"/>
        <v>-75.681816268720596</v>
      </c>
      <c r="T96" s="2">
        <f t="shared" si="19"/>
        <v>-85.23971858154151</v>
      </c>
      <c r="U96" s="2">
        <f t="shared" si="20"/>
        <v>-12.747763357897384</v>
      </c>
      <c r="V96" s="2">
        <f t="shared" si="21"/>
        <v>-87.067585032784422</v>
      </c>
      <c r="W96" s="2">
        <f t="shared" si="22"/>
        <v>-82.056249053933811</v>
      </c>
      <c r="X96" s="2">
        <f t="shared" si="23"/>
        <v>-87.049753510215254</v>
      </c>
      <c r="Y96" s="2">
        <f t="shared" si="24"/>
        <v>-18.27330298688257</v>
      </c>
      <c r="Z96" s="2">
        <f t="shared" si="25"/>
        <v>-89.97503047442035</v>
      </c>
      <c r="AA96" s="2">
        <f t="shared" si="26"/>
        <v>-84.511692153602667</v>
      </c>
      <c r="AB96" s="1">
        <f t="shared" si="27"/>
        <v>25.648139951518289</v>
      </c>
      <c r="AC96" s="1">
        <f t="shared" si="28"/>
        <v>22.19784222930814</v>
      </c>
      <c r="AD96" s="1">
        <f t="shared" si="29"/>
        <v>65.355365875656389</v>
      </c>
      <c r="AE96" s="1">
        <f t="shared" si="30"/>
        <v>21.141643408410101</v>
      </c>
      <c r="AF96" s="1">
        <f t="shared" si="31"/>
        <v>19.741810651222952</v>
      </c>
      <c r="AG96" s="1">
        <f t="shared" si="32"/>
        <v>16.291512929012804</v>
      </c>
      <c r="AH96" s="1">
        <f t="shared" si="33"/>
        <v>59.449036575361056</v>
      </c>
      <c r="AI96" s="1">
        <f t="shared" si="34"/>
        <v>15.235314108114768</v>
      </c>
      <c r="AJ96" s="1">
        <f t="shared" si="35"/>
        <v>20.042710546264509</v>
      </c>
    </row>
    <row r="97" spans="1:36" ht="15.75" x14ac:dyDescent="0.25">
      <c r="A97" s="8">
        <v>95</v>
      </c>
      <c r="B97" s="7" t="s">
        <v>14</v>
      </c>
      <c r="C97" s="3" t="s">
        <v>13</v>
      </c>
      <c r="D97" s="3" t="s">
        <v>12</v>
      </c>
      <c r="E97" s="15">
        <f>((1/100000)*313210)/10</f>
        <v>0.31321000000000004</v>
      </c>
      <c r="F97" s="24">
        <f>(((1/100000)*313210)/10)/(((1/100000)*7348620/2)/10)</f>
        <v>8.5243215733021974E-2</v>
      </c>
      <c r="G97" s="23">
        <v>0.26555899999999999</v>
      </c>
      <c r="H97" s="25">
        <f>0.265559/((211.99865/2)/10)</f>
        <v>2.5052895384003626E-2</v>
      </c>
      <c r="I97" s="16">
        <v>1.9756</v>
      </c>
      <c r="J97" s="3">
        <v>137</v>
      </c>
      <c r="K97" s="24">
        <v>0.31346788525006347</v>
      </c>
      <c r="L97" s="17">
        <v>5.246383604</v>
      </c>
      <c r="M97" s="26">
        <f>5.246383604/(1246.530862135/2)</f>
        <v>8.4175751493456626E-3</v>
      </c>
      <c r="O97" s="9">
        <v>1.7</v>
      </c>
      <c r="P97" s="25">
        <v>0.44736842105263158</v>
      </c>
      <c r="Q97" s="27">
        <v>43.95</v>
      </c>
      <c r="R97" s="28">
        <v>0.72321869343426037</v>
      </c>
      <c r="S97" s="2">
        <f t="shared" si="18"/>
        <v>-82.208844973177051</v>
      </c>
      <c r="T97" s="2">
        <f t="shared" si="19"/>
        <v>-93.341529163853536</v>
      </c>
      <c r="U97" s="2">
        <f t="shared" si="20"/>
        <v>-58.146643728812876</v>
      </c>
      <c r="V97" s="2">
        <f t="shared" si="21"/>
        <v>-97.374600105418665</v>
      </c>
      <c r="W97" s="2">
        <f t="shared" si="22"/>
        <v>-83.455491344237373</v>
      </c>
      <c r="X97" s="2">
        <f t="shared" si="23"/>
        <v>-93.737961747048331</v>
      </c>
      <c r="Y97" s="2">
        <f t="shared" si="24"/>
        <v>-57.974850446825343</v>
      </c>
      <c r="Z97" s="2">
        <f t="shared" si="25"/>
        <v>-97.526836200224238</v>
      </c>
      <c r="AA97" s="2">
        <f t="shared" si="26"/>
        <v>-91.274210588993199</v>
      </c>
      <c r="AB97" s="1">
        <f t="shared" si="27"/>
        <v>17.57745170629244</v>
      </c>
      <c r="AC97" s="1">
        <f t="shared" si="28"/>
        <v>13.063177680116061</v>
      </c>
      <c r="AD97" s="1">
        <f t="shared" si="29"/>
        <v>34.694301920070551</v>
      </c>
      <c r="AE97" s="1">
        <f t="shared" si="30"/>
        <v>11.815528662516714</v>
      </c>
      <c r="AF97" s="1">
        <f t="shared" si="31"/>
        <v>24.47370851583316</v>
      </c>
      <c r="AG97" s="1">
        <f t="shared" si="32"/>
        <v>19.959434489656779</v>
      </c>
      <c r="AH97" s="1">
        <f t="shared" si="33"/>
        <v>41.590558729611274</v>
      </c>
      <c r="AI97" s="1">
        <f t="shared" si="34"/>
        <v>18.711785472057436</v>
      </c>
      <c r="AJ97" s="1">
        <f t="shared" si="35"/>
        <v>17.60018108774543</v>
      </c>
    </row>
    <row r="98" spans="1:36" x14ac:dyDescent="0.2">
      <c r="A98" s="8">
        <v>96</v>
      </c>
      <c r="B98" s="7" t="s">
        <v>11</v>
      </c>
      <c r="C98" s="6" t="s">
        <v>10</v>
      </c>
      <c r="D98" s="6" t="s">
        <v>9</v>
      </c>
      <c r="E98" s="15">
        <f>((1/100000)*307470)/10</f>
        <v>0.30747000000000002</v>
      </c>
      <c r="F98" s="24">
        <f>(((1/100000)*307470)/10)/(((1/100000)*7348620/2)/10)</f>
        <v>8.3681017660458684E-2</v>
      </c>
      <c r="G98" s="23">
        <v>0.16939100000000001</v>
      </c>
      <c r="H98" s="25">
        <f>0.169391/((211.99865/2)/10)</f>
        <v>1.5980384780752144E-2</v>
      </c>
      <c r="I98" s="16">
        <v>4.6731999999999996</v>
      </c>
      <c r="J98" s="3">
        <v>30</v>
      </c>
      <c r="K98" s="24">
        <v>0.7414953033764915</v>
      </c>
      <c r="L98" s="17">
        <v>7.915980212</v>
      </c>
      <c r="M98" s="26">
        <f>7.915980212/(1246.530862135/2)</f>
        <v>1.2700817047468648E-2</v>
      </c>
      <c r="O98" s="3">
        <v>1.5</v>
      </c>
      <c r="P98" s="25">
        <v>0.39473684210526316</v>
      </c>
      <c r="Q98" s="27">
        <v>35.68</v>
      </c>
      <c r="R98" s="28">
        <v>0.58713180845812074</v>
      </c>
      <c r="S98" s="2">
        <f t="shared" si="18"/>
        <v>-83.228844750658951</v>
      </c>
      <c r="T98" s="2">
        <f t="shared" si="19"/>
        <v>-95.923465373304907</v>
      </c>
      <c r="U98" s="2">
        <f t="shared" si="20"/>
        <v>-1.9100278693316142</v>
      </c>
      <c r="V98" s="2">
        <f t="shared" si="21"/>
        <v>-96.249169215912829</v>
      </c>
      <c r="W98" s="2">
        <f t="shared" si="22"/>
        <v>-83.144028217920606</v>
      </c>
      <c r="X98" s="2">
        <f t="shared" si="23"/>
        <v>-95.372561625095315</v>
      </c>
      <c r="Y98" s="2">
        <f t="shared" si="24"/>
        <v>-1.4224526274758063</v>
      </c>
      <c r="Z98" s="2">
        <f t="shared" si="25"/>
        <v>-95.68870435495279</v>
      </c>
      <c r="AA98" s="2">
        <f t="shared" si="26"/>
        <v>-91.601128922974226</v>
      </c>
      <c r="AB98" s="1">
        <f t="shared" si="27"/>
        <v>16.14449737716598</v>
      </c>
      <c r="AC98" s="1">
        <f t="shared" si="28"/>
        <v>11.06694991118799</v>
      </c>
      <c r="AD98" s="1">
        <f t="shared" si="29"/>
        <v>65.480568805868444</v>
      </c>
      <c r="AE98" s="1">
        <f t="shared" si="30"/>
        <v>10.820982331191727</v>
      </c>
      <c r="AF98" s="1">
        <f t="shared" si="31"/>
        <v>20.95437153598742</v>
      </c>
      <c r="AG98" s="1">
        <f t="shared" si="32"/>
        <v>15.876824070009429</v>
      </c>
      <c r="AH98" s="1">
        <f t="shared" si="33"/>
        <v>70.290442964689888</v>
      </c>
      <c r="AI98" s="1">
        <f t="shared" si="34"/>
        <v>15.630856490013167</v>
      </c>
      <c r="AJ98" s="1">
        <f t="shared" si="35"/>
        <v>15.082413619259285</v>
      </c>
    </row>
    <row r="99" spans="1:36" ht="13.5" thickBot="1" x14ac:dyDescent="0.25">
      <c r="A99" s="8">
        <v>97</v>
      </c>
      <c r="B99" s="7" t="s">
        <v>8</v>
      </c>
      <c r="C99" s="6" t="s">
        <v>7</v>
      </c>
      <c r="D99" s="6" t="s">
        <v>6</v>
      </c>
      <c r="E99" s="15">
        <f>((1/100000)*306770)/10</f>
        <v>0.30677000000000004</v>
      </c>
      <c r="F99" s="24">
        <f>(((1/100000)*306770)/10)/(((1/100000)*7348620/2)/10)</f>
        <v>8.3490505700390003E-2</v>
      </c>
      <c r="G99" s="23">
        <v>0.48009099999999999</v>
      </c>
      <c r="H99" s="25">
        <f>0.480091/((211.99865/2)/10)</f>
        <v>4.529189218893611E-2</v>
      </c>
      <c r="I99" s="16">
        <v>3.1596000000000002</v>
      </c>
      <c r="J99" s="3">
        <v>258</v>
      </c>
      <c r="K99" s="24">
        <v>0.50133282559025139</v>
      </c>
      <c r="L99" s="17">
        <v>15.168955236</v>
      </c>
      <c r="M99" s="26">
        <f>15.168955236/(1246.530862135/2)</f>
        <v>2.4337873528489009E-2</v>
      </c>
      <c r="O99" s="3">
        <v>1.3</v>
      </c>
      <c r="P99" s="25">
        <v>0.34210526315789475</v>
      </c>
      <c r="Q99" s="27">
        <v>41.489999999999995</v>
      </c>
      <c r="R99" s="28">
        <v>0.6827381931874279</v>
      </c>
      <c r="S99" s="2">
        <f t="shared" si="18"/>
        <v>-83.906481089897568</v>
      </c>
      <c r="T99" s="2">
        <f t="shared" si="19"/>
        <v>-88.89256984132966</v>
      </c>
      <c r="U99" s="2">
        <f t="shared" si="20"/>
        <v>-34.285954059442759</v>
      </c>
      <c r="V99" s="2">
        <f t="shared" si="21"/>
        <v>-93.175139890698432</v>
      </c>
      <c r="W99" s="2">
        <f t="shared" si="22"/>
        <v>-83.617970270379573</v>
      </c>
      <c r="X99" s="2">
        <f t="shared" si="23"/>
        <v>-88.198903545694733</v>
      </c>
      <c r="Y99" s="2">
        <f t="shared" si="24"/>
        <v>-32.956847224005642</v>
      </c>
      <c r="Z99" s="2">
        <f t="shared" si="25"/>
        <v>-92.551393573802869</v>
      </c>
      <c r="AA99" s="2">
        <f t="shared" si="26"/>
        <v>-88.390409701967144</v>
      </c>
      <c r="AB99" s="1">
        <f t="shared" si="27"/>
        <v>14.814419506476618</v>
      </c>
      <c r="AC99" s="1">
        <f t="shared" si="28"/>
        <v>11.949523493117576</v>
      </c>
      <c r="AD99" s="1">
        <f t="shared" si="29"/>
        <v>46.15259349821622</v>
      </c>
      <c r="AE99" s="1">
        <f t="shared" si="30"/>
        <v>10.377972093584043</v>
      </c>
      <c r="AF99" s="1">
        <f t="shared" si="31"/>
        <v>23.330242757214947</v>
      </c>
      <c r="AG99" s="1">
        <f t="shared" si="32"/>
        <v>20.465346743855907</v>
      </c>
      <c r="AH99" s="1">
        <f t="shared" si="33"/>
        <v>54.668416748954549</v>
      </c>
      <c r="AI99" s="1">
        <f t="shared" si="34"/>
        <v>18.893795344322374</v>
      </c>
      <c r="AJ99" s="1">
        <f t="shared" si="35"/>
        <v>16.638549989761909</v>
      </c>
    </row>
    <row r="100" spans="1:36" ht="13.5" thickBot="1" x14ac:dyDescent="0.25">
      <c r="A100" s="8">
        <v>98</v>
      </c>
      <c r="B100" s="7" t="s">
        <v>5</v>
      </c>
      <c r="C100" s="3" t="s">
        <v>4</v>
      </c>
      <c r="D100" s="6" t="s">
        <v>3</v>
      </c>
      <c r="E100" s="15">
        <f>((1/100000)*304670)/10</f>
        <v>0.30467000000000005</v>
      </c>
      <c r="F100" s="24">
        <f>(((1/100000)*304670)/10)/(((1/100000)*7348620/2)/10)</f>
        <v>8.291896982018393E-2</v>
      </c>
      <c r="G100" s="23">
        <v>0.20729000000000003</v>
      </c>
      <c r="H100" s="25">
        <f>0.20729/((211.99865/2)/10)</f>
        <v>1.9555784907120875E-2</v>
      </c>
      <c r="I100" s="16">
        <v>3.2399</v>
      </c>
      <c r="J100" s="3">
        <v>249</v>
      </c>
      <c r="K100" s="24">
        <v>0.51407400355420163</v>
      </c>
      <c r="L100" s="17">
        <v>6.7159887100000004</v>
      </c>
      <c r="M100" s="26">
        <f>6.71598871/(1246.530862135/2)</f>
        <v>1.0775487256684793E-2</v>
      </c>
      <c r="O100" s="3">
        <v>1.8</v>
      </c>
      <c r="P100" s="25">
        <v>0.47368421052631582</v>
      </c>
      <c r="Q100" s="22"/>
      <c r="R100" s="29"/>
      <c r="S100" s="2">
        <f t="shared" si="18"/>
        <v>-82.328332630998574</v>
      </c>
      <c r="T100" s="2">
        <f t="shared" si="19"/>
        <v>-94.691401914987964</v>
      </c>
      <c r="U100" s="2">
        <f t="shared" si="20"/>
        <v>-31.041557895910827</v>
      </c>
      <c r="V100" s="2">
        <f t="shared" si="21"/>
        <v>-96.542154477191517</v>
      </c>
      <c r="W100" s="2">
        <f t="shared" si="22"/>
        <v>-80.038132428288748</v>
      </c>
      <c r="X100" s="2">
        <f t="shared" si="23"/>
        <v>-82.089719884566861</v>
      </c>
      <c r="Y100" s="2">
        <f t="shared" si="24"/>
        <v>-34.036423605102158</v>
      </c>
      <c r="Z100" s="2">
        <f t="shared" si="25"/>
        <v>-88.909128169474613</v>
      </c>
      <c r="AA100" s="2">
        <f t="shared" si="26"/>
        <v>-87.433144917584698</v>
      </c>
      <c r="AB100" s="1">
        <f t="shared" si="27"/>
        <v>18.06102799967169</v>
      </c>
      <c r="AC100" s="1">
        <f t="shared" si="28"/>
        <v>13.308789131191961</v>
      </c>
      <c r="AD100" s="1">
        <f t="shared" si="29"/>
        <v>50.397655529723018</v>
      </c>
      <c r="AE100" s="1">
        <f t="shared" si="30"/>
        <v>12.650266807409254</v>
      </c>
      <c r="AF100" s="1">
        <f t="shared" si="31"/>
        <v>6.2189227365137949</v>
      </c>
      <c r="AG100" s="1">
        <f t="shared" si="32"/>
        <v>1.4666838680340657</v>
      </c>
      <c r="AH100" s="1">
        <f t="shared" si="33"/>
        <v>38.55555026656512</v>
      </c>
      <c r="AI100" s="1">
        <f t="shared" si="34"/>
        <v>0.80816154425135955</v>
      </c>
      <c r="AJ100" s="1">
        <f t="shared" si="35"/>
        <v>8.7523086811786879</v>
      </c>
    </row>
    <row r="101" spans="1:36" x14ac:dyDescent="0.2">
      <c r="A101" s="8">
        <v>99</v>
      </c>
      <c r="B101" s="7" t="s">
        <v>2</v>
      </c>
      <c r="C101" s="3" t="s">
        <v>1</v>
      </c>
      <c r="D101" s="6" t="s">
        <v>0</v>
      </c>
      <c r="E101" s="15">
        <f>((1/100000)*301990)/10</f>
        <v>0.30199000000000004</v>
      </c>
      <c r="F101" s="24">
        <f>(((1/100000)*301990)/10)/(((1/100000)*7348620/2)/10)</f>
        <v>8.2189581173063783E-2</v>
      </c>
      <c r="G101" s="23">
        <v>0.133798</v>
      </c>
      <c r="H101" s="25">
        <f>0.133798/((211.99865/2)/10)</f>
        <v>1.2622533209527513E-2</v>
      </c>
      <c r="I101" s="16">
        <v>3.2867999999999999</v>
      </c>
      <c r="J101" s="3">
        <v>242</v>
      </c>
      <c r="K101" s="24">
        <v>0.52151561309977157</v>
      </c>
      <c r="L101" s="17">
        <v>4.3976726639999999</v>
      </c>
      <c r="M101" s="26">
        <f>4.397672664/(1246.530862135/2)</f>
        <v>7.0558584590001581E-3</v>
      </c>
      <c r="O101" s="3">
        <v>1.1000000000000001</v>
      </c>
      <c r="P101" s="25">
        <v>0.28947368421052633</v>
      </c>
      <c r="Q101" s="27">
        <v>39.239999999999995</v>
      </c>
      <c r="R101" s="28">
        <v>0.64571334540069103</v>
      </c>
      <c r="S101" s="2">
        <f t="shared" si="18"/>
        <v>-84.740394849395386</v>
      </c>
      <c r="T101" s="2">
        <f t="shared" si="19"/>
        <v>-97.019579494694455</v>
      </c>
      <c r="U101" s="2">
        <f t="shared" si="20"/>
        <v>-32.259022881540972</v>
      </c>
      <c r="V101" s="2">
        <f t="shared" si="21"/>
        <v>-98.116423272992861</v>
      </c>
      <c r="W101" s="2">
        <f t="shared" si="22"/>
        <v>-83.709841277015684</v>
      </c>
      <c r="X101" s="2">
        <f t="shared" si="23"/>
        <v>-96.57835096185255</v>
      </c>
      <c r="Y101" s="2">
        <f t="shared" si="24"/>
        <v>-30.417035283029151</v>
      </c>
      <c r="Z101" s="2">
        <f t="shared" si="25"/>
        <v>-97.755009482671824</v>
      </c>
      <c r="AA101" s="2">
        <f t="shared" si="26"/>
        <v>-92.98659988977046</v>
      </c>
      <c r="AB101" s="1">
        <f t="shared" si="27"/>
        <v>13.401060693242941</v>
      </c>
      <c r="AC101" s="1">
        <f t="shared" si="28"/>
        <v>8.1835320959777214</v>
      </c>
      <c r="AD101" s="1">
        <f t="shared" si="29"/>
        <v>46.350513087746023</v>
      </c>
      <c r="AE101" s="1">
        <f t="shared" si="30"/>
        <v>7.7660314896881699</v>
      </c>
      <c r="AF101" s="1">
        <f t="shared" si="31"/>
        <v>22.307052222997058</v>
      </c>
      <c r="AG101" s="1">
        <f t="shared" si="32"/>
        <v>17.089523625731839</v>
      </c>
      <c r="AH101" s="1">
        <f t="shared" si="33"/>
        <v>55.256504617500148</v>
      </c>
      <c r="AI101" s="1">
        <f t="shared" si="34"/>
        <v>16.672023019442285</v>
      </c>
      <c r="AJ101" s="1">
        <f t="shared" si="35"/>
        <v>14.236537191180004</v>
      </c>
    </row>
    <row r="102" spans="1:36" x14ac:dyDescent="0.2">
      <c r="E102" s="19">
        <v>10</v>
      </c>
      <c r="F102" s="19">
        <f>((1/100000)*7348620/2)/10</f>
        <v>3.6743100000000006</v>
      </c>
      <c r="G102" s="18">
        <v>10</v>
      </c>
      <c r="H102" s="18">
        <f>(211.99865/2)/10</f>
        <v>10.5999325</v>
      </c>
      <c r="I102" s="18">
        <v>10000</v>
      </c>
      <c r="J102" s="19"/>
      <c r="K102" s="19">
        <v>6.3023999999999996</v>
      </c>
      <c r="L102" s="20">
        <v>1000000000</v>
      </c>
      <c r="M102" s="17"/>
      <c r="P102" s="3"/>
      <c r="Q102" s="27"/>
      <c r="R102" s="27"/>
      <c r="X102" s="2"/>
      <c r="Y102" s="2"/>
      <c r="Z102" s="2"/>
    </row>
    <row r="107" spans="1:36" x14ac:dyDescent="0.2">
      <c r="Q107" s="27"/>
    </row>
  </sheetData>
  <hyperlinks>
    <hyperlink ref="C2" r:id="rId1"/>
    <hyperlink ref="C4" r:id="rId2"/>
    <hyperlink ref="C5" r:id="rId3"/>
    <hyperlink ref="C6" r:id="rId4"/>
    <hyperlink ref="C7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4" r:id="rId19"/>
    <hyperlink ref="C30" r:id="rId20"/>
    <hyperlink ref="C31" r:id="rId21"/>
    <hyperlink ref="C32" r:id="rId22"/>
    <hyperlink ref="C34" r:id="rId23"/>
    <hyperlink ref="C36" r:id="rId24"/>
    <hyperlink ref="C37" r:id="rId25"/>
    <hyperlink ref="C40" r:id="rId26"/>
    <hyperlink ref="C41" r:id="rId27"/>
    <hyperlink ref="C45" r:id="rId28"/>
    <hyperlink ref="C46" r:id="rId29"/>
    <hyperlink ref="C47" r:id="rId30"/>
    <hyperlink ref="C50" r:id="rId31"/>
    <hyperlink ref="C51" r:id="rId32"/>
    <hyperlink ref="C61" r:id="rId33"/>
    <hyperlink ref="C67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abSelected="1" workbookViewId="0">
      <selection activeCell="F33" sqref="F33"/>
    </sheetView>
  </sheetViews>
  <sheetFormatPr defaultRowHeight="12.75" x14ac:dyDescent="0.2"/>
  <cols>
    <col min="1" max="1" width="25.5703125" style="1" bestFit="1" customWidth="1"/>
    <col min="2" max="2" width="13.140625" bestFit="1" customWidth="1"/>
  </cols>
  <sheetData>
    <row r="1" spans="1:2" x14ac:dyDescent="0.2">
      <c r="A1" s="3" t="s">
        <v>241</v>
      </c>
      <c r="B1" t="s">
        <v>263</v>
      </c>
    </row>
    <row r="2" spans="1:2" x14ac:dyDescent="0.2">
      <c r="A2" s="31" t="s">
        <v>235</v>
      </c>
      <c r="B2">
        <v>86.202506430631459</v>
      </c>
    </row>
    <row r="3" spans="1:2" x14ac:dyDescent="0.2">
      <c r="A3" s="32" t="s">
        <v>228</v>
      </c>
      <c r="B3">
        <v>78.91329645303253</v>
      </c>
    </row>
    <row r="4" spans="1:2" x14ac:dyDescent="0.2">
      <c r="A4" s="31" t="s">
        <v>231</v>
      </c>
      <c r="B4">
        <v>72.271627643345099</v>
      </c>
    </row>
    <row r="5" spans="1:2" x14ac:dyDescent="0.2">
      <c r="A5" s="31" t="s">
        <v>233</v>
      </c>
      <c r="B5">
        <v>69.462029828948545</v>
      </c>
    </row>
    <row r="6" spans="1:2" x14ac:dyDescent="0.2">
      <c r="A6" s="31" t="s">
        <v>222</v>
      </c>
      <c r="B6">
        <v>66.402316836488595</v>
      </c>
    </row>
    <row r="7" spans="1:2" x14ac:dyDescent="0.2">
      <c r="A7" s="31" t="s">
        <v>218</v>
      </c>
      <c r="B7">
        <v>60.635022472488174</v>
      </c>
    </row>
    <row r="8" spans="1:2" x14ac:dyDescent="0.2">
      <c r="A8" s="31" t="s">
        <v>226</v>
      </c>
      <c r="B8">
        <v>59.361736175444264</v>
      </c>
    </row>
    <row r="9" spans="1:2" x14ac:dyDescent="0.2">
      <c r="A9" s="31" t="s">
        <v>224</v>
      </c>
      <c r="B9">
        <v>57.294467855604815</v>
      </c>
    </row>
    <row r="10" spans="1:2" x14ac:dyDescent="0.2">
      <c r="A10" s="31" t="s">
        <v>220</v>
      </c>
      <c r="B10">
        <v>51.904593916716898</v>
      </c>
    </row>
    <row r="11" spans="1:2" x14ac:dyDescent="0.2">
      <c r="A11" s="31" t="s">
        <v>211</v>
      </c>
      <c r="B11">
        <v>49.358308384619072</v>
      </c>
    </row>
    <row r="12" spans="1:2" x14ac:dyDescent="0.2">
      <c r="A12" s="31" t="s">
        <v>215</v>
      </c>
      <c r="B12">
        <v>46.697961394085496</v>
      </c>
    </row>
    <row r="13" spans="1:2" x14ac:dyDescent="0.2">
      <c r="A13" s="31" t="s">
        <v>209</v>
      </c>
      <c r="B13">
        <v>42.568574081683586</v>
      </c>
    </row>
    <row r="14" spans="1:2" x14ac:dyDescent="0.2">
      <c r="A14" s="34" t="s">
        <v>175</v>
      </c>
      <c r="B14">
        <v>41.736819313925587</v>
      </c>
    </row>
    <row r="15" spans="1:2" x14ac:dyDescent="0.2">
      <c r="A15" s="34" t="s">
        <v>78</v>
      </c>
      <c r="B15">
        <v>39.440582349609876</v>
      </c>
    </row>
    <row r="16" spans="1:2" x14ac:dyDescent="0.2">
      <c r="A16" s="31" t="s">
        <v>206</v>
      </c>
      <c r="B16">
        <v>39.152242763330378</v>
      </c>
    </row>
    <row r="17" spans="1:2" x14ac:dyDescent="0.2">
      <c r="A17" s="31" t="s">
        <v>200</v>
      </c>
      <c r="B17">
        <v>37.820019902526553</v>
      </c>
    </row>
    <row r="18" spans="1:2" x14ac:dyDescent="0.2">
      <c r="A18" s="31" t="s">
        <v>213</v>
      </c>
      <c r="B18">
        <v>36.405079853976126</v>
      </c>
    </row>
    <row r="19" spans="1:2" x14ac:dyDescent="0.2">
      <c r="A19" s="35" t="s">
        <v>173</v>
      </c>
      <c r="B19">
        <v>34.411616990113515</v>
      </c>
    </row>
    <row r="20" spans="1:2" x14ac:dyDescent="0.2">
      <c r="A20" s="31" t="s">
        <v>204</v>
      </c>
      <c r="B20">
        <v>33.658611309440083</v>
      </c>
    </row>
    <row r="21" spans="1:2" x14ac:dyDescent="0.2">
      <c r="A21" s="35" t="s">
        <v>164</v>
      </c>
      <c r="B21">
        <v>32.203810068900573</v>
      </c>
    </row>
    <row r="22" spans="1:2" x14ac:dyDescent="0.2">
      <c r="A22" s="34" t="s">
        <v>177</v>
      </c>
      <c r="B22">
        <v>32.154909491173761</v>
      </c>
    </row>
    <row r="23" spans="1:2" x14ac:dyDescent="0.2">
      <c r="A23" s="31" t="s">
        <v>167</v>
      </c>
      <c r="B23">
        <v>31.557167863948752</v>
      </c>
    </row>
    <row r="24" spans="1:2" x14ac:dyDescent="0.2">
      <c r="A24" s="3" t="s">
        <v>155</v>
      </c>
      <c r="B24">
        <v>30.98044835021085</v>
      </c>
    </row>
    <row r="25" spans="1:2" x14ac:dyDescent="0.2">
      <c r="A25" s="3" t="s">
        <v>171</v>
      </c>
      <c r="B25">
        <v>30.827917430037591</v>
      </c>
    </row>
    <row r="26" spans="1:2" x14ac:dyDescent="0.2">
      <c r="A26" s="31" t="s">
        <v>192</v>
      </c>
      <c r="B26">
        <v>30.792715815053629</v>
      </c>
    </row>
    <row r="27" spans="1:2" x14ac:dyDescent="0.2">
      <c r="A27" s="7" t="s">
        <v>157</v>
      </c>
      <c r="B27">
        <v>29.546015066962223</v>
      </c>
    </row>
    <row r="28" spans="1:2" x14ac:dyDescent="0.2">
      <c r="A28" s="31" t="s">
        <v>202</v>
      </c>
      <c r="B28">
        <v>29.005018921226398</v>
      </c>
    </row>
    <row r="29" spans="1:2" x14ac:dyDescent="0.2">
      <c r="A29" s="31" t="s">
        <v>187</v>
      </c>
      <c r="B29">
        <v>28.59772282832871</v>
      </c>
    </row>
    <row r="30" spans="1:2" x14ac:dyDescent="0.2">
      <c r="A30" s="3" t="s">
        <v>153</v>
      </c>
      <c r="B30">
        <v>28.469345536759629</v>
      </c>
    </row>
    <row r="31" spans="1:2" x14ac:dyDescent="0.2">
      <c r="A31" s="31" t="s">
        <v>198</v>
      </c>
      <c r="B31">
        <v>28.046186368728225</v>
      </c>
    </row>
    <row r="32" spans="1:2" x14ac:dyDescent="0.2">
      <c r="A32" s="31" t="s">
        <v>194</v>
      </c>
      <c r="B32">
        <v>27.97008125023898</v>
      </c>
    </row>
    <row r="33" spans="1:2" x14ac:dyDescent="0.2">
      <c r="A33" s="7" t="s">
        <v>169</v>
      </c>
      <c r="B33">
        <v>27.876838714912079</v>
      </c>
    </row>
    <row r="34" spans="1:2" x14ac:dyDescent="0.2">
      <c r="A34" s="33" t="s">
        <v>185</v>
      </c>
      <c r="B34">
        <v>27.297877820758881</v>
      </c>
    </row>
    <row r="35" spans="1:2" x14ac:dyDescent="0.2">
      <c r="A35" s="3" t="s">
        <v>148</v>
      </c>
      <c r="B35">
        <v>27.153639392638453</v>
      </c>
    </row>
    <row r="36" spans="1:2" x14ac:dyDescent="0.2">
      <c r="A36" s="3" t="s">
        <v>162</v>
      </c>
      <c r="B36">
        <v>26.778755110977343</v>
      </c>
    </row>
    <row r="37" spans="1:2" x14ac:dyDescent="0.2">
      <c r="A37" s="3" t="s">
        <v>72</v>
      </c>
      <c r="B37">
        <v>26.326286510358315</v>
      </c>
    </row>
    <row r="38" spans="1:2" x14ac:dyDescent="0.2">
      <c r="A38" s="33" t="s">
        <v>190</v>
      </c>
      <c r="B38">
        <v>26.159354466979408</v>
      </c>
    </row>
    <row r="39" spans="1:2" x14ac:dyDescent="0.2">
      <c r="A39" s="3" t="s">
        <v>137</v>
      </c>
      <c r="B39">
        <v>25.598650680076002</v>
      </c>
    </row>
    <row r="40" spans="1:2" x14ac:dyDescent="0.2">
      <c r="A40" s="33" t="s">
        <v>196</v>
      </c>
      <c r="B40">
        <v>25.371838588919378</v>
      </c>
    </row>
    <row r="41" spans="1:2" x14ac:dyDescent="0.2">
      <c r="A41" s="7" t="s">
        <v>85</v>
      </c>
      <c r="B41">
        <v>24.636749544656922</v>
      </c>
    </row>
    <row r="42" spans="1:2" x14ac:dyDescent="0.2">
      <c r="A42" s="3" t="s">
        <v>160</v>
      </c>
      <c r="B42">
        <v>24.417908407502935</v>
      </c>
    </row>
    <row r="43" spans="1:2" x14ac:dyDescent="0.2">
      <c r="A43" s="3" t="s">
        <v>111</v>
      </c>
      <c r="B43">
        <v>24.348910360085114</v>
      </c>
    </row>
    <row r="44" spans="1:2" x14ac:dyDescent="0.2">
      <c r="A44" s="7" t="s">
        <v>139</v>
      </c>
      <c r="B44">
        <v>24.182982536522616</v>
      </c>
    </row>
    <row r="45" spans="1:2" x14ac:dyDescent="0.2">
      <c r="A45" s="3" t="s">
        <v>146</v>
      </c>
      <c r="B45">
        <v>24.073403331716246</v>
      </c>
    </row>
    <row r="46" spans="1:2" x14ac:dyDescent="0.2">
      <c r="A46" s="7" t="s">
        <v>150</v>
      </c>
      <c r="B46">
        <v>23.010664139612789</v>
      </c>
    </row>
    <row r="47" spans="1:2" x14ac:dyDescent="0.2">
      <c r="A47" s="7" t="s">
        <v>106</v>
      </c>
      <c r="B47">
        <v>22.916921651567989</v>
      </c>
    </row>
    <row r="48" spans="1:2" x14ac:dyDescent="0.2">
      <c r="A48" s="33" t="s">
        <v>183</v>
      </c>
      <c r="B48">
        <v>22.809717357535362</v>
      </c>
    </row>
    <row r="49" spans="1:2" x14ac:dyDescent="0.2">
      <c r="A49" s="3" t="s">
        <v>128</v>
      </c>
      <c r="B49">
        <v>22.717733809580395</v>
      </c>
    </row>
    <row r="50" spans="1:2" x14ac:dyDescent="0.2">
      <c r="A50" s="7" t="s">
        <v>126</v>
      </c>
      <c r="B50">
        <v>22.426572110757458</v>
      </c>
    </row>
    <row r="51" spans="1:2" x14ac:dyDescent="0.2">
      <c r="A51" s="7" t="s">
        <v>131</v>
      </c>
      <c r="B51">
        <v>22.131156368307796</v>
      </c>
    </row>
    <row r="52" spans="1:2" x14ac:dyDescent="0.2">
      <c r="A52" s="7" t="s">
        <v>2</v>
      </c>
      <c r="B52">
        <v>22.00019866618392</v>
      </c>
    </row>
    <row r="53" spans="1:2" x14ac:dyDescent="0.2">
      <c r="A53" s="7" t="s">
        <v>93</v>
      </c>
      <c r="B53">
        <v>21.898048134045411</v>
      </c>
    </row>
    <row r="54" spans="1:2" x14ac:dyDescent="0.2">
      <c r="A54" s="7" t="s">
        <v>135</v>
      </c>
      <c r="B54">
        <v>21.612596633787021</v>
      </c>
    </row>
    <row r="55" spans="1:2" x14ac:dyDescent="0.2">
      <c r="A55" s="3" t="s">
        <v>26</v>
      </c>
      <c r="B55">
        <v>21.429586838143436</v>
      </c>
    </row>
    <row r="56" spans="1:2" x14ac:dyDescent="0.2">
      <c r="A56" s="3" t="s">
        <v>97</v>
      </c>
      <c r="B56">
        <v>21.380180853699446</v>
      </c>
    </row>
    <row r="57" spans="1:2" x14ac:dyDescent="0.2">
      <c r="A57" s="33" t="s">
        <v>181</v>
      </c>
      <c r="B57">
        <v>21.215790846396992</v>
      </c>
    </row>
    <row r="58" spans="1:2" x14ac:dyDescent="0.2">
      <c r="A58" s="7" t="s">
        <v>167</v>
      </c>
      <c r="B58">
        <v>21.173395219235957</v>
      </c>
    </row>
    <row r="59" spans="1:2" x14ac:dyDescent="0.2">
      <c r="A59" s="7" t="s">
        <v>59</v>
      </c>
      <c r="B59">
        <v>21.141794478100586</v>
      </c>
    </row>
    <row r="60" spans="1:2" x14ac:dyDescent="0.2">
      <c r="A60" s="3" t="s">
        <v>101</v>
      </c>
      <c r="B60">
        <v>20.948657144247424</v>
      </c>
    </row>
    <row r="61" spans="1:2" x14ac:dyDescent="0.2">
      <c r="A61" s="7" t="s">
        <v>113</v>
      </c>
      <c r="B61">
        <v>20.3600161144441</v>
      </c>
    </row>
    <row r="62" spans="1:2" x14ac:dyDescent="0.2">
      <c r="A62" s="7" t="s">
        <v>40</v>
      </c>
      <c r="B62">
        <v>20.337954945384979</v>
      </c>
    </row>
    <row r="63" spans="1:2" x14ac:dyDescent="0.2">
      <c r="A63" s="3" t="s">
        <v>133</v>
      </c>
      <c r="B63">
        <v>20.263197734828164</v>
      </c>
    </row>
    <row r="64" spans="1:2" x14ac:dyDescent="0.2">
      <c r="A64" s="7" t="s">
        <v>116</v>
      </c>
      <c r="B64">
        <v>20.194903146732859</v>
      </c>
    </row>
    <row r="65" spans="1:2" x14ac:dyDescent="0.2">
      <c r="A65" s="7" t="s">
        <v>87</v>
      </c>
      <c r="B65">
        <v>20.050290326941255</v>
      </c>
    </row>
    <row r="66" spans="1:2" x14ac:dyDescent="0.2">
      <c r="A66" s="7" t="s">
        <v>17</v>
      </c>
      <c r="B66">
        <v>20.042710546264509</v>
      </c>
    </row>
    <row r="67" spans="1:2" x14ac:dyDescent="0.2">
      <c r="A67" s="3" t="s">
        <v>99</v>
      </c>
      <c r="B67">
        <v>19.464676978696993</v>
      </c>
    </row>
    <row r="68" spans="1:2" x14ac:dyDescent="0.2">
      <c r="A68" s="3" t="s">
        <v>62</v>
      </c>
      <c r="B68">
        <v>19.432004479198351</v>
      </c>
    </row>
    <row r="69" spans="1:2" x14ac:dyDescent="0.2">
      <c r="A69" s="3" t="s">
        <v>23</v>
      </c>
      <c r="B69">
        <v>19.36490728103092</v>
      </c>
    </row>
    <row r="70" spans="1:2" x14ac:dyDescent="0.2">
      <c r="A70" s="7" t="s">
        <v>66</v>
      </c>
      <c r="B70">
        <v>19.221376256738886</v>
      </c>
    </row>
    <row r="71" spans="1:2" x14ac:dyDescent="0.2">
      <c r="A71" s="7" t="s">
        <v>121</v>
      </c>
      <c r="B71">
        <v>19.009620674826198</v>
      </c>
    </row>
    <row r="72" spans="1:2" x14ac:dyDescent="0.2">
      <c r="A72" s="3" t="s">
        <v>123</v>
      </c>
      <c r="B72">
        <v>18.884522799602074</v>
      </c>
    </row>
    <row r="73" spans="1:2" x14ac:dyDescent="0.2">
      <c r="A73" s="7" t="s">
        <v>43</v>
      </c>
      <c r="B73">
        <v>18.646381118934144</v>
      </c>
    </row>
    <row r="74" spans="1:2" x14ac:dyDescent="0.2">
      <c r="A74" s="3" t="s">
        <v>96</v>
      </c>
      <c r="B74">
        <v>18.540014541554598</v>
      </c>
    </row>
    <row r="75" spans="1:2" x14ac:dyDescent="0.2">
      <c r="A75" s="3" t="s">
        <v>75</v>
      </c>
      <c r="B75">
        <v>18.530393194461162</v>
      </c>
    </row>
    <row r="76" spans="1:2" x14ac:dyDescent="0.2">
      <c r="A76" s="7" t="s">
        <v>64</v>
      </c>
      <c r="B76">
        <v>18.243372056637394</v>
      </c>
    </row>
    <row r="77" spans="1:2" x14ac:dyDescent="0.2">
      <c r="A77" s="7" t="s">
        <v>20</v>
      </c>
      <c r="B77">
        <v>17.650985934240257</v>
      </c>
    </row>
    <row r="78" spans="1:2" x14ac:dyDescent="0.2">
      <c r="A78" s="7" t="s">
        <v>14</v>
      </c>
      <c r="B78">
        <v>17.60018108774543</v>
      </c>
    </row>
    <row r="79" spans="1:2" x14ac:dyDescent="0.2">
      <c r="A79" s="7" t="s">
        <v>108</v>
      </c>
      <c r="B79">
        <v>16.842367439689415</v>
      </c>
    </row>
    <row r="80" spans="1:2" x14ac:dyDescent="0.2">
      <c r="A80" s="7" t="s">
        <v>38</v>
      </c>
      <c r="B80">
        <v>16.780855953851944</v>
      </c>
    </row>
    <row r="81" spans="1:2" x14ac:dyDescent="0.2">
      <c r="A81" s="3" t="s">
        <v>46</v>
      </c>
      <c r="B81">
        <v>16.705582330567733</v>
      </c>
    </row>
    <row r="82" spans="1:2" x14ac:dyDescent="0.2">
      <c r="A82" s="7" t="s">
        <v>8</v>
      </c>
      <c r="B82">
        <v>16.638549989761909</v>
      </c>
    </row>
    <row r="83" spans="1:2" x14ac:dyDescent="0.2">
      <c r="A83" s="7" t="s">
        <v>104</v>
      </c>
      <c r="B83">
        <v>16.43116409337199</v>
      </c>
    </row>
    <row r="84" spans="1:2" x14ac:dyDescent="0.2">
      <c r="A84" s="7" t="s">
        <v>90</v>
      </c>
      <c r="B84">
        <v>16.261311098424027</v>
      </c>
    </row>
    <row r="85" spans="1:2" x14ac:dyDescent="0.2">
      <c r="A85" s="3" t="s">
        <v>35</v>
      </c>
      <c r="B85">
        <v>15.954541546352777</v>
      </c>
    </row>
    <row r="86" spans="1:2" x14ac:dyDescent="0.2">
      <c r="A86" s="7" t="s">
        <v>20</v>
      </c>
      <c r="B86">
        <v>15.904332297571891</v>
      </c>
    </row>
    <row r="87" spans="1:2" x14ac:dyDescent="0.2">
      <c r="A87" s="7" t="s">
        <v>11</v>
      </c>
      <c r="B87">
        <v>15.082413619259285</v>
      </c>
    </row>
    <row r="88" spans="1:2" x14ac:dyDescent="0.2">
      <c r="A88" s="7" t="s">
        <v>143</v>
      </c>
      <c r="B88">
        <v>14.872187639417533</v>
      </c>
    </row>
    <row r="89" spans="1:2" x14ac:dyDescent="0.2">
      <c r="A89" s="7" t="s">
        <v>32</v>
      </c>
      <c r="B89">
        <v>14.654352796224396</v>
      </c>
    </row>
    <row r="90" spans="1:2" x14ac:dyDescent="0.2">
      <c r="A90" s="3" t="s">
        <v>29</v>
      </c>
      <c r="B90">
        <v>14.355655167896158</v>
      </c>
    </row>
    <row r="91" spans="1:2" x14ac:dyDescent="0.2">
      <c r="A91" s="7" t="s">
        <v>2</v>
      </c>
      <c r="B91">
        <v>14.236537191180004</v>
      </c>
    </row>
    <row r="92" spans="1:2" x14ac:dyDescent="0.2">
      <c r="A92" s="7" t="s">
        <v>69</v>
      </c>
      <c r="B92">
        <v>14.174881431547716</v>
      </c>
    </row>
    <row r="93" spans="1:2" x14ac:dyDescent="0.2">
      <c r="A93" s="3" t="s">
        <v>56</v>
      </c>
      <c r="B93">
        <v>13.99003523328075</v>
      </c>
    </row>
    <row r="94" spans="1:2" x14ac:dyDescent="0.2">
      <c r="A94" s="7" t="s">
        <v>141</v>
      </c>
      <c r="B94">
        <v>13.028296419666491</v>
      </c>
    </row>
    <row r="95" spans="1:2" x14ac:dyDescent="0.2">
      <c r="A95" s="7" t="s">
        <v>48</v>
      </c>
      <c r="B95">
        <v>11.876412813798412</v>
      </c>
    </row>
    <row r="96" spans="1:2" x14ac:dyDescent="0.2">
      <c r="A96" s="7" t="s">
        <v>118</v>
      </c>
      <c r="B96">
        <v>11.680287536784512</v>
      </c>
    </row>
    <row r="97" spans="1:2" x14ac:dyDescent="0.2">
      <c r="A97" s="3" t="s">
        <v>81</v>
      </c>
      <c r="B97">
        <v>10.078928092620982</v>
      </c>
    </row>
    <row r="98" spans="1:2" x14ac:dyDescent="0.2">
      <c r="A98" s="3" t="s">
        <v>53</v>
      </c>
      <c r="B98">
        <v>9.559130831297848</v>
      </c>
    </row>
    <row r="99" spans="1:2" x14ac:dyDescent="0.2">
      <c r="A99" s="7" t="s">
        <v>5</v>
      </c>
      <c r="B99">
        <v>8.7523086811786879</v>
      </c>
    </row>
    <row r="100" spans="1:2" x14ac:dyDescent="0.2">
      <c r="A100" s="7" t="s">
        <v>51</v>
      </c>
      <c r="B100">
        <v>8.5663319006649576</v>
      </c>
    </row>
  </sheetData>
  <sortState ref="A2:B101">
    <sortCondition descending="1"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8</vt:i4>
      </vt:variant>
    </vt:vector>
  </HeadingPairs>
  <TitlesOfParts>
    <vt:vector size="10" baseType="lpstr">
      <vt:lpstr>Cities by NBA Team</vt:lpstr>
      <vt:lpstr>Results</vt:lpstr>
      <vt:lpstr>Market Size v HSP in Basketball</vt:lpstr>
      <vt:lpstr>HSP v. MSA Pop.</vt:lpstr>
      <vt:lpstr>HSP v. Median Income</vt:lpstr>
      <vt:lpstr>HSP v. Weighted Income</vt:lpstr>
      <vt:lpstr>Sports Score v. Market Size</vt:lpstr>
      <vt:lpstr>Sports Score v. MSA Pop</vt:lpstr>
      <vt:lpstr>Sports Score v. Median Income</vt:lpstr>
      <vt:lpstr>Sports Score v. Weighted Income</vt:lpstr>
    </vt:vector>
  </TitlesOfParts>
  <Company>Worcester Polytechnic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Rives</dc:creator>
  <cp:lastModifiedBy>Doug Rives</cp:lastModifiedBy>
  <dcterms:created xsi:type="dcterms:W3CDTF">2017-11-27T14:40:41Z</dcterms:created>
  <dcterms:modified xsi:type="dcterms:W3CDTF">2018-01-22T20:15:46Z</dcterms:modified>
</cp:coreProperties>
</file>