
<file path=[Content_Types].xml><?xml version="1.0" encoding="utf-8"?>
<Types xmlns="http://schemas.openxmlformats.org/package/2006/content-types">
  <Default Extension="bin" ContentType="application/vnd.openxmlformats-officedocument.oleObject"/>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C:\Users\bdlev\Documents\WPI\MQP\"/>
    </mc:Choice>
  </mc:AlternateContent>
  <xr:revisionPtr revIDLastSave="0" documentId="8_{5279C38C-825C-45B9-99CA-CCCC541D7340}" xr6:coauthVersionLast="36" xr6:coauthVersionMax="36" xr10:uidLastSave="{00000000-0000-0000-0000-000000000000}"/>
  <bookViews>
    <workbookView xWindow="0" yWindow="0" windowWidth="19200" windowHeight="6930" xr2:uid="{00000000-000D-0000-FFFF-FFFF00000000}"/>
  </bookViews>
  <sheets>
    <sheet name="Truss Design" sheetId="1" r:id="rId1"/>
    <sheet name="Truss Weight" sheetId="2" r:id="rId2"/>
    <sheet name="Formatted"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45" i="1" l="1"/>
  <c r="C144" i="1"/>
  <c r="C188" i="3" l="1"/>
  <c r="D236" i="3"/>
  <c r="C236" i="3"/>
  <c r="D63" i="3"/>
  <c r="D46" i="1"/>
  <c r="C208" i="3"/>
  <c r="B261" i="1"/>
  <c r="E220" i="1"/>
  <c r="E221" i="1" s="1"/>
  <c r="F221" i="1" s="1"/>
  <c r="H203" i="1"/>
  <c r="D112" i="3" l="1"/>
  <c r="D111" i="3"/>
  <c r="E110" i="3"/>
  <c r="D110" i="3"/>
  <c r="E109" i="3"/>
  <c r="D108" i="3"/>
  <c r="D107" i="3"/>
  <c r="E106" i="3"/>
  <c r="D106" i="3"/>
  <c r="E105" i="3"/>
  <c r="D105" i="3"/>
  <c r="C105" i="3"/>
  <c r="D104" i="3"/>
  <c r="C104" i="3"/>
  <c r="Q81" i="3" l="1"/>
  <c r="Q82" i="3" s="1"/>
  <c r="C95" i="3" l="1"/>
  <c r="K67" i="3"/>
  <c r="K55" i="3"/>
  <c r="K53" i="3"/>
  <c r="K50" i="3"/>
  <c r="D58" i="3"/>
  <c r="D62" i="3"/>
  <c r="K65" i="3"/>
  <c r="K64" i="3"/>
  <c r="F44" i="3"/>
  <c r="C44" i="3"/>
  <c r="C36" i="3"/>
  <c r="F36" i="3" s="1"/>
  <c r="D104" i="1" l="1"/>
  <c r="E104" i="1" s="1"/>
  <c r="B104" i="1" s="1"/>
  <c r="D91" i="3" s="1"/>
  <c r="D43" i="1" l="1"/>
  <c r="H303" i="1"/>
  <c r="B22" i="1"/>
  <c r="B21" i="1"/>
  <c r="B52" i="2"/>
  <c r="B53" i="2"/>
  <c r="D29" i="3"/>
  <c r="I22" i="3"/>
  <c r="G22" i="3"/>
  <c r="H22" i="3" s="1"/>
  <c r="C24" i="3"/>
  <c r="C23" i="3"/>
  <c r="E22" i="3"/>
  <c r="D22" i="3"/>
  <c r="C22" i="3"/>
  <c r="E16" i="3"/>
  <c r="I16" i="3" s="1"/>
  <c r="D16" i="3"/>
  <c r="H16" i="3" s="1"/>
  <c r="C16" i="3"/>
  <c r="G16" i="3" s="1"/>
  <c r="C17" i="3" l="1"/>
  <c r="G17" i="3" s="1"/>
  <c r="C18" i="3"/>
  <c r="G18" i="3" l="1"/>
  <c r="D51" i="3"/>
  <c r="D52" i="3" s="1"/>
  <c r="B308" i="1"/>
  <c r="C6" i="1"/>
  <c r="C7" i="1" l="1"/>
  <c r="D7" i="3"/>
  <c r="B174" i="1"/>
  <c r="B275" i="1" s="1"/>
  <c r="B36" i="1"/>
  <c r="B102" i="1" s="1"/>
  <c r="D90" i="3" s="1"/>
  <c r="B35" i="1"/>
  <c r="G29" i="3" s="1"/>
  <c r="H308" i="1"/>
  <c r="B322" i="1"/>
  <c r="B34" i="1"/>
  <c r="F181" i="1" l="1"/>
  <c r="D39" i="1"/>
  <c r="D8" i="3"/>
  <c r="G30" i="3"/>
  <c r="H302" i="1"/>
  <c r="H305" i="1" s="1"/>
  <c r="E34" i="1"/>
  <c r="G34" i="1" s="1"/>
  <c r="B324" i="1"/>
  <c r="F43" i="3" l="1"/>
  <c r="J44" i="2"/>
  <c r="E49" i="2"/>
  <c r="B49" i="2"/>
  <c r="C10" i="2"/>
  <c r="C11" i="2"/>
  <c r="C12" i="2"/>
  <c r="C13" i="2"/>
  <c r="C14" i="2"/>
  <c r="C15" i="2"/>
  <c r="C16" i="2"/>
  <c r="C17" i="2"/>
  <c r="C18" i="2"/>
  <c r="C19" i="2"/>
  <c r="D20" i="2"/>
  <c r="I8" i="2"/>
  <c r="C9" i="2" s="1"/>
  <c r="C8" i="2" l="1"/>
  <c r="C20" i="2" s="1"/>
  <c r="E20" i="2" s="1"/>
  <c r="C26" i="2" l="1"/>
  <c r="I26" i="2" s="1"/>
  <c r="C27" i="2"/>
  <c r="I27" i="2" s="1"/>
  <c r="C28" i="2"/>
  <c r="I28" i="2" s="1"/>
  <c r="C29" i="2"/>
  <c r="I29" i="2" s="1"/>
  <c r="C30" i="2"/>
  <c r="I30" i="2" s="1"/>
  <c r="C31" i="2"/>
  <c r="I31" i="2" s="1"/>
  <c r="C32" i="2"/>
  <c r="I32" i="2" s="1"/>
  <c r="C33" i="2"/>
  <c r="I33" i="2" s="1"/>
  <c r="C34" i="2"/>
  <c r="I34" i="2" s="1"/>
  <c r="C35" i="2"/>
  <c r="I35" i="2" s="1"/>
  <c r="C36" i="2"/>
  <c r="I36" i="2" s="1"/>
  <c r="C37" i="2"/>
  <c r="C25" i="2"/>
  <c r="I25" i="2" s="1"/>
  <c r="J26" i="2"/>
  <c r="J27" i="2"/>
  <c r="J28" i="2"/>
  <c r="J29" i="2"/>
  <c r="J30" i="2"/>
  <c r="J31" i="2"/>
  <c r="J32" i="2"/>
  <c r="J33" i="2"/>
  <c r="J34" i="2"/>
  <c r="J35" i="2"/>
  <c r="J36" i="2"/>
  <c r="J25" i="2"/>
  <c r="D8" i="2"/>
  <c r="E8" i="2" s="1"/>
  <c r="D26" i="2"/>
  <c r="E26" i="2" s="1"/>
  <c r="D27" i="2"/>
  <c r="E27" i="2" s="1"/>
  <c r="D28" i="2"/>
  <c r="E28" i="2" s="1"/>
  <c r="D29" i="2"/>
  <c r="D30" i="2"/>
  <c r="E30" i="2" s="1"/>
  <c r="D31" i="2"/>
  <c r="E31" i="2" s="1"/>
  <c r="D32" i="2"/>
  <c r="E32" i="2" s="1"/>
  <c r="D33" i="2"/>
  <c r="D34" i="2"/>
  <c r="E34" i="2" s="1"/>
  <c r="D35" i="2"/>
  <c r="E35" i="2" s="1"/>
  <c r="D36" i="2"/>
  <c r="E36" i="2" s="1"/>
  <c r="D37" i="2"/>
  <c r="D25" i="2"/>
  <c r="E25" i="2" s="1"/>
  <c r="D9" i="2"/>
  <c r="E9" i="2" s="1"/>
  <c r="D10" i="2"/>
  <c r="E10" i="2" s="1"/>
  <c r="D11" i="2"/>
  <c r="E11" i="2" s="1"/>
  <c r="D12" i="2"/>
  <c r="E12" i="2" s="1"/>
  <c r="D13" i="2"/>
  <c r="E13" i="2" s="1"/>
  <c r="D14" i="2"/>
  <c r="E14" i="2" s="1"/>
  <c r="D15" i="2"/>
  <c r="E15" i="2" s="1"/>
  <c r="D16" i="2"/>
  <c r="E16" i="2" s="1"/>
  <c r="D17" i="2"/>
  <c r="E17" i="2" s="1"/>
  <c r="D18" i="2"/>
  <c r="E18" i="2" s="1"/>
  <c r="D19" i="2"/>
  <c r="E19" i="2" s="1"/>
  <c r="B302" i="1"/>
  <c r="B305" i="1" s="1"/>
  <c r="B219" i="1"/>
  <c r="B252" i="1"/>
  <c r="B29" i="1"/>
  <c r="B28" i="1"/>
  <c r="C43" i="3" s="1"/>
  <c r="B27" i="1"/>
  <c r="C42" i="3" s="1"/>
  <c r="F23" i="1"/>
  <c r="F39" i="3" s="1"/>
  <c r="F22" i="1"/>
  <c r="F21" i="1"/>
  <c r="G23" i="3" s="1"/>
  <c r="G44" i="1" l="1"/>
  <c r="D41" i="1"/>
  <c r="D30" i="3"/>
  <c r="D57" i="3" s="1"/>
  <c r="J12" i="2"/>
  <c r="K12" i="2" s="1"/>
  <c r="G43" i="1"/>
  <c r="G24" i="3"/>
  <c r="D45" i="2"/>
  <c r="J19" i="2"/>
  <c r="K19" i="2" s="1"/>
  <c r="J15" i="2"/>
  <c r="K15" i="2" s="1"/>
  <c r="J11" i="2"/>
  <c r="K11" i="2" s="1"/>
  <c r="J18" i="2"/>
  <c r="K18" i="2" s="1"/>
  <c r="J14" i="2"/>
  <c r="K14" i="2" s="1"/>
  <c r="J10" i="2"/>
  <c r="K10" i="2" s="1"/>
  <c r="J17" i="2"/>
  <c r="K17" i="2" s="1"/>
  <c r="J13" i="2"/>
  <c r="K13" i="2" s="1"/>
  <c r="J9" i="2"/>
  <c r="K9" i="2" s="1"/>
  <c r="J8" i="2"/>
  <c r="K8" i="2" s="1"/>
  <c r="J16" i="2"/>
  <c r="K16" i="2" s="1"/>
  <c r="E21" i="2"/>
  <c r="E37" i="2"/>
  <c r="E33" i="2"/>
  <c r="E29" i="2"/>
  <c r="K34" i="2"/>
  <c r="K30" i="2"/>
  <c r="K26" i="2"/>
  <c r="K25" i="2"/>
  <c r="K33" i="2"/>
  <c r="K29" i="2"/>
  <c r="K36" i="2"/>
  <c r="K32" i="2"/>
  <c r="K28" i="2"/>
  <c r="K35" i="2"/>
  <c r="K31" i="2"/>
  <c r="K27" i="2"/>
  <c r="B115" i="1"/>
  <c r="H204" i="1"/>
  <c r="I210" i="1" s="1"/>
  <c r="C171" i="3" s="1"/>
  <c r="K210" i="1"/>
  <c r="E171" i="3" s="1"/>
  <c r="K208" i="1"/>
  <c r="E169" i="3" s="1"/>
  <c r="F184" i="1"/>
  <c r="C9" i="1"/>
  <c r="F183" i="1"/>
  <c r="B215" i="1"/>
  <c r="F182" i="1" l="1"/>
  <c r="D9" i="3"/>
  <c r="D53" i="3" s="1"/>
  <c r="B96" i="1"/>
  <c r="D87" i="3" s="1"/>
  <c r="K20" i="2"/>
  <c r="E38" i="2"/>
  <c r="K37" i="2"/>
  <c r="I208" i="1"/>
  <c r="C169" i="3" s="1"/>
  <c r="A192" i="1"/>
  <c r="B95" i="1"/>
  <c r="C286" i="1"/>
  <c r="D213" i="1"/>
  <c r="C213" i="1"/>
  <c r="B213" i="1"/>
  <c r="B181" i="1"/>
  <c r="B185" i="1" s="1"/>
  <c r="C150" i="3" s="1"/>
  <c r="D143" i="1" l="1"/>
  <c r="D142" i="1"/>
  <c r="C140" i="1"/>
  <c r="D139" i="1"/>
  <c r="D138" i="1"/>
  <c r="C139" i="1"/>
  <c r="C138" i="1"/>
  <c r="B138" i="1"/>
  <c r="C137" i="1"/>
  <c r="B137" i="1"/>
  <c r="C8" i="1"/>
  <c r="B326" i="1" l="1"/>
  <c r="A338" i="1" s="1"/>
  <c r="B255" i="1"/>
  <c r="C233" i="1"/>
  <c r="B198" i="1"/>
  <c r="B90" i="1"/>
  <c r="B87" i="1"/>
  <c r="B84" i="1"/>
  <c r="B81" i="1"/>
  <c r="B78" i="1"/>
  <c r="B65" i="1"/>
  <c r="B63" i="1"/>
  <c r="B62" i="1"/>
  <c r="A56" i="1"/>
  <c r="C52" i="1"/>
  <c r="C53" i="1" s="1"/>
  <c r="B30" i="1"/>
  <c r="C5" i="1"/>
  <c r="B249" i="1" l="1"/>
  <c r="C195" i="3" s="1"/>
  <c r="F250" i="1"/>
  <c r="C200" i="3" s="1"/>
  <c r="D6" i="3"/>
  <c r="D42" i="1"/>
  <c r="G41" i="1"/>
  <c r="H14" i="1"/>
  <c r="A292" i="1"/>
  <c r="C295" i="1" s="1"/>
  <c r="C49" i="2"/>
  <c r="E45" i="2"/>
  <c r="D49" i="2"/>
  <c r="B114" i="1"/>
  <c r="C131" i="1"/>
  <c r="B154" i="1" s="1"/>
  <c r="E154" i="1" s="1"/>
  <c r="J110" i="3" s="1"/>
  <c r="A189" i="1"/>
  <c r="B100" i="1"/>
  <c r="D89" i="3" s="1"/>
  <c r="B117" i="1"/>
  <c r="A120" i="1" s="1"/>
  <c r="B92" i="1"/>
  <c r="G42" i="1" l="1"/>
  <c r="G45" i="1" s="1"/>
  <c r="G38" i="1"/>
  <c r="C39" i="3"/>
  <c r="D54" i="3" s="1"/>
  <c r="F49" i="2"/>
  <c r="D41" i="2" s="1"/>
  <c r="B97" i="1"/>
  <c r="A123" i="1"/>
  <c r="B223" i="1"/>
  <c r="A195" i="1"/>
  <c r="C155" i="3" s="1"/>
  <c r="I209" i="1" l="1"/>
  <c r="B98" i="1"/>
  <c r="B107" i="1" s="1"/>
  <c r="D88" i="3"/>
  <c r="D92" i="3" s="1"/>
  <c r="D38" i="1"/>
  <c r="D45" i="1"/>
  <c r="C130" i="1" s="1"/>
  <c r="G4" i="2"/>
  <c r="B307" i="1" s="1"/>
  <c r="B125" i="1"/>
  <c r="C132" i="1"/>
  <c r="H205" i="1" l="1"/>
  <c r="C202" i="1" s="1"/>
  <c r="C170" i="3"/>
  <c r="B152" i="1"/>
  <c r="B148" i="1"/>
  <c r="B333" i="1"/>
  <c r="B335" i="1" s="1"/>
  <c r="B310" i="1"/>
  <c r="B313" i="1" s="1"/>
  <c r="B314" i="1" s="1"/>
  <c r="D314" i="1" s="1"/>
  <c r="G5" i="2"/>
  <c r="C203" i="1" l="1"/>
  <c r="C173" i="3"/>
  <c r="H307" i="1"/>
  <c r="H310" i="1" s="1"/>
  <c r="H313" i="1" s="1"/>
  <c r="H314" i="1" s="1"/>
  <c r="J314" i="1" s="1"/>
  <c r="C338" i="1"/>
  <c r="A337" i="1"/>
  <c r="B156" i="1"/>
  <c r="E156" i="1" s="1"/>
  <c r="J112" i="3" s="1"/>
  <c r="B272" i="1" l="1"/>
  <c r="C174" i="3"/>
  <c r="B221" i="1"/>
  <c r="B149" i="1"/>
  <c r="E149" i="1" s="1"/>
  <c r="J105" i="3" s="1"/>
  <c r="B153" i="1"/>
  <c r="E153" i="1" s="1"/>
  <c r="J109" i="3" s="1"/>
  <c r="B155" i="1"/>
  <c r="E155" i="1" s="1"/>
  <c r="J111" i="3" s="1"/>
  <c r="E152" i="1"/>
  <c r="J108" i="3" s="1"/>
  <c r="B151" i="1"/>
  <c r="E151" i="1" s="1"/>
  <c r="J107" i="3" s="1"/>
  <c r="E148" i="1"/>
  <c r="J104" i="3" s="1"/>
  <c r="B150" i="1"/>
  <c r="E150" i="1" s="1"/>
  <c r="J106" i="3" s="1"/>
  <c r="B226" i="1" l="1"/>
  <c r="C226" i="1" s="1"/>
  <c r="B225" i="1"/>
  <c r="C225" i="1" s="1"/>
  <c r="F126" i="3"/>
  <c r="B278" i="1"/>
  <c r="C278" i="1" s="1"/>
  <c r="B281" i="1"/>
  <c r="B288" i="1" s="1"/>
  <c r="A242" i="1"/>
  <c r="C242" i="1"/>
  <c r="B158" i="1"/>
  <c r="B264" i="1" l="1"/>
  <c r="B265" i="1" s="1"/>
  <c r="A164" i="1"/>
  <c r="B159" i="1"/>
  <c r="A266" i="1" l="1"/>
</calcChain>
</file>

<file path=xl/sharedStrings.xml><?xml version="1.0" encoding="utf-8"?>
<sst xmlns="http://schemas.openxmlformats.org/spreadsheetml/2006/main" count="844" uniqueCount="533">
  <si>
    <t xml:space="preserve">Bridge Pedestrian Design </t>
  </si>
  <si>
    <t xml:space="preserve">Geometry: </t>
  </si>
  <si>
    <t xml:space="preserve">Span </t>
  </si>
  <si>
    <t>ft</t>
  </si>
  <si>
    <r>
      <t>Deck width w</t>
    </r>
    <r>
      <rPr>
        <vertAlign val="subscript"/>
        <sz val="12"/>
        <color theme="1"/>
        <rFont val="Calibri (Body)"/>
      </rPr>
      <t xml:space="preserve">deck </t>
    </r>
  </si>
  <si>
    <t xml:space="preserve">ft </t>
  </si>
  <si>
    <t xml:space="preserve">CL-CL trusses </t>
  </si>
  <si>
    <t>=</t>
  </si>
  <si>
    <t xml:space="preserve">ksi </t>
  </si>
  <si>
    <r>
      <t>Steel Type: A500 F</t>
    </r>
    <r>
      <rPr>
        <vertAlign val="subscript"/>
        <sz val="11"/>
        <color theme="1"/>
        <rFont val="Calibri (Body)"/>
      </rPr>
      <t>y</t>
    </r>
  </si>
  <si>
    <t xml:space="preserve">Truss Members: </t>
  </si>
  <si>
    <t>Section: HSS</t>
  </si>
  <si>
    <t>A</t>
  </si>
  <si>
    <t>w</t>
  </si>
  <si>
    <t xml:space="preserve">plf </t>
  </si>
  <si>
    <r>
      <t>in</t>
    </r>
    <r>
      <rPr>
        <vertAlign val="superscript"/>
        <sz val="12"/>
        <color theme="1"/>
        <rFont val="Calibri (Body)"/>
      </rPr>
      <t>2</t>
    </r>
  </si>
  <si>
    <r>
      <t>in</t>
    </r>
    <r>
      <rPr>
        <vertAlign val="superscript"/>
        <sz val="12"/>
        <color rgb="FF000000"/>
        <rFont val="Calibri (Body)"/>
      </rPr>
      <t>2</t>
    </r>
  </si>
  <si>
    <t xml:space="preserve">Diagonals </t>
  </si>
  <si>
    <r>
      <rPr>
        <b/>
        <sz val="12"/>
        <color theme="1"/>
        <rFont val="Calibri"/>
        <family val="2"/>
        <scheme val="minor"/>
      </rPr>
      <t>Floorbeams</t>
    </r>
    <r>
      <rPr>
        <sz val="12"/>
        <color theme="1"/>
        <rFont val="Calibri"/>
        <family val="2"/>
        <scheme val="minor"/>
      </rPr>
      <t xml:space="preserve"> </t>
    </r>
  </si>
  <si>
    <r>
      <t>S</t>
    </r>
    <r>
      <rPr>
        <vertAlign val="subscript"/>
        <sz val="12"/>
        <color theme="1"/>
        <rFont val="Calibri (Body)"/>
      </rPr>
      <t>x</t>
    </r>
  </si>
  <si>
    <t xml:space="preserve">Spacing </t>
  </si>
  <si>
    <t xml:space="preserve">feet after each panel point </t>
  </si>
  <si>
    <r>
      <rPr>
        <i/>
        <sz val="12"/>
        <color theme="1"/>
        <rFont val="Calibri"/>
        <family val="2"/>
        <scheme val="minor"/>
      </rPr>
      <t>I</t>
    </r>
    <r>
      <rPr>
        <vertAlign val="subscript"/>
        <sz val="12"/>
        <color theme="1"/>
        <rFont val="Calibri (Body)"/>
      </rPr>
      <t>x</t>
    </r>
    <r>
      <rPr>
        <sz val="12"/>
        <color theme="1"/>
        <rFont val="Calibri"/>
        <family val="2"/>
        <scheme val="minor"/>
      </rPr>
      <t xml:space="preserve"> = I</t>
    </r>
    <r>
      <rPr>
        <vertAlign val="subscript"/>
        <sz val="12"/>
        <color theme="1"/>
        <rFont val="Calibri (Body)"/>
      </rPr>
      <t>b</t>
    </r>
  </si>
  <si>
    <r>
      <t>in</t>
    </r>
    <r>
      <rPr>
        <vertAlign val="superscript"/>
        <sz val="12"/>
        <color theme="1"/>
        <rFont val="Calibri (Body)"/>
      </rPr>
      <t>4</t>
    </r>
  </si>
  <si>
    <r>
      <t>in</t>
    </r>
    <r>
      <rPr>
        <vertAlign val="superscript"/>
        <sz val="12"/>
        <color theme="1"/>
        <rFont val="Calibri (Body)"/>
      </rPr>
      <t>3</t>
    </r>
  </si>
  <si>
    <t>Dead Load</t>
  </si>
  <si>
    <t xml:space="preserve">Assumed deck loading </t>
  </si>
  <si>
    <t xml:space="preserve">plf per truss </t>
  </si>
  <si>
    <t xml:space="preserve">psf </t>
  </si>
  <si>
    <t xml:space="preserve">Total dead load </t>
  </si>
  <si>
    <t>Weight of each truss (1)</t>
  </si>
  <si>
    <t>Weight of deck and floor system (2)</t>
  </si>
  <si>
    <t>Rounding</t>
  </si>
  <si>
    <t xml:space="preserve">Pedestrian Live Load </t>
  </si>
  <si>
    <t xml:space="preserve">Live load per truss </t>
  </si>
  <si>
    <t>pedestrian loading x deck width/2</t>
  </si>
  <si>
    <t>Pedestrian loading</t>
  </si>
  <si>
    <t xml:space="preserve">LL/truss </t>
  </si>
  <si>
    <t xml:space="preserve">Main Members: Trusses </t>
  </si>
  <si>
    <t xml:space="preserve">Secondary Members: Deck, Stringers, and Floorbeams </t>
  </si>
  <si>
    <t xml:space="preserve">(without impact) </t>
  </si>
  <si>
    <t xml:space="preserve">Vehicle Load </t>
  </si>
  <si>
    <t xml:space="preserve">Using Table 3.2-1 for Minimum Axle Loads and Spacings </t>
  </si>
  <si>
    <t xml:space="preserve">Front Axle </t>
  </si>
  <si>
    <t xml:space="preserve">Axle Spacing </t>
  </si>
  <si>
    <t>For a deck width over 10 ft., use the H10 Design Vehicle</t>
  </si>
  <si>
    <t xml:space="preserve">kips </t>
  </si>
  <si>
    <t xml:space="preserve">Rear Axle </t>
  </si>
  <si>
    <t xml:space="preserve">Wheel Spacing </t>
  </si>
  <si>
    <t xml:space="preserve">Wind Load </t>
  </si>
  <si>
    <t xml:space="preserve">Assume 105 mph design wind </t>
  </si>
  <si>
    <t xml:space="preserve">Design Life 50 years </t>
  </si>
  <si>
    <t xml:space="preserve">Pz </t>
  </si>
  <si>
    <r>
      <t>P</t>
    </r>
    <r>
      <rPr>
        <vertAlign val="subscript"/>
        <sz val="12"/>
        <color theme="1"/>
        <rFont val="Calibri (Body)"/>
      </rPr>
      <t>z</t>
    </r>
    <r>
      <rPr>
        <sz val="12"/>
        <color theme="1"/>
        <rFont val="Calibri"/>
        <family val="2"/>
        <scheme val="minor"/>
      </rPr>
      <t xml:space="preserve"> </t>
    </r>
  </si>
  <si>
    <t xml:space="preserve">design wind pressure (psf) </t>
  </si>
  <si>
    <r>
      <t>0.00256K</t>
    </r>
    <r>
      <rPr>
        <vertAlign val="subscript"/>
        <sz val="12"/>
        <color theme="1"/>
        <rFont val="Calibri (Body)"/>
      </rPr>
      <t>z</t>
    </r>
    <r>
      <rPr>
        <sz val="12"/>
        <color theme="1"/>
        <rFont val="Calibri (Body)"/>
      </rPr>
      <t>GV</t>
    </r>
    <r>
      <rPr>
        <vertAlign val="superscript"/>
        <sz val="12"/>
        <color theme="1"/>
        <rFont val="Calibri (Body)"/>
      </rPr>
      <t>2</t>
    </r>
    <r>
      <rPr>
        <sz val="12"/>
        <color theme="1"/>
        <rFont val="Calibri"/>
        <family val="2"/>
        <scheme val="minor"/>
      </rPr>
      <t>I</t>
    </r>
    <r>
      <rPr>
        <vertAlign val="subscript"/>
        <sz val="12"/>
        <color theme="1"/>
        <rFont val="Calibri"/>
        <family val="2"/>
        <scheme val="minor"/>
      </rPr>
      <t>r</t>
    </r>
    <r>
      <rPr>
        <sz val="12"/>
        <color theme="1"/>
        <rFont val="Calibri (Body)"/>
      </rPr>
      <t>C</t>
    </r>
    <r>
      <rPr>
        <vertAlign val="subscript"/>
        <sz val="12"/>
        <color theme="1"/>
        <rFont val="Calibri (Body)"/>
      </rPr>
      <t>d</t>
    </r>
  </si>
  <si>
    <r>
      <t>K</t>
    </r>
    <r>
      <rPr>
        <vertAlign val="subscript"/>
        <sz val="12"/>
        <color theme="1"/>
        <rFont val="Calibri (Body)"/>
      </rPr>
      <t>z</t>
    </r>
  </si>
  <si>
    <t>height and exposure factor from AASHTO Signs, Eq. C3-1 or Table 3-5</t>
  </si>
  <si>
    <t>G</t>
  </si>
  <si>
    <t xml:space="preserve">gust effect factor </t>
  </si>
  <si>
    <t xml:space="preserve">(minimum) </t>
  </si>
  <si>
    <t>V</t>
  </si>
  <si>
    <t xml:space="preserve">basic wind velocity </t>
  </si>
  <si>
    <t xml:space="preserve">mph </t>
  </si>
  <si>
    <r>
      <t>I</t>
    </r>
    <r>
      <rPr>
        <vertAlign val="subscript"/>
        <sz val="12"/>
        <color theme="1"/>
        <rFont val="Calibri (Body)"/>
      </rPr>
      <t>r</t>
    </r>
  </si>
  <si>
    <t xml:space="preserve">wind importance factor </t>
  </si>
  <si>
    <r>
      <t>C</t>
    </r>
    <r>
      <rPr>
        <vertAlign val="subscript"/>
        <sz val="12"/>
        <color theme="1"/>
        <rFont val="Calibri (Body)"/>
      </rPr>
      <t>d</t>
    </r>
  </si>
  <si>
    <t xml:space="preserve">wind drag coefficient </t>
  </si>
  <si>
    <t xml:space="preserve">Project Vertical Area per linear foot </t>
  </si>
  <si>
    <t xml:space="preserve">Horizontal Wind Loading </t>
  </si>
  <si>
    <t>Chords</t>
  </si>
  <si>
    <t xml:space="preserve">Verticals </t>
  </si>
  <si>
    <t xml:space="preserve">Deck + Stringers </t>
  </si>
  <si>
    <r>
      <t>WS</t>
    </r>
    <r>
      <rPr>
        <vertAlign val="subscript"/>
        <sz val="12"/>
        <color theme="1"/>
        <rFont val="Calibri (Body)"/>
      </rPr>
      <t>H</t>
    </r>
  </si>
  <si>
    <t xml:space="preserve">total horizontal wind of superstructure (plf) </t>
  </si>
  <si>
    <t xml:space="preserve">Vertical Wind Loading </t>
  </si>
  <si>
    <r>
      <t>WS</t>
    </r>
    <r>
      <rPr>
        <vertAlign val="subscript"/>
        <sz val="12"/>
        <color theme="1"/>
        <rFont val="Calibri (Body)"/>
      </rPr>
      <t>V</t>
    </r>
  </si>
  <si>
    <t>vertical wind load on the full projected area of the superstructure applied at the windward quarter point, plf</t>
  </si>
  <si>
    <r>
      <t>P</t>
    </r>
    <r>
      <rPr>
        <vertAlign val="subscript"/>
        <sz val="12"/>
        <color theme="1"/>
        <rFont val="Calibri (Body)"/>
      </rPr>
      <t>v</t>
    </r>
    <r>
      <rPr>
        <sz val="12"/>
        <color theme="1"/>
        <rFont val="Calibri"/>
        <family val="2"/>
        <scheme val="minor"/>
      </rPr>
      <t>*w</t>
    </r>
    <r>
      <rPr>
        <vertAlign val="subscript"/>
        <sz val="12"/>
        <color theme="1"/>
        <rFont val="Calibri (Body)"/>
      </rPr>
      <t>deck</t>
    </r>
  </si>
  <si>
    <r>
      <t>w</t>
    </r>
    <r>
      <rPr>
        <vertAlign val="subscript"/>
        <sz val="12"/>
        <color theme="1"/>
        <rFont val="Calibri (Body)"/>
      </rPr>
      <t xml:space="preserve">deck </t>
    </r>
  </si>
  <si>
    <r>
      <t>P</t>
    </r>
    <r>
      <rPr>
        <vertAlign val="subscript"/>
        <sz val="12"/>
        <color theme="1"/>
        <rFont val="Calibri (Body)"/>
      </rPr>
      <t>v</t>
    </r>
  </si>
  <si>
    <t xml:space="preserve">ksf </t>
  </si>
  <si>
    <t xml:space="preserve">Vertical Load on leeward truss </t>
  </si>
  <si>
    <t>Total Vertical Loads per Trusss</t>
  </si>
  <si>
    <t xml:space="preserve">Dead Loads (DC1+DC2) </t>
  </si>
  <si>
    <t>Live Loads (PL)</t>
  </si>
  <si>
    <t xml:space="preserve">Wind (WS) </t>
  </si>
  <si>
    <t>Load Factors (AASHTO LRFD Table 3.4.1-1)</t>
  </si>
  <si>
    <t xml:space="preserve">Truss Member Design Loads </t>
  </si>
  <si>
    <t xml:space="preserve">Panel point load from controlling load combination </t>
  </si>
  <si>
    <t xml:space="preserve">Maximum Truss Member Axial Loads (separate Truss analysis) </t>
  </si>
  <si>
    <t xml:space="preserve">End Post </t>
  </si>
  <si>
    <t xml:space="preserve">Diagonal </t>
  </si>
  <si>
    <t xml:space="preserve">Vertical </t>
  </si>
  <si>
    <t xml:space="preserve">where </t>
  </si>
  <si>
    <t>ksi</t>
  </si>
  <si>
    <t xml:space="preserve">Truss Top Chord Lateral Support </t>
  </si>
  <si>
    <r>
      <t>CL/P</t>
    </r>
    <r>
      <rPr>
        <vertAlign val="subscript"/>
        <sz val="12"/>
        <color theme="1"/>
        <rFont val="Calibri (Body)"/>
      </rPr>
      <t>C</t>
    </r>
  </si>
  <si>
    <t>C=</t>
  </si>
  <si>
    <t>P/Δ</t>
  </si>
  <si>
    <t>L</t>
  </si>
  <si>
    <t>unbraced length of the chord in compression (i.e. length between panel</t>
  </si>
  <si>
    <t>points), in.</t>
  </si>
  <si>
    <r>
      <t>P</t>
    </r>
    <r>
      <rPr>
        <vertAlign val="subscript"/>
        <sz val="12"/>
        <color theme="1"/>
        <rFont val="Calibri (Body)"/>
      </rPr>
      <t>C</t>
    </r>
  </si>
  <si>
    <t>desired critical buckling load (i.e. factored compressive force) multiplied by 1.33, k  (Specification, Article 7.1.2)</t>
  </si>
  <si>
    <t xml:space="preserve">(C is transverse frame spring constant) </t>
  </si>
  <si>
    <t>n</t>
  </si>
  <si>
    <t xml:space="preserve">number of panels </t>
  </si>
  <si>
    <t>1/K</t>
  </si>
  <si>
    <t xml:space="preserve">(Specification, by interpolation of Table 7.1.2-1) </t>
  </si>
  <si>
    <t xml:space="preserve">K </t>
  </si>
  <si>
    <t xml:space="preserve">Top Chord Compressive Resistance </t>
  </si>
  <si>
    <t xml:space="preserve">Main members </t>
  </si>
  <si>
    <t xml:space="preserve">KL/r ≤ 120 </t>
  </si>
  <si>
    <t xml:space="preserve">Bracing members </t>
  </si>
  <si>
    <t xml:space="preserve">KL/r ≤ 140 </t>
  </si>
  <si>
    <t>Check the slenderness ratio against the limiting value.</t>
  </si>
  <si>
    <t xml:space="preserve">Section: </t>
  </si>
  <si>
    <r>
      <t>r</t>
    </r>
    <r>
      <rPr>
        <vertAlign val="subscript"/>
        <sz val="12"/>
        <color theme="1"/>
        <rFont val="Calibri (Body)"/>
      </rPr>
      <t>x</t>
    </r>
  </si>
  <si>
    <t xml:space="preserve">in </t>
  </si>
  <si>
    <r>
      <t>r</t>
    </r>
    <r>
      <rPr>
        <vertAlign val="subscript"/>
        <sz val="12"/>
        <color theme="1"/>
        <rFont val="Calibri (Body)"/>
      </rPr>
      <t>y</t>
    </r>
  </si>
  <si>
    <t>K</t>
  </si>
  <si>
    <r>
      <t>KL/r</t>
    </r>
    <r>
      <rPr>
        <vertAlign val="subscript"/>
        <sz val="12"/>
        <color theme="1"/>
        <rFont val="Calibri (Body)"/>
      </rPr>
      <t>x</t>
    </r>
  </si>
  <si>
    <r>
      <t>KL/r</t>
    </r>
    <r>
      <rPr>
        <vertAlign val="subscript"/>
        <sz val="12"/>
        <color theme="1"/>
        <rFont val="Calibri (Body)"/>
      </rPr>
      <t>y</t>
    </r>
  </si>
  <si>
    <r>
      <t>P</t>
    </r>
    <r>
      <rPr>
        <vertAlign val="subscript"/>
        <sz val="12"/>
        <color theme="1"/>
        <rFont val="Calibri (Body)"/>
      </rPr>
      <t>r</t>
    </r>
  </si>
  <si>
    <t xml:space="preserve">factored resistance of components in compression (K) </t>
  </si>
  <si>
    <r>
      <t>f</t>
    </r>
    <r>
      <rPr>
        <vertAlign val="subscript"/>
        <sz val="10"/>
        <rFont val="Arial"/>
        <family val="2"/>
      </rPr>
      <t>c</t>
    </r>
    <r>
      <rPr>
        <sz val="12"/>
        <color theme="1"/>
        <rFont val="Calibri"/>
        <family val="2"/>
        <scheme val="minor"/>
      </rPr>
      <t xml:space="preserve"> P</t>
    </r>
    <r>
      <rPr>
        <vertAlign val="subscript"/>
        <sz val="12"/>
        <color theme="1"/>
        <rFont val="Calibri (Body)"/>
      </rPr>
      <t>n</t>
    </r>
  </si>
  <si>
    <r>
      <t>f</t>
    </r>
    <r>
      <rPr>
        <vertAlign val="subscript"/>
        <sz val="10"/>
        <rFont val="Arial"/>
        <family val="2"/>
      </rPr>
      <t>c</t>
    </r>
    <r>
      <rPr>
        <sz val="10"/>
        <rFont val="Arial"/>
        <family val="2"/>
      </rPr>
      <t xml:space="preserve"> =</t>
    </r>
  </si>
  <si>
    <t>resistance factor for compressive per AASHTO LRFD, Article 6.5.4.2</t>
  </si>
  <si>
    <t>nominal compressive resistance per AASHTO LRFD, Article 6.9.4, k</t>
  </si>
  <si>
    <r>
      <t>P</t>
    </r>
    <r>
      <rPr>
        <vertAlign val="subscript"/>
        <sz val="12"/>
        <color theme="1"/>
        <rFont val="Calibri (Body)"/>
      </rPr>
      <t xml:space="preserve">n </t>
    </r>
    <r>
      <rPr>
        <sz val="12"/>
        <color theme="1"/>
        <rFont val="Calibri"/>
        <family val="2"/>
        <scheme val="minor"/>
      </rPr>
      <t>=</t>
    </r>
  </si>
  <si>
    <r>
      <t>Determine the nominal compressive resistance, P</t>
    </r>
    <r>
      <rPr>
        <vertAlign val="subscript"/>
        <sz val="12"/>
        <color theme="1"/>
        <rFont val="Calibri (Body)"/>
      </rPr>
      <t>n</t>
    </r>
  </si>
  <si>
    <r>
      <t xml:space="preserve">If </t>
    </r>
    <r>
      <rPr>
        <sz val="10"/>
        <rFont val="Symbol"/>
        <family val="1"/>
        <charset val="2"/>
      </rPr>
      <t>l</t>
    </r>
    <r>
      <rPr>
        <sz val="12"/>
        <color theme="1"/>
        <rFont val="Calibri"/>
        <family val="2"/>
        <scheme val="minor"/>
      </rPr>
      <t xml:space="preserve"> </t>
    </r>
    <r>
      <rPr>
        <sz val="10"/>
        <rFont val="Symbol"/>
        <family val="1"/>
        <charset val="2"/>
      </rPr>
      <t>£</t>
    </r>
    <r>
      <rPr>
        <sz val="12"/>
        <color theme="1"/>
        <rFont val="Calibri"/>
        <family val="2"/>
        <scheme val="minor"/>
      </rPr>
      <t xml:space="preserve"> 2.25, then:</t>
    </r>
  </si>
  <si>
    <r>
      <t xml:space="preserve">    P</t>
    </r>
    <r>
      <rPr>
        <vertAlign val="subscript"/>
        <sz val="10"/>
        <rFont val="Arial"/>
        <family val="2"/>
      </rPr>
      <t>n</t>
    </r>
    <r>
      <rPr>
        <sz val="12"/>
        <color theme="1"/>
        <rFont val="Calibri"/>
        <family val="2"/>
        <scheme val="minor"/>
      </rPr>
      <t xml:space="preserve"> = 0.66</t>
    </r>
    <r>
      <rPr>
        <vertAlign val="superscript"/>
        <sz val="10"/>
        <rFont val="Symbol"/>
        <family val="1"/>
        <charset val="2"/>
      </rPr>
      <t>l</t>
    </r>
    <r>
      <rPr>
        <sz val="12"/>
        <color theme="1"/>
        <rFont val="Calibri"/>
        <family val="2"/>
        <scheme val="minor"/>
      </rPr>
      <t>F</t>
    </r>
    <r>
      <rPr>
        <vertAlign val="subscript"/>
        <sz val="10"/>
        <rFont val="Arial"/>
        <family val="2"/>
      </rPr>
      <t>y</t>
    </r>
    <r>
      <rPr>
        <sz val="12"/>
        <color theme="1"/>
        <rFont val="Calibri"/>
        <family val="2"/>
        <scheme val="minor"/>
      </rPr>
      <t>A</t>
    </r>
    <r>
      <rPr>
        <vertAlign val="subscript"/>
        <sz val="10"/>
        <rFont val="Arial"/>
        <family val="2"/>
      </rPr>
      <t>s</t>
    </r>
  </si>
  <si>
    <r>
      <t xml:space="preserve">If </t>
    </r>
    <r>
      <rPr>
        <sz val="10"/>
        <rFont val="Symbol"/>
        <family val="1"/>
        <charset val="2"/>
      </rPr>
      <t>l</t>
    </r>
    <r>
      <rPr>
        <sz val="12"/>
        <color theme="1"/>
        <rFont val="Calibri"/>
        <family val="2"/>
        <scheme val="minor"/>
      </rPr>
      <t xml:space="preserve"> &gt; 2.25, then:</t>
    </r>
  </si>
  <si>
    <r>
      <t xml:space="preserve">    P</t>
    </r>
    <r>
      <rPr>
        <vertAlign val="subscript"/>
        <sz val="10"/>
        <rFont val="Arial"/>
        <family val="2"/>
      </rPr>
      <t>n</t>
    </r>
    <r>
      <rPr>
        <sz val="12"/>
        <color theme="1"/>
        <rFont val="Calibri"/>
        <family val="2"/>
        <scheme val="minor"/>
      </rPr>
      <t xml:space="preserve"> =</t>
    </r>
  </si>
  <si>
    <r>
      <t>l</t>
    </r>
    <r>
      <rPr>
        <sz val="12"/>
        <color theme="1"/>
        <rFont val="Calibri"/>
        <family val="2"/>
        <scheme val="minor"/>
      </rPr>
      <t xml:space="preserve"> =</t>
    </r>
  </si>
  <si>
    <r>
      <t>A</t>
    </r>
    <r>
      <rPr>
        <vertAlign val="subscript"/>
        <sz val="10"/>
        <rFont val="Arial"/>
        <family val="2"/>
      </rPr>
      <t>s</t>
    </r>
    <r>
      <rPr>
        <sz val="12"/>
        <color theme="1"/>
        <rFont val="Calibri"/>
        <family val="2"/>
        <scheme val="minor"/>
      </rPr>
      <t xml:space="preserve"> =</t>
    </r>
  </si>
  <si>
    <r>
      <t>gross cross-sectional area, in</t>
    </r>
    <r>
      <rPr>
        <vertAlign val="superscript"/>
        <sz val="10"/>
        <rFont val="Arial"/>
        <family val="2"/>
      </rPr>
      <t>2</t>
    </r>
  </si>
  <si>
    <r>
      <t>in</t>
    </r>
    <r>
      <rPr>
        <vertAlign val="superscript"/>
        <sz val="10"/>
        <rFont val="Arial"/>
        <family val="2"/>
      </rPr>
      <t>2</t>
    </r>
  </si>
  <si>
    <r>
      <t>F</t>
    </r>
    <r>
      <rPr>
        <vertAlign val="subscript"/>
        <sz val="10"/>
        <rFont val="Arial"/>
        <family val="2"/>
      </rPr>
      <t>y</t>
    </r>
    <r>
      <rPr>
        <sz val="12"/>
        <color theme="1"/>
        <rFont val="Calibri"/>
        <family val="2"/>
        <scheme val="minor"/>
      </rPr>
      <t xml:space="preserve"> =</t>
    </r>
  </si>
  <si>
    <t>specified minimum yield strength, ksi</t>
  </si>
  <si>
    <t>E =</t>
  </si>
  <si>
    <t>modulus of elasticity, ksi</t>
  </si>
  <si>
    <r>
      <t>KL/r</t>
    </r>
    <r>
      <rPr>
        <vertAlign val="subscript"/>
        <sz val="10"/>
        <rFont val="Arial"/>
        <family val="2"/>
      </rPr>
      <t>s</t>
    </r>
    <r>
      <rPr>
        <sz val="12"/>
        <color theme="1"/>
        <rFont val="Calibri"/>
        <family val="2"/>
        <scheme val="minor"/>
      </rPr>
      <t xml:space="preserve"> =</t>
    </r>
  </si>
  <si>
    <r>
      <t>Maximum of KL/r</t>
    </r>
    <r>
      <rPr>
        <vertAlign val="subscript"/>
        <sz val="10"/>
        <rFont val="Arial"/>
        <family val="2"/>
      </rPr>
      <t>x</t>
    </r>
    <r>
      <rPr>
        <sz val="12"/>
        <color theme="1"/>
        <rFont val="Calibri"/>
        <family val="2"/>
        <scheme val="minor"/>
      </rPr>
      <t>,KL/r</t>
    </r>
    <r>
      <rPr>
        <vertAlign val="subscript"/>
        <sz val="10"/>
        <rFont val="Arial"/>
        <family val="2"/>
      </rPr>
      <t>y</t>
    </r>
  </si>
  <si>
    <r>
      <t>P</t>
    </r>
    <r>
      <rPr>
        <vertAlign val="subscript"/>
        <sz val="10"/>
        <rFont val="Arial"/>
        <family val="2"/>
      </rPr>
      <t>n</t>
    </r>
    <r>
      <rPr>
        <sz val="12"/>
        <color theme="1"/>
        <rFont val="Calibri"/>
        <family val="2"/>
        <scheme val="minor"/>
      </rPr>
      <t xml:space="preserve"> =</t>
    </r>
  </si>
  <si>
    <t xml:space="preserve">Top Chord Resistance </t>
  </si>
  <si>
    <t xml:space="preserve">Lateral Force to be Resisted by Verticals </t>
  </si>
  <si>
    <r>
      <t>H</t>
    </r>
    <r>
      <rPr>
        <vertAlign val="subscript"/>
        <sz val="12"/>
        <color theme="1"/>
        <rFont val="Calibri (Body)"/>
      </rPr>
      <t>f</t>
    </r>
  </si>
  <si>
    <t xml:space="preserve">minimum lateral force, K </t>
  </si>
  <si>
    <r>
      <t>.01/k*P</t>
    </r>
    <r>
      <rPr>
        <vertAlign val="subscript"/>
        <sz val="12"/>
        <color theme="1"/>
        <rFont val="Calibri (Body)"/>
      </rPr>
      <t>avg</t>
    </r>
  </si>
  <si>
    <t>k</t>
  </si>
  <si>
    <r>
      <t>P</t>
    </r>
    <r>
      <rPr>
        <vertAlign val="subscript"/>
        <sz val="12"/>
        <color theme="1"/>
        <rFont val="Calibri (Body)"/>
      </rPr>
      <t xml:space="preserve">avg </t>
    </r>
  </si>
  <si>
    <t>average design compressive force in adjacent chord members, k</t>
  </si>
  <si>
    <t xml:space="preserve">Therefore, </t>
  </si>
  <si>
    <t xml:space="preserve">Verify Limit </t>
  </si>
  <si>
    <t>.01/K</t>
  </si>
  <si>
    <t>Apply Hf as the lateral force at the top of the Truss Verticals.  Apply Hf concurrently with other primary forces in the Verticals (combined compression plus bending analysis).  Include lateral wind forces for AASHTO LRFD Load Combination Strength III.</t>
  </si>
  <si>
    <t xml:space="preserve">Length of vertical </t>
  </si>
  <si>
    <t xml:space="preserve">Lateral moment in vertical due to C </t>
  </si>
  <si>
    <t xml:space="preserve">k-in </t>
  </si>
  <si>
    <t xml:space="preserve">Deflection </t>
  </si>
  <si>
    <t xml:space="preserve">Truss Analysis LL Deflection </t>
  </si>
  <si>
    <t xml:space="preserve">Vibrations </t>
  </si>
  <si>
    <t>Estimate the fundamental frequency in the vertical direction, f, by approximating the truss as a simply supported uniform beam:</t>
  </si>
  <si>
    <t>The fundamental frequency in a vertical mode without consideration of live load should be greater than 3.0 Hz to avoid the first harmonic.</t>
  </si>
  <si>
    <r>
      <t xml:space="preserve">f  =  0.18*SQRT(g / </t>
    </r>
    <r>
      <rPr>
        <sz val="10"/>
        <rFont val="Symbol"/>
        <family val="1"/>
        <charset val="2"/>
      </rPr>
      <t>D</t>
    </r>
    <r>
      <rPr>
        <vertAlign val="subscript"/>
        <sz val="10"/>
        <rFont val="Arial"/>
        <family val="2"/>
      </rPr>
      <t>DL</t>
    </r>
    <r>
      <rPr>
        <sz val="12"/>
        <color theme="1"/>
        <rFont val="Calibri"/>
        <family val="2"/>
        <scheme val="minor"/>
      </rPr>
      <t>)</t>
    </r>
  </si>
  <si>
    <r>
      <t>acceleration due to gravity, ft/s</t>
    </r>
    <r>
      <rPr>
        <vertAlign val="superscript"/>
        <sz val="10"/>
        <rFont val="Arial"/>
        <family val="2"/>
      </rPr>
      <t>2</t>
    </r>
  </si>
  <si>
    <r>
      <t>ft/s</t>
    </r>
    <r>
      <rPr>
        <vertAlign val="superscript"/>
        <sz val="10"/>
        <rFont val="Arial"/>
        <family val="2"/>
      </rPr>
      <t>2</t>
    </r>
  </si>
  <si>
    <r>
      <t>D</t>
    </r>
    <r>
      <rPr>
        <vertAlign val="subscript"/>
        <sz val="10"/>
        <rFont val="Arial"/>
        <family val="2"/>
      </rPr>
      <t>DL</t>
    </r>
    <r>
      <rPr>
        <sz val="12"/>
        <color theme="1"/>
        <rFont val="Calibri"/>
        <family val="2"/>
        <scheme val="minor"/>
      </rPr>
      <t xml:space="preserve"> =</t>
    </r>
  </si>
  <si>
    <t>g=</t>
  </si>
  <si>
    <t>maximum vertical deflection of the truss due to the dead load, ft.</t>
  </si>
  <si>
    <t xml:space="preserve">(Separate analysis) </t>
  </si>
  <si>
    <t>f</t>
  </si>
  <si>
    <t xml:space="preserve">Hz </t>
  </si>
  <si>
    <t xml:space="preserve"> The bridge should be proportioned such that the following criteria is satisfied:</t>
  </si>
  <si>
    <r>
      <t xml:space="preserve">f  </t>
    </r>
    <r>
      <rPr>
        <sz val="10"/>
        <rFont val="Symbol"/>
        <family val="1"/>
        <charset val="2"/>
      </rPr>
      <t>³</t>
    </r>
    <r>
      <rPr>
        <sz val="10"/>
        <rFont val="Arial"/>
        <family val="2"/>
      </rPr>
      <t xml:space="preserve"> </t>
    </r>
    <r>
      <rPr>
        <sz val="12"/>
        <color theme="1"/>
        <rFont val="Calibri"/>
        <family val="2"/>
        <scheme val="minor"/>
      </rPr>
      <t xml:space="preserve"> 2.86 ln (180 / W)</t>
    </r>
  </si>
  <si>
    <t>W=</t>
  </si>
  <si>
    <t>full weight of the supported structure including dead load and an allowance for actual pedestrian live load, k</t>
  </si>
  <si>
    <t>&gt;3Hz</t>
  </si>
  <si>
    <t xml:space="preserve">Total per Truss </t>
  </si>
  <si>
    <t>Strength 1</t>
  </si>
  <si>
    <t>Strength 3</t>
  </si>
  <si>
    <t xml:space="preserve">Service 1 </t>
  </si>
  <si>
    <t>Serivce 2</t>
  </si>
  <si>
    <t>Serivce 3</t>
  </si>
  <si>
    <t>Service 4</t>
  </si>
  <si>
    <t>Fatigue 1</t>
  </si>
  <si>
    <t>Extreme Event 1</t>
  </si>
  <si>
    <t>Extreme Event 2</t>
  </si>
  <si>
    <t xml:space="preserve">Limit State </t>
  </si>
  <si>
    <t>DC1+DC2</t>
  </si>
  <si>
    <t>PL</t>
  </si>
  <si>
    <t xml:space="preserve">WS </t>
  </si>
  <si>
    <t xml:space="preserve">Rounded: </t>
  </si>
  <si>
    <t>Controlling Load:</t>
  </si>
  <si>
    <t xml:space="preserve">Unrounded: </t>
  </si>
  <si>
    <t xml:space="preserve">Sum Check: </t>
  </si>
  <si>
    <t>k/panel</t>
  </si>
  <si>
    <t xml:space="preserve">Vertical Load on windward truss (uplift) </t>
  </si>
  <si>
    <t xml:space="preserve">Top  Chords </t>
  </si>
  <si>
    <t xml:space="preserve">Bottom Chords </t>
  </si>
  <si>
    <t>Verticals</t>
  </si>
  <si>
    <t xml:space="preserve">Truss Height at Center </t>
  </si>
  <si>
    <t>Length</t>
  </si>
  <si>
    <t xml:space="preserve">plf per truss (unrounded) </t>
  </si>
  <si>
    <t xml:space="preserve">Top Chords </t>
  </si>
  <si>
    <t>Bottom Chords</t>
  </si>
  <si>
    <t>E</t>
  </si>
  <si>
    <t xml:space="preserve">effective vertical height </t>
  </si>
  <si>
    <r>
      <t>Floorbeam I</t>
    </r>
    <r>
      <rPr>
        <vertAlign val="subscript"/>
        <sz val="12"/>
        <color theme="1"/>
        <rFont val="Calibri (Body)"/>
      </rPr>
      <t>b</t>
    </r>
  </si>
  <si>
    <r>
      <t>Vertical I</t>
    </r>
    <r>
      <rPr>
        <vertAlign val="subscript"/>
        <sz val="12"/>
        <color theme="1"/>
        <rFont val="Calibri (Body)"/>
      </rPr>
      <t>c</t>
    </r>
  </si>
  <si>
    <r>
      <t>I</t>
    </r>
    <r>
      <rPr>
        <vertAlign val="subscript"/>
        <sz val="12"/>
        <color theme="1"/>
        <rFont val="Calibri (Body)"/>
      </rPr>
      <t>c</t>
    </r>
  </si>
  <si>
    <t>k/in</t>
  </si>
  <si>
    <t>C</t>
  </si>
  <si>
    <t xml:space="preserve">MAX: </t>
  </si>
  <si>
    <t xml:space="preserve">k </t>
  </si>
  <si>
    <t>&gt;</t>
  </si>
  <si>
    <t>in</t>
  </si>
  <si>
    <t xml:space="preserve">Interpolation Calculation: </t>
  </si>
  <si>
    <t>n=12</t>
  </si>
  <si>
    <t>n=14</t>
  </si>
  <si>
    <t>span (b)</t>
  </si>
  <si>
    <t xml:space="preserve">1/k </t>
  </si>
  <si>
    <t xml:space="preserve">Y3 </t>
  </si>
  <si>
    <t xml:space="preserve">Y2 </t>
  </si>
  <si>
    <t>X1</t>
  </si>
  <si>
    <t xml:space="preserve">X2 </t>
  </si>
  <si>
    <t xml:space="preserve">X3 </t>
  </si>
  <si>
    <t>X3</t>
  </si>
  <si>
    <t xml:space="preserve">Y1 </t>
  </si>
  <si>
    <t>?</t>
  </si>
  <si>
    <t xml:space="preserve">n=13 (Y2) </t>
  </si>
  <si>
    <t>Table Values</t>
  </si>
  <si>
    <t xml:space="preserve">Floorbeams (3) </t>
  </si>
  <si>
    <t xml:space="preserve">therefore, 1+2+3 yields total </t>
  </si>
  <si>
    <t xml:space="preserve">klf </t>
  </si>
  <si>
    <t>Section: W10x30</t>
  </si>
  <si>
    <t>Force</t>
  </si>
  <si>
    <t>Associated delta</t>
  </si>
  <si>
    <t xml:space="preserve">Bridge weight (w) </t>
  </si>
  <si>
    <t>g</t>
  </si>
  <si>
    <t>m</t>
  </si>
  <si>
    <t>Omega</t>
  </si>
  <si>
    <t xml:space="preserve">Bridge Weight </t>
  </si>
  <si>
    <t>TC1</t>
  </si>
  <si>
    <t>TC2</t>
  </si>
  <si>
    <t>TC3</t>
  </si>
  <si>
    <t>TC4</t>
  </si>
  <si>
    <t>TC5</t>
  </si>
  <si>
    <t>TC6</t>
  </si>
  <si>
    <t>TC7</t>
  </si>
  <si>
    <t>TC8</t>
  </si>
  <si>
    <t>TC9</t>
  </si>
  <si>
    <t>TC10</t>
  </si>
  <si>
    <t>TC11</t>
  </si>
  <si>
    <t>TC12</t>
  </si>
  <si>
    <t>TC13</t>
  </si>
  <si>
    <t>BC1</t>
  </si>
  <si>
    <t>BC2</t>
  </si>
  <si>
    <t>BC3</t>
  </si>
  <si>
    <t>BC4</t>
  </si>
  <si>
    <t>BC5</t>
  </si>
  <si>
    <t>BC6</t>
  </si>
  <si>
    <t>BC7</t>
  </si>
  <si>
    <t>BC8</t>
  </si>
  <si>
    <t>BC9</t>
  </si>
  <si>
    <t>BC10</t>
  </si>
  <si>
    <t>BC11</t>
  </si>
  <si>
    <t>BC12</t>
  </si>
  <si>
    <t>BC13</t>
  </si>
  <si>
    <t>V1</t>
  </si>
  <si>
    <t>V2</t>
  </si>
  <si>
    <t>V3</t>
  </si>
  <si>
    <t>V4</t>
  </si>
  <si>
    <t>V5</t>
  </si>
  <si>
    <t>V6</t>
  </si>
  <si>
    <t>V7</t>
  </si>
  <si>
    <t>V8</t>
  </si>
  <si>
    <t>V9</t>
  </si>
  <si>
    <t>V10</t>
  </si>
  <si>
    <t>V11</t>
  </si>
  <si>
    <t>V12</t>
  </si>
  <si>
    <t>D1</t>
  </si>
  <si>
    <t>D2</t>
  </si>
  <si>
    <t>D3</t>
  </si>
  <si>
    <t>D4</t>
  </si>
  <si>
    <t>D5</t>
  </si>
  <si>
    <t>D6</t>
  </si>
  <si>
    <t>D7</t>
  </si>
  <si>
    <t>D8</t>
  </si>
  <si>
    <t>D9</t>
  </si>
  <si>
    <t>D10</t>
  </si>
  <si>
    <t>D11</t>
  </si>
  <si>
    <t>D12</t>
  </si>
  <si>
    <t>member</t>
  </si>
  <si>
    <t xml:space="preserve">length </t>
  </si>
  <si>
    <t>nominal w</t>
  </si>
  <si>
    <t xml:space="preserve">total w </t>
  </si>
  <si>
    <t>length</t>
  </si>
  <si>
    <t xml:space="preserve">nominal w </t>
  </si>
  <si>
    <t xml:space="preserve">member </t>
  </si>
  <si>
    <t>TOTAL</t>
  </si>
  <si>
    <t xml:space="preserve">length (ft) </t>
  </si>
  <si>
    <t xml:space="preserve">nominal w (lb) </t>
  </si>
  <si>
    <t xml:space="preserve">Floorbeams </t>
  </si>
  <si>
    <t>Member #</t>
  </si>
  <si>
    <t>Width</t>
  </si>
  <si>
    <t xml:space="preserve">Nominal w </t>
  </si>
  <si>
    <t xml:space="preserve">Decking </t>
  </si>
  <si>
    <t>Nominal w (pcf)</t>
  </si>
  <si>
    <t xml:space="preserve">Thickness </t>
  </si>
  <si>
    <r>
      <t>ft/s</t>
    </r>
    <r>
      <rPr>
        <vertAlign val="superscript"/>
        <sz val="12"/>
        <color theme="1"/>
        <rFont val="Calibri (Body)"/>
      </rPr>
      <t>2</t>
    </r>
  </si>
  <si>
    <r>
      <t>lbft/s</t>
    </r>
    <r>
      <rPr>
        <vertAlign val="superscript"/>
        <sz val="12"/>
        <color theme="1"/>
        <rFont val="Calibri (Body)"/>
      </rPr>
      <t>2</t>
    </r>
  </si>
  <si>
    <t xml:space="preserve">k/ft </t>
  </si>
  <si>
    <t>Total  w (for 1/2)</t>
  </si>
  <si>
    <t>Total w (for 1/2)</t>
  </si>
  <si>
    <t xml:space="preserve">(1/2 of the bridge) </t>
  </si>
  <si>
    <t>FULL Bridge</t>
  </si>
  <si>
    <t xml:space="preserve">Cross Bracing </t>
  </si>
  <si>
    <t xml:space="preserve">Maximum Ped. LL Deflection = 1/360 of the span length </t>
  </si>
  <si>
    <t xml:space="preserve">Horizontal </t>
  </si>
  <si>
    <t xml:space="preserve">Force </t>
  </si>
  <si>
    <t xml:space="preserve">Associated delta </t>
  </si>
  <si>
    <t xml:space="preserve">Bridge Weight (w) </t>
  </si>
  <si>
    <t xml:space="preserve">g </t>
  </si>
  <si>
    <t xml:space="preserve">Omega </t>
  </si>
  <si>
    <t xml:space="preserve">f </t>
  </si>
  <si>
    <t>&gt;1.3Hz</t>
  </si>
  <si>
    <t>Section W6x12</t>
  </si>
  <si>
    <t xml:space="preserve">Cross Bracing  (Diagonals) </t>
  </si>
  <si>
    <t>Floor Diagonals</t>
  </si>
  <si>
    <t>plf</t>
  </si>
  <si>
    <t xml:space="preserve">height </t>
  </si>
  <si>
    <t>Railing</t>
  </si>
  <si>
    <t xml:space="preserve">Railing: </t>
  </si>
  <si>
    <t>Crossbracing (for h=1/2)</t>
  </si>
  <si>
    <t xml:space="preserve">feet </t>
  </si>
  <si>
    <t>CL-CL trusses</t>
  </si>
  <si>
    <t>Truss Height at Center</t>
  </si>
  <si>
    <t xml:space="preserve">Member Sizes </t>
  </si>
  <si>
    <t>Top Chords</t>
  </si>
  <si>
    <t xml:space="preserve">Crossbracing </t>
  </si>
  <si>
    <t>Area</t>
  </si>
  <si>
    <t xml:space="preserve">Weight </t>
  </si>
  <si>
    <t>Weight</t>
  </si>
  <si>
    <t>Size</t>
  </si>
  <si>
    <t xml:space="preserve">Section: HSS </t>
  </si>
  <si>
    <t xml:space="preserve">Size </t>
  </si>
  <si>
    <t xml:space="preserve">Area </t>
  </si>
  <si>
    <t>Section: W</t>
  </si>
  <si>
    <t>10x30</t>
  </si>
  <si>
    <t>6x12</t>
  </si>
  <si>
    <t xml:space="preserve">Floor beam railing </t>
  </si>
  <si>
    <t xml:space="preserve">Addditional Member Geometry </t>
  </si>
  <si>
    <t xml:space="preserve">Top Chord </t>
  </si>
  <si>
    <t>r</t>
  </si>
  <si>
    <t xml:space="preserve">Bottom Chord </t>
  </si>
  <si>
    <t xml:space="preserve">Length </t>
  </si>
  <si>
    <t>Spacing</t>
  </si>
  <si>
    <t xml:space="preserve">Height </t>
  </si>
  <si>
    <t>Bridge Geometry</t>
  </si>
  <si>
    <t xml:space="preserve">Dead Loads </t>
  </si>
  <si>
    <t xml:space="preserve">Railing </t>
  </si>
  <si>
    <t xml:space="preserve">Weight Per Truss Panel: </t>
  </si>
  <si>
    <t xml:space="preserve">Floor Diagonals  </t>
  </si>
  <si>
    <t>lb</t>
  </si>
  <si>
    <t>Weight Per Truss:</t>
  </si>
  <si>
    <t xml:space="preserve">Total Sum (plf) </t>
  </si>
  <si>
    <t xml:space="preserve">Total Dead Load </t>
  </si>
  <si>
    <t xml:space="preserve">Pedestrain Load (Live) </t>
  </si>
  <si>
    <t xml:space="preserve">Uniform Load </t>
  </si>
  <si>
    <t>(Per Ped. Spec 3.1)</t>
  </si>
  <si>
    <t xml:space="preserve">Tributary width/truss </t>
  </si>
  <si>
    <t xml:space="preserve">Distributed Load </t>
  </si>
  <si>
    <t xml:space="preserve">Vehicle Load (Live) </t>
  </si>
  <si>
    <t xml:space="preserve">Deck width &gt;10 ft </t>
  </si>
  <si>
    <t xml:space="preserve">12.75 &gt; 10 </t>
  </si>
  <si>
    <t xml:space="preserve">For a deck width over  10 ft, use the H10 Design Vehicle </t>
  </si>
  <si>
    <t xml:space="preserve">Variables </t>
  </si>
  <si>
    <t>Kz</t>
  </si>
  <si>
    <t xml:space="preserve">Definition </t>
  </si>
  <si>
    <t xml:space="preserve">Design Wind Pressure </t>
  </si>
  <si>
    <t xml:space="preserve">Gust Effect Factor </t>
  </si>
  <si>
    <t xml:space="preserve">Basic Wind Velocity </t>
  </si>
  <si>
    <t xml:space="preserve">Wind Importance Factor </t>
  </si>
  <si>
    <t xml:space="preserve">Wind Drag Coefficient </t>
  </si>
  <si>
    <r>
      <t>Deck Width w</t>
    </r>
    <r>
      <rPr>
        <vertAlign val="subscript"/>
        <sz val="12"/>
        <color theme="1"/>
        <rFont val="Times New Roman"/>
        <family val="1"/>
      </rPr>
      <t>deck</t>
    </r>
  </si>
  <si>
    <r>
      <t>in</t>
    </r>
    <r>
      <rPr>
        <vertAlign val="superscript"/>
        <sz val="12"/>
        <color rgb="FF000000"/>
        <rFont val="Times New Roman"/>
        <family val="1"/>
      </rPr>
      <t>2</t>
    </r>
  </si>
  <si>
    <r>
      <t>I</t>
    </r>
    <r>
      <rPr>
        <vertAlign val="subscript"/>
        <sz val="12"/>
        <color theme="1"/>
        <rFont val="Times New Roman"/>
        <family val="1"/>
      </rPr>
      <t>c</t>
    </r>
  </si>
  <si>
    <r>
      <t>in</t>
    </r>
    <r>
      <rPr>
        <vertAlign val="superscript"/>
        <sz val="12"/>
        <color theme="1"/>
        <rFont val="Times New Roman"/>
        <family val="1"/>
      </rPr>
      <t>4</t>
    </r>
  </si>
  <si>
    <r>
      <t>I</t>
    </r>
    <r>
      <rPr>
        <vertAlign val="subscript"/>
        <sz val="12"/>
        <color theme="1"/>
        <rFont val="Times New Roman"/>
        <family val="1"/>
      </rPr>
      <t>x</t>
    </r>
  </si>
  <si>
    <r>
      <t>in</t>
    </r>
    <r>
      <rPr>
        <strike/>
        <vertAlign val="superscript"/>
        <sz val="12"/>
        <color theme="1"/>
        <rFont val="Times New Roman"/>
        <family val="1"/>
      </rPr>
      <t>4</t>
    </r>
  </si>
  <si>
    <r>
      <t>S</t>
    </r>
    <r>
      <rPr>
        <vertAlign val="subscript"/>
        <sz val="12"/>
        <color theme="1"/>
        <rFont val="Times New Roman"/>
        <family val="1"/>
      </rPr>
      <t>x</t>
    </r>
  </si>
  <si>
    <r>
      <t>in</t>
    </r>
    <r>
      <rPr>
        <vertAlign val="superscript"/>
        <sz val="12"/>
        <color theme="1"/>
        <rFont val="Times New Roman"/>
        <family val="1"/>
      </rPr>
      <t>3</t>
    </r>
  </si>
  <si>
    <r>
      <t>(W</t>
    </r>
    <r>
      <rPr>
        <vertAlign val="subscript"/>
        <sz val="12"/>
        <color theme="1"/>
        <rFont val="Times New Roman"/>
        <family val="1"/>
      </rPr>
      <t>TC</t>
    </r>
    <r>
      <rPr>
        <sz val="12"/>
        <color theme="1"/>
        <rFont val="Times New Roman"/>
        <family val="1"/>
      </rPr>
      <t>)</t>
    </r>
  </si>
  <si>
    <r>
      <t>Bottom Chord (W</t>
    </r>
    <r>
      <rPr>
        <vertAlign val="subscript"/>
        <sz val="12"/>
        <color theme="1"/>
        <rFont val="Times New Roman"/>
        <family val="1"/>
      </rPr>
      <t>BC)</t>
    </r>
  </si>
  <si>
    <r>
      <t>(W</t>
    </r>
    <r>
      <rPr>
        <vertAlign val="subscript"/>
        <sz val="12"/>
        <color theme="1"/>
        <rFont val="Times New Roman"/>
        <family val="1"/>
      </rPr>
      <t>V)</t>
    </r>
  </si>
  <si>
    <r>
      <t>(W</t>
    </r>
    <r>
      <rPr>
        <vertAlign val="subscript"/>
        <sz val="12"/>
        <color theme="1"/>
        <rFont val="Times New Roman"/>
        <family val="1"/>
      </rPr>
      <t>D)</t>
    </r>
  </si>
  <si>
    <r>
      <t>Floor Beams (W</t>
    </r>
    <r>
      <rPr>
        <vertAlign val="subscript"/>
        <sz val="12"/>
        <color theme="1"/>
        <rFont val="Times New Roman"/>
        <family val="1"/>
      </rPr>
      <t>FB)</t>
    </r>
  </si>
  <si>
    <r>
      <t>Floor Diagonals (W</t>
    </r>
    <r>
      <rPr>
        <vertAlign val="subscript"/>
        <sz val="12"/>
        <color theme="1"/>
        <rFont val="Times New Roman"/>
        <family val="1"/>
      </rPr>
      <t>FD)</t>
    </r>
  </si>
  <si>
    <r>
      <t>Decking (W</t>
    </r>
    <r>
      <rPr>
        <vertAlign val="subscript"/>
        <sz val="12"/>
        <color theme="1"/>
        <rFont val="Times New Roman"/>
        <family val="1"/>
      </rPr>
      <t>deck)</t>
    </r>
  </si>
  <si>
    <r>
      <t>Railing (W</t>
    </r>
    <r>
      <rPr>
        <vertAlign val="subscript"/>
        <sz val="12"/>
        <color theme="1"/>
        <rFont val="Times New Roman"/>
        <family val="1"/>
      </rPr>
      <t>Rail)</t>
    </r>
  </si>
  <si>
    <r>
      <t>P</t>
    </r>
    <r>
      <rPr>
        <vertAlign val="subscript"/>
        <sz val="12"/>
        <color theme="1"/>
        <rFont val="Times New Roman"/>
        <family val="1"/>
      </rPr>
      <t>z</t>
    </r>
    <r>
      <rPr>
        <sz val="12"/>
        <color theme="1"/>
        <rFont val="Times New Roman"/>
        <family val="1"/>
      </rPr>
      <t xml:space="preserve"> </t>
    </r>
  </si>
  <si>
    <r>
      <t>0.00256K</t>
    </r>
    <r>
      <rPr>
        <vertAlign val="subscript"/>
        <sz val="12"/>
        <color theme="1"/>
        <rFont val="Times New Roman"/>
        <family val="1"/>
      </rPr>
      <t>z</t>
    </r>
    <r>
      <rPr>
        <sz val="12"/>
        <color theme="1"/>
        <rFont val="Times New Roman"/>
        <family val="1"/>
      </rPr>
      <t>GV</t>
    </r>
    <r>
      <rPr>
        <vertAlign val="superscript"/>
        <sz val="12"/>
        <color theme="1"/>
        <rFont val="Times New Roman"/>
        <family val="1"/>
      </rPr>
      <t>2</t>
    </r>
    <r>
      <rPr>
        <sz val="12"/>
        <color theme="1"/>
        <rFont val="Times New Roman"/>
        <family val="1"/>
      </rPr>
      <t>I</t>
    </r>
    <r>
      <rPr>
        <vertAlign val="subscript"/>
        <sz val="12"/>
        <color theme="1"/>
        <rFont val="Times New Roman"/>
        <family val="1"/>
      </rPr>
      <t>r</t>
    </r>
    <r>
      <rPr>
        <sz val="12"/>
        <color theme="1"/>
        <rFont val="Times New Roman"/>
        <family val="1"/>
      </rPr>
      <t>C</t>
    </r>
    <r>
      <rPr>
        <vertAlign val="subscript"/>
        <sz val="12"/>
        <color theme="1"/>
        <rFont val="Times New Roman"/>
        <family val="1"/>
      </rPr>
      <t>d</t>
    </r>
  </si>
  <si>
    <r>
      <t>I</t>
    </r>
    <r>
      <rPr>
        <vertAlign val="subscript"/>
        <sz val="12"/>
        <color theme="1"/>
        <rFont val="Times New Roman"/>
        <family val="1"/>
      </rPr>
      <t>r</t>
    </r>
  </si>
  <si>
    <r>
      <t>C</t>
    </r>
    <r>
      <rPr>
        <vertAlign val="subscript"/>
        <sz val="12"/>
        <color theme="1"/>
        <rFont val="Times New Roman"/>
        <family val="1"/>
      </rPr>
      <t>d</t>
    </r>
  </si>
  <si>
    <t>Value</t>
  </si>
  <si>
    <t xml:space="preserve">(Per Ped. Spec 3.2) </t>
  </si>
  <si>
    <t xml:space="preserve">Height and Exposure Factor </t>
  </si>
  <si>
    <t xml:space="preserve"> 3.8.3-1</t>
  </si>
  <si>
    <t>3.8.6-1</t>
  </si>
  <si>
    <t>3.8.5</t>
  </si>
  <si>
    <t>3.8.4</t>
  </si>
  <si>
    <t>3.8.2</t>
  </si>
  <si>
    <t>3.8.3</t>
  </si>
  <si>
    <t xml:space="preserve">AASHTO Signs Spec. Reference </t>
  </si>
  <si>
    <t xml:space="preserve">74 psf </t>
  </si>
  <si>
    <t>Deck</t>
  </si>
  <si>
    <t xml:space="preserve">Floor Diagonals </t>
  </si>
  <si>
    <t xml:space="preserve">Total </t>
  </si>
  <si>
    <t>LOADS</t>
  </si>
  <si>
    <t xml:space="preserve">BASIC GEOMETRY </t>
  </si>
  <si>
    <r>
      <t>Total Horizontal Wind of Superstructure (WS</t>
    </r>
    <r>
      <rPr>
        <vertAlign val="subscript"/>
        <sz val="12"/>
        <color theme="1"/>
        <rFont val="Calibri"/>
        <family val="2"/>
        <scheme val="minor"/>
      </rPr>
      <t>H</t>
    </r>
    <r>
      <rPr>
        <sz val="12"/>
        <color theme="1"/>
        <rFont val="Calibri"/>
        <family val="2"/>
        <scheme val="minor"/>
      </rPr>
      <t>)</t>
    </r>
  </si>
  <si>
    <t xml:space="preserve">Projected Vertical Area </t>
  </si>
  <si>
    <t>Horizontal Wind Loading (Ped Spec 3.4)</t>
  </si>
  <si>
    <t>Definition</t>
  </si>
  <si>
    <t xml:space="preserve">Spec Reference </t>
  </si>
  <si>
    <r>
      <t>P</t>
    </r>
    <r>
      <rPr>
        <vertAlign val="subscript"/>
        <sz val="12"/>
        <color theme="1"/>
        <rFont val="Times New Roman"/>
        <family val="1"/>
      </rPr>
      <t>v</t>
    </r>
  </si>
  <si>
    <r>
      <t>w</t>
    </r>
    <r>
      <rPr>
        <vertAlign val="subscript"/>
        <sz val="12"/>
        <color theme="1"/>
        <rFont val="Times New Roman"/>
        <family val="1"/>
      </rPr>
      <t>deck</t>
    </r>
  </si>
  <si>
    <t>0.02 ksf</t>
  </si>
  <si>
    <t>AASHTO LRFD  3.8.2</t>
  </si>
  <si>
    <t xml:space="preserve">Deck width </t>
  </si>
  <si>
    <t xml:space="preserve">12.75 ft </t>
  </si>
  <si>
    <t xml:space="preserve">n/a </t>
  </si>
  <si>
    <t xml:space="preserve">255 plf </t>
  </si>
  <si>
    <r>
      <t>WS</t>
    </r>
    <r>
      <rPr>
        <vertAlign val="subscript"/>
        <sz val="12"/>
        <color theme="1"/>
        <rFont val="Calibri (Body)"/>
      </rPr>
      <t xml:space="preserve">V,T </t>
    </r>
    <r>
      <rPr>
        <sz val="12"/>
        <color theme="1"/>
        <rFont val="Calibri (Body)"/>
      </rPr>
      <t>=</t>
    </r>
  </si>
  <si>
    <r>
      <t>WS</t>
    </r>
    <r>
      <rPr>
        <vertAlign val="subscript"/>
        <sz val="12"/>
        <color theme="1"/>
        <rFont val="Calibri (Body)"/>
      </rPr>
      <t>V,T</t>
    </r>
  </si>
  <si>
    <t>Vertical Load on Windward Truss</t>
  </si>
  <si>
    <t>Vertical Load on Leeward Truss</t>
  </si>
  <si>
    <t xml:space="preserve">LIMIT STATES </t>
  </si>
  <si>
    <t>Vertical Uplift Force</t>
  </si>
  <si>
    <t>Limit State</t>
  </si>
  <si>
    <t xml:space="preserve">Generated Load </t>
  </si>
  <si>
    <t>Ped Spec 3.7</t>
  </si>
  <si>
    <t xml:space="preserve">References: </t>
  </si>
  <si>
    <t xml:space="preserve">STABILITY </t>
  </si>
  <si>
    <t xml:space="preserve">Lateral Frame Design Force </t>
  </si>
  <si>
    <t xml:space="preserve">Design Effective Length Factor </t>
  </si>
  <si>
    <t>Defintion</t>
  </si>
  <si>
    <t xml:space="preserve">Value </t>
  </si>
  <si>
    <t xml:space="preserve">&gt;0.003 </t>
  </si>
  <si>
    <t>Limit of 0.01/K</t>
  </si>
  <si>
    <t>0.01/K</t>
  </si>
  <si>
    <t xml:space="preserve">Referencces: </t>
  </si>
  <si>
    <t>Ped Spec 7.1.1</t>
  </si>
  <si>
    <t xml:space="preserve">Verifying assumption that truss verticals are adequate to resist lateral forces </t>
  </si>
  <si>
    <t xml:space="preserve">Top Chord Lateral Support </t>
  </si>
  <si>
    <t xml:space="preserve">To Determine K: </t>
  </si>
  <si>
    <r>
      <t>1) Compute CL/P</t>
    </r>
    <r>
      <rPr>
        <vertAlign val="subscript"/>
        <sz val="12"/>
        <color theme="1"/>
        <rFont val="Times New Roman"/>
        <family val="1"/>
      </rPr>
      <t>c</t>
    </r>
  </si>
  <si>
    <t>C =</t>
  </si>
  <si>
    <t xml:space="preserve">Modulus of Elasticity </t>
  </si>
  <si>
    <t xml:space="preserve">29,000 ksi </t>
  </si>
  <si>
    <t>b</t>
  </si>
  <si>
    <t>h</t>
  </si>
  <si>
    <t>Effective Vertical Height</t>
  </si>
  <si>
    <r>
      <t>I</t>
    </r>
    <r>
      <rPr>
        <vertAlign val="subscript"/>
        <sz val="12"/>
        <color theme="1"/>
        <rFont val="Times New Roman"/>
        <family val="1"/>
      </rPr>
      <t>b</t>
    </r>
  </si>
  <si>
    <t xml:space="preserve">Floor Beams </t>
  </si>
  <si>
    <t>162 in</t>
  </si>
  <si>
    <t>132 in</t>
  </si>
  <si>
    <r>
      <t>170 in</t>
    </r>
    <r>
      <rPr>
        <vertAlign val="superscript"/>
        <sz val="12"/>
        <color theme="1"/>
        <rFont val="Times New Roman"/>
        <family val="1"/>
      </rPr>
      <t>4</t>
    </r>
  </si>
  <si>
    <r>
      <t>36 in</t>
    </r>
    <r>
      <rPr>
        <vertAlign val="superscript"/>
        <sz val="12"/>
        <color theme="1"/>
        <rFont val="Times New Roman"/>
        <family val="1"/>
      </rPr>
      <t>4</t>
    </r>
  </si>
  <si>
    <t xml:space="preserve">L </t>
  </si>
  <si>
    <t xml:space="preserve">unbraced chord length in compression </t>
  </si>
  <si>
    <t>Spec. AASHTO LRFD 3.4</t>
  </si>
  <si>
    <t>120 in</t>
  </si>
  <si>
    <r>
      <t>P</t>
    </r>
    <r>
      <rPr>
        <vertAlign val="subscript"/>
        <sz val="12"/>
        <color theme="1"/>
        <rFont val="Times New Roman"/>
        <family val="1"/>
      </rPr>
      <t>c</t>
    </r>
  </si>
  <si>
    <t xml:space="preserve">C </t>
  </si>
  <si>
    <t>critical buckling load *1.33</t>
  </si>
  <si>
    <t>285.13 k</t>
  </si>
  <si>
    <r>
      <t>CL/P</t>
    </r>
    <r>
      <rPr>
        <vertAlign val="subscript"/>
        <sz val="12"/>
        <color theme="1"/>
        <rFont val="Times New Roman"/>
        <family val="1"/>
      </rPr>
      <t>c</t>
    </r>
  </si>
  <si>
    <t>References:</t>
  </si>
  <si>
    <t>Ped Spec 7.1.2</t>
  </si>
  <si>
    <t xml:space="preserve">2) Determine K Value by Interpolation </t>
  </si>
  <si>
    <t>Interpolation Table Values</t>
  </si>
  <si>
    <t>n = number of truss panels</t>
  </si>
  <si>
    <t>1/k</t>
  </si>
  <si>
    <t>Check KL/r</t>
  </si>
  <si>
    <t xml:space="preserve">For main members: </t>
  </si>
  <si>
    <t xml:space="preserve">Top Chord Section: </t>
  </si>
  <si>
    <t>HSS 9x9x6</t>
  </si>
  <si>
    <t>KL/r</t>
  </si>
  <si>
    <t>≤ 120</t>
  </si>
  <si>
    <r>
      <t>Determine P</t>
    </r>
    <r>
      <rPr>
        <vertAlign val="subscript"/>
        <sz val="12"/>
        <color theme="1"/>
        <rFont val="Times New Roman"/>
        <family val="1"/>
      </rPr>
      <t xml:space="preserve">n </t>
    </r>
    <r>
      <rPr>
        <sz val="12"/>
        <color theme="1"/>
        <rFont val="Times New Roman"/>
        <family val="1"/>
      </rPr>
      <t xml:space="preserve">(nominal compressive resistance) </t>
    </r>
  </si>
  <si>
    <t>Vertical MoI</t>
  </si>
  <si>
    <t>Floor Beam MoI</t>
  </si>
  <si>
    <t>References</t>
  </si>
  <si>
    <r>
      <t>P</t>
    </r>
    <r>
      <rPr>
        <vertAlign val="subscript"/>
        <sz val="12"/>
        <color theme="1"/>
        <rFont val="Calibri"/>
        <family val="2"/>
        <scheme val="minor"/>
      </rPr>
      <t xml:space="preserve">n </t>
    </r>
    <r>
      <rPr>
        <sz val="12"/>
        <color theme="1"/>
        <rFont val="Calibri"/>
        <family val="2"/>
        <scheme val="minor"/>
      </rPr>
      <t>(k)</t>
    </r>
  </si>
  <si>
    <r>
      <t>P</t>
    </r>
    <r>
      <rPr>
        <vertAlign val="subscript"/>
        <sz val="10"/>
        <rFont val="Arial"/>
        <family val="2"/>
      </rPr>
      <t>n</t>
    </r>
    <r>
      <rPr>
        <sz val="12"/>
        <color theme="1"/>
        <rFont val="Calibri"/>
        <family val="2"/>
        <scheme val="minor"/>
      </rPr>
      <t xml:space="preserve"> = 0.66</t>
    </r>
    <r>
      <rPr>
        <vertAlign val="superscript"/>
        <sz val="10"/>
        <rFont val="Symbol"/>
        <family val="1"/>
        <charset val="2"/>
      </rPr>
      <t>l</t>
    </r>
    <r>
      <rPr>
        <sz val="12"/>
        <color theme="1"/>
        <rFont val="Calibri"/>
        <family val="2"/>
        <scheme val="minor"/>
      </rPr>
      <t>F</t>
    </r>
    <r>
      <rPr>
        <vertAlign val="subscript"/>
        <sz val="10"/>
        <rFont val="Arial"/>
        <family val="2"/>
      </rPr>
      <t>y</t>
    </r>
    <r>
      <rPr>
        <sz val="12"/>
        <color theme="1"/>
        <rFont val="Calibri"/>
        <family val="2"/>
        <scheme val="minor"/>
      </rPr>
      <t>A</t>
    </r>
    <r>
      <rPr>
        <vertAlign val="subscript"/>
        <sz val="10"/>
        <rFont val="Arial"/>
        <family val="2"/>
      </rPr>
      <t>s</t>
    </r>
  </si>
  <si>
    <t>AASHTO LRFD 6.9.4.1-1</t>
  </si>
  <si>
    <t>AASHTO LRFD 6.9.4.1-3</t>
  </si>
  <si>
    <r>
      <t>f</t>
    </r>
    <r>
      <rPr>
        <vertAlign val="subscript"/>
        <sz val="10"/>
        <rFont val="Arial"/>
        <family val="2"/>
      </rPr>
      <t xml:space="preserve">c </t>
    </r>
    <r>
      <rPr>
        <sz val="10"/>
        <rFont val="Arial"/>
        <family val="2"/>
      </rPr>
      <t>(Compressive Resistance Factor) = 0.9</t>
    </r>
  </si>
  <si>
    <r>
      <t>f</t>
    </r>
    <r>
      <rPr>
        <vertAlign val="subscript"/>
        <sz val="10"/>
        <rFont val="Arial"/>
        <family val="2"/>
      </rPr>
      <t>c</t>
    </r>
    <r>
      <rPr>
        <sz val="12"/>
        <color theme="1"/>
        <rFont val="Calibri"/>
        <family val="2"/>
        <scheme val="minor"/>
      </rPr>
      <t xml:space="preserve"> P</t>
    </r>
    <r>
      <rPr>
        <vertAlign val="subscript"/>
        <sz val="12"/>
        <color theme="1"/>
        <rFont val="Calibri (Body)"/>
      </rPr>
      <t xml:space="preserve">n  </t>
    </r>
    <r>
      <rPr>
        <sz val="12"/>
        <color theme="1"/>
        <rFont val="Calibri (Body)"/>
      </rPr>
      <t xml:space="preserve">&gt; </t>
    </r>
    <r>
      <rPr>
        <sz val="12"/>
        <color theme="1"/>
        <rFont val="Times New Roman"/>
        <family val="1"/>
      </rPr>
      <t xml:space="preserve">Max Factored Compressive Top Chord Force </t>
    </r>
  </si>
  <si>
    <r>
      <t>f</t>
    </r>
    <r>
      <rPr>
        <vertAlign val="subscript"/>
        <sz val="10"/>
        <rFont val="Arial"/>
        <family val="2"/>
      </rPr>
      <t>c</t>
    </r>
    <r>
      <rPr>
        <sz val="12"/>
        <color theme="1"/>
        <rFont val="Calibri"/>
        <family val="2"/>
        <scheme val="minor"/>
      </rPr>
      <t xml:space="preserve"> P</t>
    </r>
    <r>
      <rPr>
        <vertAlign val="subscript"/>
        <sz val="12"/>
        <color theme="1"/>
        <rFont val="Calibri (Body)"/>
      </rPr>
      <t xml:space="preserve">n  </t>
    </r>
    <r>
      <rPr>
        <sz val="12"/>
        <color theme="1"/>
        <rFont val="Calibri (Body)"/>
      </rPr>
      <t>(</t>
    </r>
    <r>
      <rPr>
        <sz val="12"/>
        <color theme="1"/>
        <rFont val="Times New Roman"/>
        <family val="1"/>
      </rPr>
      <t>k) =</t>
    </r>
  </si>
  <si>
    <t>303.78  k &gt; 214.383 k</t>
  </si>
  <si>
    <t>AASHTO LRFD 6.5.4.2</t>
  </si>
  <si>
    <t xml:space="preserve">VIBRATIONS </t>
  </si>
  <si>
    <t xml:space="preserve">Direction </t>
  </si>
  <si>
    <t>Fundamental Frequency</t>
  </si>
  <si>
    <t xml:space="preserve">Calculated </t>
  </si>
  <si>
    <t xml:space="preserve">Passing </t>
  </si>
  <si>
    <t xml:space="preserve">3.0 Hz </t>
  </si>
  <si>
    <t xml:space="preserve">1.3 Hz </t>
  </si>
  <si>
    <t xml:space="preserve">9.973 Hz </t>
  </si>
  <si>
    <t xml:space="preserve">2.209 Hz </t>
  </si>
  <si>
    <t>Y</t>
  </si>
  <si>
    <t xml:space="preserve">Y </t>
  </si>
  <si>
    <t>Ped Spec 6</t>
  </si>
  <si>
    <t>Note:</t>
  </si>
  <si>
    <t xml:space="preserve">Calculations are based on RISA-3D Eigensolution analysis </t>
  </si>
  <si>
    <t>(WBC)</t>
  </si>
  <si>
    <t>Governing:</t>
  </si>
  <si>
    <t xml:space="preserve">Strength 1 </t>
  </si>
  <si>
    <t>DEFLECTIONS</t>
  </si>
  <si>
    <t>Horizontal</t>
  </si>
  <si>
    <t>Direction</t>
  </si>
  <si>
    <t>Deflection (in)</t>
  </si>
  <si>
    <t>Limits (in)</t>
  </si>
  <si>
    <t>Pass</t>
  </si>
  <si>
    <t xml:space="preserve">Floor Beam Span </t>
  </si>
  <si>
    <t>Ped Spec Table 7.1.2-1</t>
  </si>
  <si>
    <t>(Only Used for Preliminary Design, NOT Final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</si>
</sst>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b/>
      <sz val="12"/>
      <color theme="1"/>
      <name val="Calibri"/>
      <family val="2"/>
      <scheme val="minor"/>
    </font>
    <font>
      <vertAlign val="subscript"/>
      <sz val="12"/>
      <color theme="1"/>
      <name val="Calibri (Body)"/>
    </font>
    <font>
      <vertAlign val="subscript"/>
      <sz val="11"/>
      <color theme="1"/>
      <name val="Calibri (Body)"/>
    </font>
    <font>
      <vertAlign val="superscript"/>
      <sz val="12"/>
      <color theme="1"/>
      <name val="Calibri (Body)"/>
    </font>
    <font>
      <sz val="12"/>
      <color rgb="FF000000"/>
      <name val="Calibri"/>
      <family val="2"/>
      <scheme val="minor"/>
    </font>
    <font>
      <vertAlign val="superscript"/>
      <sz val="12"/>
      <color rgb="FF000000"/>
      <name val="Calibri (Body)"/>
    </font>
    <font>
      <i/>
      <sz val="12"/>
      <color theme="1"/>
      <name val="Calibri"/>
      <family val="2"/>
      <scheme val="minor"/>
    </font>
    <font>
      <sz val="12"/>
      <color theme="1"/>
      <name val="Calibri (Body)"/>
    </font>
    <font>
      <vertAlign val="subscript"/>
      <sz val="12"/>
      <color theme="1"/>
      <name val="Calibri"/>
      <family val="2"/>
      <scheme val="minor"/>
    </font>
    <font>
      <sz val="10"/>
      <name val="Symbol"/>
      <family val="1"/>
      <charset val="2"/>
    </font>
    <font>
      <vertAlign val="subscript"/>
      <sz val="10"/>
      <name val="Arial"/>
      <family val="2"/>
    </font>
    <font>
      <sz val="10"/>
      <name val="Arial"/>
      <family val="2"/>
    </font>
    <font>
      <vertAlign val="superscript"/>
      <sz val="10"/>
      <name val="Symbol"/>
      <family val="1"/>
      <charset val="2"/>
    </font>
    <font>
      <vertAlign val="superscript"/>
      <sz val="10"/>
      <name val="Arial"/>
      <family val="2"/>
    </font>
    <font>
      <sz val="12"/>
      <color theme="1"/>
      <name val="Times New Roman"/>
      <family val="1"/>
    </font>
    <font>
      <vertAlign val="subscript"/>
      <sz val="12"/>
      <color theme="1"/>
      <name val="Times New Roman"/>
      <family val="1"/>
    </font>
    <font>
      <sz val="12"/>
      <color rgb="FF000000"/>
      <name val="Times New Roman"/>
      <family val="1"/>
    </font>
    <font>
      <vertAlign val="superscript"/>
      <sz val="12"/>
      <color rgb="FF000000"/>
      <name val="Times New Roman"/>
      <family val="1"/>
    </font>
    <font>
      <b/>
      <sz val="12"/>
      <color theme="1"/>
      <name val="Times New Roman"/>
      <family val="1"/>
    </font>
    <font>
      <vertAlign val="superscript"/>
      <sz val="12"/>
      <color theme="1"/>
      <name val="Times New Roman"/>
      <family val="1"/>
    </font>
    <font>
      <strike/>
      <vertAlign val="superscript"/>
      <sz val="12"/>
      <color theme="1"/>
      <name val="Times New Roman"/>
      <family val="1"/>
    </font>
    <font>
      <b/>
      <sz val="18"/>
      <color theme="1"/>
      <name val="Times New Roman"/>
      <family val="1"/>
    </font>
    <font>
      <b/>
      <sz val="20"/>
      <color theme="1"/>
      <name val="Times New Roman"/>
      <family val="1"/>
    </font>
    <font>
      <sz val="14"/>
      <color theme="1"/>
      <name val="Times New Roman"/>
      <family val="1"/>
    </font>
    <font>
      <sz val="11"/>
      <color theme="1"/>
      <name val="Times New Roman"/>
      <family val="1"/>
    </font>
  </fonts>
  <fills count="3">
    <fill>
      <patternFill patternType="none"/>
    </fill>
    <fill>
      <patternFill patternType="gray125"/>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161">
    <xf numFmtId="0" fontId="0" fillId="0" borderId="0" xfId="0"/>
    <xf numFmtId="0" fontId="1" fillId="0" borderId="0" xfId="0" applyFont="1"/>
    <xf numFmtId="0" fontId="1" fillId="0" borderId="0" xfId="0" applyFont="1" applyAlignment="1">
      <alignment horizontal="center"/>
    </xf>
    <xf numFmtId="0" fontId="5" fillId="0" borderId="0" xfId="0" applyFont="1"/>
    <xf numFmtId="0" fontId="0" fillId="2" borderId="0" xfId="0" applyFill="1"/>
    <xf numFmtId="0" fontId="0" fillId="0" borderId="0" xfId="0" applyFill="1"/>
    <xf numFmtId="0" fontId="0" fillId="0" borderId="0" xfId="0" applyFill="1" applyBorder="1" applyAlignment="1">
      <alignment horizontal="center" vertical="center" wrapText="1"/>
    </xf>
    <xf numFmtId="0" fontId="0" fillId="0" borderId="0" xfId="0" applyFill="1" applyBorder="1" applyAlignment="1">
      <alignment horizontal="center"/>
    </xf>
    <xf numFmtId="2" fontId="0" fillId="0" borderId="0" xfId="0" applyNumberFormat="1" applyFill="1" applyBorder="1" applyAlignment="1">
      <alignment horizontal="center"/>
    </xf>
    <xf numFmtId="0" fontId="0" fillId="0" borderId="0" xfId="0" applyFont="1"/>
    <xf numFmtId="0" fontId="10" fillId="0" borderId="0" xfId="0" applyFont="1" applyFill="1" applyAlignment="1">
      <alignment horizontal="right"/>
    </xf>
    <xf numFmtId="0" fontId="10" fillId="0" borderId="0" xfId="0" applyFont="1" applyAlignment="1">
      <alignment horizontal="right"/>
    </xf>
    <xf numFmtId="0" fontId="0" fillId="0" borderId="0" xfId="0" applyFill="1" applyAlignment="1">
      <alignment horizontal="right"/>
    </xf>
    <xf numFmtId="0" fontId="0" fillId="0" borderId="0" xfId="0" applyFill="1" applyAlignment="1">
      <alignment vertical="center"/>
    </xf>
    <xf numFmtId="0" fontId="0" fillId="0" borderId="0" xfId="0" applyFill="1" applyAlignment="1">
      <alignment horizontal="center"/>
    </xf>
    <xf numFmtId="3" fontId="0" fillId="0" borderId="0" xfId="0" applyNumberFormat="1" applyFill="1" applyAlignment="1">
      <alignment horizontal="center"/>
    </xf>
    <xf numFmtId="1" fontId="0" fillId="0" borderId="0" xfId="0" applyNumberFormat="1" applyFill="1" applyAlignment="1">
      <alignment horizontal="center"/>
    </xf>
    <xf numFmtId="0" fontId="0" fillId="0" borderId="0" xfId="0" applyAlignment="1">
      <alignment horizontal="center"/>
    </xf>
    <xf numFmtId="0" fontId="0" fillId="0" borderId="0" xfId="0" applyAlignment="1">
      <alignment horizontal="center"/>
    </xf>
    <xf numFmtId="0" fontId="5" fillId="0" borderId="0" xfId="0" applyFont="1" applyAlignment="1">
      <alignment horizontal="center"/>
    </xf>
    <xf numFmtId="0" fontId="5" fillId="0" borderId="0" xfId="0" applyFont="1" applyAlignment="1"/>
    <xf numFmtId="0" fontId="0" fillId="0" borderId="1" xfId="0" applyBorder="1"/>
    <xf numFmtId="0" fontId="0" fillId="0" borderId="1" xfId="0" applyBorder="1" applyAlignment="1">
      <alignment horizontal="right"/>
    </xf>
    <xf numFmtId="0" fontId="0" fillId="0" borderId="0" xfId="0" applyAlignment="1">
      <alignment horizontal="center"/>
    </xf>
    <xf numFmtId="0" fontId="1" fillId="0" borderId="0" xfId="0" applyFont="1" applyAlignment="1">
      <alignment horizontal="center"/>
    </xf>
    <xf numFmtId="0" fontId="1" fillId="0" borderId="4" xfId="0" applyFont="1" applyBorder="1"/>
    <xf numFmtId="0" fontId="0" fillId="0" borderId="0" xfId="0" applyAlignment="1">
      <alignment horizontal="center"/>
    </xf>
    <xf numFmtId="0" fontId="1" fillId="0" borderId="0" xfId="0" applyFont="1" applyBorder="1"/>
    <xf numFmtId="0" fontId="0" fillId="0" borderId="0" xfId="0" applyAlignment="1">
      <alignment horizontal="center"/>
    </xf>
    <xf numFmtId="0" fontId="0" fillId="0" borderId="5" xfId="0" applyBorder="1"/>
    <xf numFmtId="0" fontId="0" fillId="0" borderId="19" xfId="0" applyBorder="1"/>
    <xf numFmtId="0" fontId="0" fillId="0" borderId="20" xfId="0" applyBorder="1"/>
    <xf numFmtId="0" fontId="15" fillId="0" borderId="0" xfId="0" applyFont="1"/>
    <xf numFmtId="0" fontId="15" fillId="0" borderId="21" xfId="0" applyFont="1" applyBorder="1"/>
    <xf numFmtId="0" fontId="15" fillId="0" borderId="27" xfId="0" applyFont="1" applyBorder="1"/>
    <xf numFmtId="0" fontId="15" fillId="0" borderId="29" xfId="0" applyFont="1" applyBorder="1"/>
    <xf numFmtId="0" fontId="15" fillId="0" borderId="28" xfId="0" applyFont="1" applyBorder="1"/>
    <xf numFmtId="0" fontId="15" fillId="0" borderId="0" xfId="0" applyFont="1" applyAlignment="1">
      <alignment horizontal="center"/>
    </xf>
    <xf numFmtId="0" fontId="15" fillId="0" borderId="9" xfId="0" applyFont="1" applyBorder="1"/>
    <xf numFmtId="0" fontId="15" fillId="0" borderId="1" xfId="0" applyFont="1" applyBorder="1"/>
    <xf numFmtId="0" fontId="15" fillId="0" borderId="22" xfId="0" applyFont="1" applyBorder="1"/>
    <xf numFmtId="0" fontId="15" fillId="0" borderId="10" xfId="0" applyFont="1" applyBorder="1"/>
    <xf numFmtId="0" fontId="17" fillId="0" borderId="22" xfId="0" applyFont="1" applyBorder="1"/>
    <xf numFmtId="0" fontId="15" fillId="0" borderId="23" xfId="0" applyFont="1" applyBorder="1"/>
    <xf numFmtId="0" fontId="15" fillId="0" borderId="11" xfId="0" applyFont="1" applyBorder="1"/>
    <xf numFmtId="0" fontId="17" fillId="0" borderId="31" xfId="0" applyFont="1" applyBorder="1"/>
    <xf numFmtId="0" fontId="15" fillId="0" borderId="30" xfId="0" applyFont="1" applyBorder="1"/>
    <xf numFmtId="0" fontId="15" fillId="0" borderId="12" xfId="0" applyFont="1" applyBorder="1"/>
    <xf numFmtId="0" fontId="15" fillId="0" borderId="31" xfId="0" applyFont="1" applyBorder="1"/>
    <xf numFmtId="0" fontId="17" fillId="0" borderId="0" xfId="0" applyFont="1"/>
    <xf numFmtId="0" fontId="15" fillId="0" borderId="24" xfId="0" applyFont="1" applyBorder="1"/>
    <xf numFmtId="0" fontId="17" fillId="0" borderId="0" xfId="0" applyFont="1" applyAlignment="1">
      <alignment horizontal="center"/>
    </xf>
    <xf numFmtId="0" fontId="17" fillId="0" borderId="0" xfId="0" applyFont="1" applyAlignment="1"/>
    <xf numFmtId="0" fontId="17" fillId="0" borderId="23" xfId="0" applyFont="1" applyBorder="1"/>
    <xf numFmtId="0" fontId="17" fillId="0" borderId="27" xfId="0" applyFont="1" applyBorder="1"/>
    <xf numFmtId="0" fontId="15" fillId="0" borderId="0" xfId="0" applyFont="1" applyAlignment="1"/>
    <xf numFmtId="0" fontId="15" fillId="0" borderId="6" xfId="0" applyFont="1" applyBorder="1"/>
    <xf numFmtId="0" fontId="15" fillId="0" borderId="33" xfId="0" applyFont="1" applyBorder="1"/>
    <xf numFmtId="0" fontId="15" fillId="0" borderId="32" xfId="0" applyFont="1" applyBorder="1"/>
    <xf numFmtId="0" fontId="15" fillId="0" borderId="7" xfId="0" applyFont="1" applyBorder="1"/>
    <xf numFmtId="0" fontId="15" fillId="0" borderId="25" xfId="0" applyFont="1" applyBorder="1"/>
    <xf numFmtId="0" fontId="19" fillId="0" borderId="0" xfId="0" applyFont="1" applyAlignment="1">
      <alignment horizontal="center"/>
    </xf>
    <xf numFmtId="0" fontId="15" fillId="0" borderId="0" xfId="0" applyFont="1" applyBorder="1"/>
    <xf numFmtId="0" fontId="15" fillId="0" borderId="0" xfId="0" applyFont="1" applyBorder="1" applyAlignment="1"/>
    <xf numFmtId="0" fontId="15" fillId="0" borderId="14" xfId="0" applyFont="1" applyBorder="1"/>
    <xf numFmtId="0" fontId="15" fillId="0" borderId="5" xfId="0" applyFont="1" applyBorder="1" applyAlignment="1"/>
    <xf numFmtId="0" fontId="15" fillId="0" borderId="15" xfId="0" applyFont="1" applyBorder="1"/>
    <xf numFmtId="0" fontId="15" fillId="0" borderId="16" xfId="0" applyFont="1" applyBorder="1"/>
    <xf numFmtId="0" fontId="15" fillId="0" borderId="17" xfId="0" applyFont="1" applyBorder="1"/>
    <xf numFmtId="0" fontId="15" fillId="0" borderId="0" xfId="0" applyFont="1" applyBorder="1" applyAlignment="1">
      <alignment horizontal="center"/>
    </xf>
    <xf numFmtId="0" fontId="15" fillId="0" borderId="16" xfId="0" applyFont="1" applyBorder="1" applyAlignment="1"/>
    <xf numFmtId="0" fontId="15" fillId="0" borderId="18" xfId="0" applyFont="1" applyBorder="1" applyAlignment="1"/>
    <xf numFmtId="0" fontId="15" fillId="0" borderId="19" xfId="0" applyFont="1" applyBorder="1" applyAlignment="1"/>
    <xf numFmtId="0" fontId="15" fillId="0" borderId="20" xfId="0" applyFont="1" applyBorder="1"/>
    <xf numFmtId="0" fontId="19" fillId="0" borderId="0" xfId="0" applyFont="1"/>
    <xf numFmtId="0" fontId="15" fillId="0" borderId="18" xfId="0" applyFont="1" applyBorder="1"/>
    <xf numFmtId="0" fontId="15" fillId="0" borderId="19" xfId="0" applyFont="1" applyBorder="1"/>
    <xf numFmtId="0" fontId="22" fillId="0" borderId="0" xfId="0" applyFont="1"/>
    <xf numFmtId="0" fontId="15" fillId="0" borderId="13" xfId="0" applyFont="1" applyBorder="1"/>
    <xf numFmtId="0" fontId="0" fillId="0" borderId="14" xfId="0" applyFill="1" applyBorder="1"/>
    <xf numFmtId="0" fontId="0" fillId="0" borderId="5" xfId="0" applyFill="1" applyBorder="1"/>
    <xf numFmtId="0" fontId="0" fillId="0" borderId="18" xfId="0" applyFill="1" applyBorder="1"/>
    <xf numFmtId="0" fontId="0" fillId="0" borderId="15" xfId="0" applyBorder="1"/>
    <xf numFmtId="0" fontId="15" fillId="0" borderId="2" xfId="0" applyFont="1" applyBorder="1" applyAlignment="1">
      <alignment horizontal="center"/>
    </xf>
    <xf numFmtId="0" fontId="15" fillId="0" borderId="1" xfId="0" applyFont="1" applyBorder="1" applyAlignment="1">
      <alignment horizontal="center"/>
    </xf>
    <xf numFmtId="0" fontId="23" fillId="0" borderId="0" xfId="0" applyFont="1"/>
    <xf numFmtId="0" fontId="0" fillId="0" borderId="1" xfId="0" applyFill="1" applyBorder="1" applyAlignment="1">
      <alignment horizontal="center" vertical="center" wrapText="1"/>
    </xf>
    <xf numFmtId="0" fontId="0" fillId="0" borderId="1" xfId="0" applyFill="1" applyBorder="1" applyAlignment="1">
      <alignment horizontal="center"/>
    </xf>
    <xf numFmtId="2" fontId="0" fillId="0" borderId="1" xfId="0" applyNumberFormat="1" applyFill="1" applyBorder="1" applyAlignment="1">
      <alignment horizontal="center"/>
    </xf>
    <xf numFmtId="0" fontId="0" fillId="0" borderId="1" xfId="0" applyBorder="1" applyAlignment="1">
      <alignment horizontal="center"/>
    </xf>
    <xf numFmtId="0" fontId="0" fillId="0" borderId="21" xfId="0" applyBorder="1"/>
    <xf numFmtId="0" fontId="0" fillId="0" borderId="23" xfId="0" applyBorder="1"/>
    <xf numFmtId="0" fontId="15" fillId="0" borderId="39" xfId="0" applyFont="1" applyBorder="1"/>
    <xf numFmtId="0" fontId="15" fillId="0" borderId="38" xfId="0" applyFont="1" applyBorder="1"/>
    <xf numFmtId="0" fontId="15" fillId="0" borderId="34" xfId="0" applyFont="1" applyBorder="1"/>
    <xf numFmtId="0" fontId="15" fillId="0" borderId="35" xfId="0" applyFont="1" applyBorder="1"/>
    <xf numFmtId="0" fontId="15" fillId="0" borderId="36" xfId="0" applyFont="1" applyBorder="1"/>
    <xf numFmtId="0" fontId="15" fillId="0" borderId="37" xfId="0" applyFont="1" applyBorder="1"/>
    <xf numFmtId="0" fontId="15" fillId="0" borderId="1" xfId="0" applyFont="1" applyBorder="1" applyAlignment="1">
      <alignment horizontal="right"/>
    </xf>
    <xf numFmtId="0" fontId="15" fillId="0" borderId="21" xfId="0" applyFont="1" applyBorder="1" applyAlignment="1">
      <alignment horizontal="left"/>
    </xf>
    <xf numFmtId="0" fontId="15" fillId="0" borderId="40" xfId="0" applyFont="1" applyBorder="1"/>
    <xf numFmtId="0" fontId="24" fillId="0" borderId="0" xfId="0" applyFont="1" applyBorder="1"/>
    <xf numFmtId="0" fontId="25" fillId="0" borderId="0" xfId="0" applyFont="1"/>
    <xf numFmtId="0" fontId="15" fillId="0" borderId="4" xfId="0" applyFont="1" applyBorder="1"/>
    <xf numFmtId="0" fontId="15" fillId="0" borderId="0" xfId="0" applyFont="1" applyFill="1"/>
    <xf numFmtId="0" fontId="24" fillId="0" borderId="0" xfId="0" applyFont="1"/>
    <xf numFmtId="0" fontId="15" fillId="0" borderId="41" xfId="0" applyFont="1" applyBorder="1"/>
    <xf numFmtId="0" fontId="15" fillId="0" borderId="42" xfId="0" applyFont="1" applyBorder="1"/>
    <xf numFmtId="0" fontId="15" fillId="0" borderId="43" xfId="0" applyFont="1" applyBorder="1"/>
    <xf numFmtId="0" fontId="10" fillId="0" borderId="34" xfId="0" applyFont="1" applyFill="1" applyBorder="1" applyAlignment="1">
      <alignment horizontal="right"/>
    </xf>
    <xf numFmtId="0" fontId="0" fillId="0" borderId="35" xfId="0" applyBorder="1"/>
    <xf numFmtId="0" fontId="10" fillId="0" borderId="42" xfId="0" applyFont="1" applyFill="1" applyBorder="1" applyAlignment="1">
      <alignment horizontal="right"/>
    </xf>
    <xf numFmtId="0" fontId="0" fillId="0" borderId="43" xfId="0" applyBorder="1"/>
    <xf numFmtId="0" fontId="10" fillId="0" borderId="36" xfId="0" applyFont="1" applyFill="1" applyBorder="1" applyAlignment="1">
      <alignment horizontal="right"/>
    </xf>
    <xf numFmtId="0" fontId="0" fillId="0" borderId="37" xfId="0" applyBorder="1"/>
    <xf numFmtId="0" fontId="0" fillId="0" borderId="34" xfId="0" applyFill="1" applyBorder="1"/>
    <xf numFmtId="0" fontId="0" fillId="0" borderId="35" xfId="0" applyFill="1" applyBorder="1"/>
    <xf numFmtId="0" fontId="0" fillId="0" borderId="42" xfId="0" applyFill="1" applyBorder="1" applyAlignment="1">
      <alignment horizontal="left"/>
    </xf>
    <xf numFmtId="0" fontId="0" fillId="0" borderId="43" xfId="0" applyFill="1" applyBorder="1" applyAlignment="1">
      <alignment horizontal="center"/>
    </xf>
    <xf numFmtId="0" fontId="0" fillId="0" borderId="36" xfId="0" applyFill="1" applyBorder="1"/>
    <xf numFmtId="0" fontId="0" fillId="0" borderId="37" xfId="0" applyFill="1" applyBorder="1"/>
    <xf numFmtId="0" fontId="0" fillId="0" borderId="24" xfId="0" applyFill="1" applyBorder="1" applyAlignment="1">
      <alignment horizontal="center"/>
    </xf>
    <xf numFmtId="0" fontId="0" fillId="0" borderId="39" xfId="0" applyFill="1" applyBorder="1" applyAlignment="1">
      <alignment horizontal="center"/>
    </xf>
    <xf numFmtId="0" fontId="0" fillId="0" borderId="38" xfId="0" applyFill="1" applyBorder="1" applyAlignment="1">
      <alignment horizontal="center"/>
    </xf>
    <xf numFmtId="0" fontId="15" fillId="0" borderId="18" xfId="0" applyFont="1" applyBorder="1" applyAlignment="1">
      <alignment horizontal="center"/>
    </xf>
    <xf numFmtId="0" fontId="15" fillId="0" borderId="26" xfId="0" applyFont="1" applyBorder="1"/>
    <xf numFmtId="0" fontId="15" fillId="0" borderId="21" xfId="0" applyFont="1" applyBorder="1" applyAlignment="1">
      <alignment horizontal="center"/>
    </xf>
    <xf numFmtId="0" fontId="15" fillId="0" borderId="23" xfId="0" applyFont="1" applyBorder="1" applyAlignment="1">
      <alignment horizontal="center"/>
    </xf>
    <xf numFmtId="0" fontId="15" fillId="0" borderId="22" xfId="0" applyFont="1" applyBorder="1" applyAlignment="1">
      <alignment horizontal="center"/>
    </xf>
    <xf numFmtId="0" fontId="15" fillId="0" borderId="27" xfId="0" applyFont="1" applyBorder="1" applyAlignment="1">
      <alignment horizontal="center"/>
    </xf>
    <xf numFmtId="0" fontId="15" fillId="0" borderId="1" xfId="0" applyFont="1" applyBorder="1" applyAlignment="1">
      <alignment horizontal="center"/>
    </xf>
    <xf numFmtId="0" fontId="0" fillId="0" borderId="1" xfId="0" applyBorder="1" applyAlignment="1">
      <alignment horizontal="center"/>
    </xf>
    <xf numFmtId="0" fontId="10" fillId="0" borderId="34" xfId="0" applyFont="1" applyFill="1" applyBorder="1" applyAlignment="1">
      <alignment horizontal="center"/>
    </xf>
    <xf numFmtId="0" fontId="10" fillId="0" borderId="35" xfId="0" applyFont="1" applyFill="1" applyBorder="1" applyAlignment="1">
      <alignment horizontal="center"/>
    </xf>
    <xf numFmtId="0" fontId="10" fillId="0" borderId="14" xfId="0" applyFont="1" applyFill="1" applyBorder="1" applyAlignment="1">
      <alignment horizontal="center"/>
    </xf>
    <xf numFmtId="0" fontId="10" fillId="0" borderId="5" xfId="0" applyFont="1" applyFill="1" applyBorder="1" applyAlignment="1">
      <alignment horizontal="center"/>
    </xf>
    <xf numFmtId="0" fontId="10" fillId="0" borderId="15" xfId="0" applyFont="1" applyFill="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9" fillId="0" borderId="0" xfId="0" applyFont="1" applyAlignment="1">
      <alignment horizontal="center"/>
    </xf>
    <xf numFmtId="0" fontId="15" fillId="0" borderId="0" xfId="0" applyFont="1" applyAlignment="1">
      <alignment horizontal="center"/>
    </xf>
    <xf numFmtId="0" fontId="17" fillId="0" borderId="0" xfId="0" applyFont="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15" fillId="0" borderId="9" xfId="0"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0" fontId="15" fillId="0" borderId="14" xfId="0" applyFont="1" applyBorder="1" applyAlignment="1">
      <alignment horizontal="center"/>
    </xf>
    <xf numFmtId="0" fontId="15" fillId="0" borderId="5" xfId="0" applyFont="1" applyBorder="1" applyAlignment="1">
      <alignment horizontal="center"/>
    </xf>
    <xf numFmtId="0" fontId="15" fillId="0" borderId="15" xfId="0" applyFont="1" applyBorder="1" applyAlignment="1">
      <alignment horizontal="center"/>
    </xf>
    <xf numFmtId="0" fontId="15" fillId="0" borderId="26"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5" fillId="0" borderId="0" xfId="0" applyFont="1" applyAlignment="1">
      <alignment horizontal="center"/>
    </xf>
    <xf numFmtId="0" fontId="0" fillId="0" borderId="0" xfId="0" applyFill="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2"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4</xdr:col>
      <xdr:colOff>341360</xdr:colOff>
      <xdr:row>176</xdr:row>
      <xdr:rowOff>0</xdr:rowOff>
    </xdr:from>
    <xdr:ext cx="65" cy="172227"/>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958936" y="3501139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6</xdr:col>
      <xdr:colOff>214217</xdr:colOff>
      <xdr:row>179</xdr:row>
      <xdr:rowOff>0</xdr:rowOff>
    </xdr:from>
    <xdr:to>
      <xdr:col>7</xdr:col>
      <xdr:colOff>477186</xdr:colOff>
      <xdr:row>181</xdr:row>
      <xdr:rowOff>33969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3133" y="38451928"/>
          <a:ext cx="1409700" cy="431800"/>
        </a:xfrm>
        <a:prstGeom prst="rect">
          <a:avLst/>
        </a:prstGeom>
      </xdr:spPr>
    </xdr:pic>
    <xdr:clientData/>
  </xdr:twoCellAnchor>
  <xdr:oneCellAnchor>
    <xdr:from>
      <xdr:col>4</xdr:col>
      <xdr:colOff>589280</xdr:colOff>
      <xdr:row>225</xdr:row>
      <xdr:rowOff>71120</xdr:rowOff>
    </xdr:from>
    <xdr:ext cx="65" cy="172227"/>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4206240" y="4759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69850</xdr:colOff>
          <xdr:row>239</xdr:row>
          <xdr:rowOff>31750</xdr:rowOff>
        </xdr:from>
        <xdr:to>
          <xdr:col>3</xdr:col>
          <xdr:colOff>717550</xdr:colOff>
          <xdr:row>240</xdr:row>
          <xdr:rowOff>152400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244</xdr:row>
          <xdr:rowOff>184150</xdr:rowOff>
        </xdr:from>
        <xdr:to>
          <xdr:col>1</xdr:col>
          <xdr:colOff>685800</xdr:colOff>
          <xdr:row>247</xdr:row>
          <xdr:rowOff>12700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424296</xdr:colOff>
      <xdr:row>138</xdr:row>
      <xdr:rowOff>69273</xdr:rowOff>
    </xdr:from>
    <xdr:to>
      <xdr:col>1</xdr:col>
      <xdr:colOff>1731818</xdr:colOff>
      <xdr:row>139</xdr:row>
      <xdr:rowOff>181842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45" t="7409" r="5251" b="16665"/>
        <a:stretch/>
      </xdr:blipFill>
      <xdr:spPr>
        <a:xfrm>
          <a:off x="1108364" y="29319682"/>
          <a:ext cx="1307522" cy="3550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191</xdr:row>
          <xdr:rowOff>31750</xdr:rowOff>
        </xdr:from>
        <xdr:to>
          <xdr:col>2</xdr:col>
          <xdr:colOff>698500</xdr:colOff>
          <xdr:row>193</xdr:row>
          <xdr:rowOff>57150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image" Target="../media/image2.emf"/><Relationship Id="rId5" Type="http://schemas.openxmlformats.org/officeDocument/2006/relationships/oleObject" Target="../embeddings/oleObject2.bin"/><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2.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338"/>
  <sheetViews>
    <sheetView tabSelected="1" zoomScale="90" zoomScaleNormal="90" workbookViewId="0">
      <selection activeCell="A53" sqref="A53:B53"/>
    </sheetView>
  </sheetViews>
  <sheetFormatPr defaultColWidth="11" defaultRowHeight="15.5"/>
  <cols>
    <col min="1" max="1" width="15" customWidth="1"/>
    <col min="2" max="2" width="12.58203125" customWidth="1"/>
    <col min="7" max="7" width="15.08203125" customWidth="1"/>
  </cols>
  <sheetData>
    <row r="2" spans="1:11">
      <c r="A2" t="s">
        <v>0</v>
      </c>
    </row>
    <row r="4" spans="1:11">
      <c r="A4" s="1" t="s">
        <v>1</v>
      </c>
    </row>
    <row r="5" spans="1:11">
      <c r="B5" t="s">
        <v>2</v>
      </c>
      <c r="C5">
        <f>130</f>
        <v>130</v>
      </c>
      <c r="D5" t="s">
        <v>3</v>
      </c>
    </row>
    <row r="6" spans="1:11" ht="16.5">
      <c r="A6" s="153" t="s">
        <v>4</v>
      </c>
      <c r="B6" s="153"/>
      <c r="C6">
        <f>12+(3/4)</f>
        <v>12.75</v>
      </c>
      <c r="D6" t="s">
        <v>5</v>
      </c>
    </row>
    <row r="7" spans="1:11">
      <c r="A7" s="153" t="s">
        <v>6</v>
      </c>
      <c r="B7" s="153"/>
      <c r="C7">
        <f>C6+(B14/12)</f>
        <v>13.5</v>
      </c>
      <c r="D7" t="s">
        <v>5</v>
      </c>
    </row>
    <row r="8" spans="1:11" ht="16">
      <c r="A8" s="153" t="s">
        <v>9</v>
      </c>
      <c r="B8" s="153"/>
      <c r="C8">
        <f>50</f>
        <v>50</v>
      </c>
      <c r="D8" t="s">
        <v>8</v>
      </c>
    </row>
    <row r="9" spans="1:11">
      <c r="A9" s="153" t="s">
        <v>204</v>
      </c>
      <c r="B9" s="153"/>
      <c r="C9">
        <f>13</f>
        <v>13</v>
      </c>
      <c r="D9" t="s">
        <v>5</v>
      </c>
    </row>
    <row r="10" spans="1:11">
      <c r="C10" s="154" t="s">
        <v>10</v>
      </c>
      <c r="D10" s="154"/>
    </row>
    <row r="12" spans="1:11">
      <c r="A12" s="153" t="s">
        <v>201</v>
      </c>
      <c r="B12" s="153"/>
      <c r="E12" s="155" t="s">
        <v>17</v>
      </c>
      <c r="F12" s="155"/>
      <c r="G12" s="3"/>
    </row>
    <row r="13" spans="1:11">
      <c r="A13" s="153" t="s">
        <v>11</v>
      </c>
      <c r="B13" s="153"/>
      <c r="E13" s="155" t="s">
        <v>11</v>
      </c>
      <c r="F13" s="155"/>
      <c r="G13" s="3"/>
      <c r="H13" t="s">
        <v>205</v>
      </c>
    </row>
    <row r="14" spans="1:11">
      <c r="A14" s="18">
        <v>9</v>
      </c>
      <c r="B14" s="18">
        <v>9</v>
      </c>
      <c r="C14" s="18">
        <v>6</v>
      </c>
      <c r="E14" s="19">
        <v>4</v>
      </c>
      <c r="F14" s="19">
        <v>4</v>
      </c>
      <c r="G14" s="19">
        <v>2</v>
      </c>
      <c r="H14">
        <f>SQRT(C9^2+B30^2)</f>
        <v>16.401219466856727</v>
      </c>
    </row>
    <row r="15" spans="1:11" ht="18.5">
      <c r="A15" t="s">
        <v>12</v>
      </c>
      <c r="B15">
        <v>11.8</v>
      </c>
      <c r="C15" t="s">
        <v>15</v>
      </c>
      <c r="E15" s="3" t="s">
        <v>12</v>
      </c>
      <c r="F15" s="3">
        <v>1.77</v>
      </c>
      <c r="G15" s="3" t="s">
        <v>16</v>
      </c>
      <c r="H15" s="3"/>
      <c r="I15" s="3"/>
      <c r="K15" s="3"/>
    </row>
    <row r="16" spans="1:11">
      <c r="A16" t="s">
        <v>13</v>
      </c>
      <c r="B16">
        <v>42.79</v>
      </c>
      <c r="C16" t="s">
        <v>14</v>
      </c>
      <c r="E16" s="3" t="s">
        <v>13</v>
      </c>
      <c r="F16" s="3">
        <v>6.46</v>
      </c>
      <c r="G16" s="3" t="s">
        <v>14</v>
      </c>
    </row>
    <row r="18" spans="1:7">
      <c r="A18" s="153" t="s">
        <v>202</v>
      </c>
      <c r="B18" s="153"/>
      <c r="E18" s="155" t="s">
        <v>203</v>
      </c>
      <c r="F18" s="155"/>
      <c r="G18" s="3"/>
    </row>
    <row r="19" spans="1:7">
      <c r="A19" s="153" t="s">
        <v>11</v>
      </c>
      <c r="B19" s="153"/>
      <c r="E19" s="155" t="s">
        <v>11</v>
      </c>
      <c r="F19" s="155"/>
      <c r="G19" s="3"/>
    </row>
    <row r="20" spans="1:7">
      <c r="A20" s="18">
        <v>9</v>
      </c>
      <c r="B20" s="18">
        <v>9</v>
      </c>
      <c r="C20" s="18">
        <v>6</v>
      </c>
      <c r="E20" s="20">
        <v>7</v>
      </c>
      <c r="F20" s="20">
        <v>7</v>
      </c>
      <c r="G20" s="20">
        <v>3</v>
      </c>
    </row>
    <row r="21" spans="1:7" ht="18.5">
      <c r="A21" t="s">
        <v>12</v>
      </c>
      <c r="B21">
        <f>B15</f>
        <v>11.8</v>
      </c>
      <c r="C21" t="s">
        <v>15</v>
      </c>
      <c r="E21" s="3" t="s">
        <v>12</v>
      </c>
      <c r="F21" s="3">
        <f>4.67</f>
        <v>4.67</v>
      </c>
      <c r="G21" s="3" t="s">
        <v>16</v>
      </c>
    </row>
    <row r="22" spans="1:7">
      <c r="A22" t="s">
        <v>13</v>
      </c>
      <c r="B22">
        <f>B16</f>
        <v>42.79</v>
      </c>
      <c r="C22" t="s">
        <v>14</v>
      </c>
      <c r="E22" s="3" t="s">
        <v>13</v>
      </c>
      <c r="F22" s="3">
        <f>17.08</f>
        <v>17.079999999999998</v>
      </c>
      <c r="G22" s="3" t="s">
        <v>14</v>
      </c>
    </row>
    <row r="23" spans="1:7" ht="19">
      <c r="E23" t="s">
        <v>213</v>
      </c>
      <c r="F23">
        <f>36</f>
        <v>36</v>
      </c>
      <c r="G23" t="s">
        <v>23</v>
      </c>
    </row>
    <row r="25" spans="1:7">
      <c r="C25" s="153" t="s">
        <v>18</v>
      </c>
      <c r="D25" s="153"/>
    </row>
    <row r="26" spans="1:7">
      <c r="A26" t="s">
        <v>238</v>
      </c>
    </row>
    <row r="27" spans="1:7" ht="19">
      <c r="A27" t="s">
        <v>22</v>
      </c>
      <c r="B27">
        <f>170</f>
        <v>170</v>
      </c>
      <c r="C27" t="s">
        <v>23</v>
      </c>
    </row>
    <row r="28" spans="1:7" ht="19">
      <c r="A28" t="s">
        <v>19</v>
      </c>
      <c r="B28">
        <f>32.4</f>
        <v>32.4</v>
      </c>
      <c r="C28" t="s">
        <v>24</v>
      </c>
    </row>
    <row r="29" spans="1:7">
      <c r="A29" t="s">
        <v>13</v>
      </c>
      <c r="B29">
        <f>30</f>
        <v>30</v>
      </c>
      <c r="C29" t="s">
        <v>14</v>
      </c>
    </row>
    <row r="30" spans="1:7">
      <c r="A30" t="s">
        <v>20</v>
      </c>
      <c r="B30">
        <f>10</f>
        <v>10</v>
      </c>
      <c r="C30" s="153" t="s">
        <v>21</v>
      </c>
      <c r="D30" s="153"/>
      <c r="E30" s="153"/>
    </row>
    <row r="31" spans="1:7">
      <c r="C31" s="23"/>
      <c r="D31" s="23"/>
      <c r="E31" s="23"/>
    </row>
    <row r="32" spans="1:7">
      <c r="C32" s="24" t="s">
        <v>331</v>
      </c>
      <c r="D32" s="23"/>
      <c r="E32" s="23"/>
    </row>
    <row r="33" spans="1:8">
      <c r="A33" t="s">
        <v>330</v>
      </c>
      <c r="B33">
        <v>6</v>
      </c>
      <c r="C33" s="23">
        <v>12</v>
      </c>
      <c r="D33" s="23"/>
      <c r="E33" s="23"/>
      <c r="G33" t="s">
        <v>205</v>
      </c>
    </row>
    <row r="34" spans="1:8">
      <c r="A34" t="s">
        <v>13</v>
      </c>
      <c r="B34">
        <f>C33</f>
        <v>12</v>
      </c>
      <c r="C34" s="23"/>
      <c r="D34" s="23" t="s">
        <v>300</v>
      </c>
      <c r="E34" s="23">
        <f>10</f>
        <v>10</v>
      </c>
      <c r="F34" t="s">
        <v>5</v>
      </c>
      <c r="G34">
        <f>SQRT(C6^2+E34^2)</f>
        <v>16.203780423098802</v>
      </c>
      <c r="H34" t="s">
        <v>3</v>
      </c>
    </row>
    <row r="35" spans="1:8" ht="18.5">
      <c r="A35" t="s">
        <v>12</v>
      </c>
      <c r="B35">
        <f>3.55</f>
        <v>3.55</v>
      </c>
      <c r="C35" s="23" t="s">
        <v>15</v>
      </c>
      <c r="D35" s="23"/>
      <c r="E35" s="23"/>
    </row>
    <row r="36" spans="1:8">
      <c r="A36" t="s">
        <v>334</v>
      </c>
      <c r="B36">
        <f>6.03</f>
        <v>6.03</v>
      </c>
    </row>
    <row r="37" spans="1:8">
      <c r="C37" s="154" t="s">
        <v>25</v>
      </c>
      <c r="D37" s="154"/>
    </row>
    <row r="38" spans="1:8">
      <c r="A38" s="153" t="s">
        <v>30</v>
      </c>
      <c r="B38" s="153"/>
      <c r="C38" s="153"/>
      <c r="D38">
        <f>ROUND(G38,1)</f>
        <v>151.19999999999999</v>
      </c>
      <c r="E38" t="s">
        <v>27</v>
      </c>
      <c r="G38">
        <f>(F16*H14*2+B16*B30+F22*2*C9+B30*B22)/B30</f>
        <v>151.1783755511789</v>
      </c>
      <c r="H38" t="s">
        <v>206</v>
      </c>
    </row>
    <row r="39" spans="1:8">
      <c r="A39" s="153" t="s">
        <v>26</v>
      </c>
      <c r="B39" s="153"/>
      <c r="C39" s="153"/>
      <c r="D39">
        <f>60/(C7/2)*(2/12)</f>
        <v>1.4814814814814814</v>
      </c>
      <c r="E39" t="s">
        <v>333</v>
      </c>
    </row>
    <row r="40" spans="1:8">
      <c r="A40" s="153" t="s">
        <v>31</v>
      </c>
      <c r="B40" s="153"/>
      <c r="C40" s="153"/>
      <c r="D40">
        <v>60</v>
      </c>
      <c r="E40" t="s">
        <v>27</v>
      </c>
    </row>
    <row r="41" spans="1:8">
      <c r="A41" s="153" t="s">
        <v>235</v>
      </c>
      <c r="B41" s="153"/>
      <c r="C41" s="153"/>
      <c r="D41">
        <f>ROUND((B29*14*'Truss Weight'!C45)/(130*2),2)</f>
        <v>20.87</v>
      </c>
      <c r="E41" t="s">
        <v>14</v>
      </c>
      <c r="G41">
        <f>B16*B30</f>
        <v>427.9</v>
      </c>
    </row>
    <row r="42" spans="1:8">
      <c r="A42" s="26"/>
      <c r="B42" s="26" t="s">
        <v>332</v>
      </c>
      <c r="C42" s="26"/>
      <c r="D42">
        <f>(B34*G34*28)/(C5*2)</f>
        <v>20.940270085235372</v>
      </c>
      <c r="E42" t="s">
        <v>333</v>
      </c>
      <c r="G42">
        <f>H14*F16*2</f>
        <v>211.90375551178892</v>
      </c>
    </row>
    <row r="43" spans="1:8">
      <c r="A43" s="28"/>
      <c r="B43" s="28" t="s">
        <v>335</v>
      </c>
      <c r="C43" s="28"/>
      <c r="D43">
        <f>30.74</f>
        <v>30.74</v>
      </c>
      <c r="E43" t="s">
        <v>333</v>
      </c>
      <c r="G43">
        <f>F22*13*2</f>
        <v>444.07999999999993</v>
      </c>
    </row>
    <row r="44" spans="1:8">
      <c r="A44" s="153" t="s">
        <v>236</v>
      </c>
      <c r="B44" s="153"/>
      <c r="C44" s="153"/>
      <c r="G44">
        <f>B29*'Truss Weight'!C45</f>
        <v>387.6</v>
      </c>
    </row>
    <row r="45" spans="1:8">
      <c r="A45" s="153" t="s">
        <v>29</v>
      </c>
      <c r="B45" s="153"/>
      <c r="C45" s="153"/>
      <c r="D45">
        <f>D40+G38+D41+D42+D43</f>
        <v>283.72864563641429</v>
      </c>
      <c r="E45" t="s">
        <v>14</v>
      </c>
      <c r="G45">
        <f>SUM(G41:G44)</f>
        <v>1471.4837555117888</v>
      </c>
    </row>
    <row r="46" spans="1:8">
      <c r="B46" t="s">
        <v>32</v>
      </c>
      <c r="D46">
        <f>283.7</f>
        <v>283.7</v>
      </c>
      <c r="E46" t="s">
        <v>14</v>
      </c>
    </row>
    <row r="48" spans="1:8">
      <c r="C48" s="154" t="s">
        <v>33</v>
      </c>
      <c r="D48" s="154"/>
    </row>
    <row r="49" spans="1:4">
      <c r="C49" s="2"/>
      <c r="D49" s="2"/>
    </row>
    <row r="50" spans="1:4">
      <c r="A50" t="s">
        <v>38</v>
      </c>
    </row>
    <row r="51" spans="1:4">
      <c r="A51" s="153" t="s">
        <v>34</v>
      </c>
      <c r="B51" s="153"/>
      <c r="C51" t="s">
        <v>35</v>
      </c>
    </row>
    <row r="52" spans="1:4">
      <c r="A52" s="153" t="s">
        <v>36</v>
      </c>
      <c r="B52" s="153"/>
      <c r="C52">
        <f>90</f>
        <v>90</v>
      </c>
      <c r="D52" t="s">
        <v>28</v>
      </c>
    </row>
    <row r="53" spans="1:4">
      <c r="A53" s="153" t="s">
        <v>37</v>
      </c>
      <c r="B53" s="153"/>
      <c r="C53">
        <f>C52*(C6-(3/4))/2</f>
        <v>540</v>
      </c>
      <c r="D53" t="s">
        <v>14</v>
      </c>
    </row>
    <row r="55" spans="1:4">
      <c r="A55" t="s">
        <v>39</v>
      </c>
    </row>
    <row r="56" spans="1:4">
      <c r="A56">
        <f>90</f>
        <v>90</v>
      </c>
      <c r="B56" t="s">
        <v>28</v>
      </c>
      <c r="C56" t="s">
        <v>40</v>
      </c>
    </row>
    <row r="58" spans="1:4">
      <c r="A58" t="s">
        <v>41</v>
      </c>
    </row>
    <row r="59" spans="1:4">
      <c r="A59" t="s">
        <v>42</v>
      </c>
    </row>
    <row r="60" spans="1:4">
      <c r="A60" t="s">
        <v>45</v>
      </c>
    </row>
    <row r="62" spans="1:4">
      <c r="A62" t="s">
        <v>43</v>
      </c>
      <c r="B62">
        <f>4</f>
        <v>4</v>
      </c>
      <c r="C62" t="s">
        <v>46</v>
      </c>
    </row>
    <row r="63" spans="1:4">
      <c r="A63" t="s">
        <v>47</v>
      </c>
      <c r="B63">
        <f>16</f>
        <v>16</v>
      </c>
      <c r="C63" t="s">
        <v>46</v>
      </c>
    </row>
    <row r="64" spans="1:4">
      <c r="A64" t="s">
        <v>44</v>
      </c>
      <c r="B64">
        <v>14</v>
      </c>
      <c r="C64" t="s">
        <v>5</v>
      </c>
    </row>
    <row r="65" spans="1:3">
      <c r="A65" t="s">
        <v>48</v>
      </c>
      <c r="B65">
        <f>6</f>
        <v>6</v>
      </c>
      <c r="C65" t="s">
        <v>5</v>
      </c>
    </row>
    <row r="67" spans="1:3">
      <c r="B67" s="1" t="s">
        <v>49</v>
      </c>
    </row>
    <row r="68" spans="1:3">
      <c r="B68" s="1"/>
    </row>
    <row r="69" spans="1:3">
      <c r="A69" t="s">
        <v>69</v>
      </c>
      <c r="B69" s="1"/>
    </row>
    <row r="70" spans="1:3">
      <c r="A70" t="s">
        <v>50</v>
      </c>
    </row>
    <row r="72" spans="1:3">
      <c r="A72" t="s">
        <v>51</v>
      </c>
    </row>
    <row r="74" spans="1:3" ht="16.5">
      <c r="A74" t="s">
        <v>53</v>
      </c>
      <c r="B74" t="s">
        <v>54</v>
      </c>
    </row>
    <row r="75" spans="1:3" ht="19.5">
      <c r="A75" t="s">
        <v>53</v>
      </c>
      <c r="B75" t="s">
        <v>55</v>
      </c>
    </row>
    <row r="77" spans="1:3" ht="16.5">
      <c r="A77" t="s">
        <v>56</v>
      </c>
      <c r="B77" t="s">
        <v>57</v>
      </c>
    </row>
    <row r="78" spans="1:3">
      <c r="A78" t="s">
        <v>7</v>
      </c>
      <c r="B78">
        <f>1</f>
        <v>1</v>
      </c>
    </row>
    <row r="80" spans="1:3">
      <c r="A80" t="s">
        <v>58</v>
      </c>
      <c r="B80" t="s">
        <v>59</v>
      </c>
    </row>
    <row r="81" spans="1:3">
      <c r="A81" t="s">
        <v>7</v>
      </c>
      <c r="B81">
        <f>1.14</f>
        <v>1.1399999999999999</v>
      </c>
      <c r="C81" t="s">
        <v>60</v>
      </c>
    </row>
    <row r="83" spans="1:3">
      <c r="A83" t="s">
        <v>61</v>
      </c>
      <c r="B83" t="s">
        <v>62</v>
      </c>
    </row>
    <row r="84" spans="1:3">
      <c r="A84" t="s">
        <v>7</v>
      </c>
      <c r="B84">
        <f>105</f>
        <v>105</v>
      </c>
      <c r="C84" t="s">
        <v>63</v>
      </c>
    </row>
    <row r="86" spans="1:3" ht="16.5">
      <c r="A86" t="s">
        <v>64</v>
      </c>
      <c r="B86" t="s">
        <v>65</v>
      </c>
    </row>
    <row r="87" spans="1:3">
      <c r="A87" t="s">
        <v>7</v>
      </c>
      <c r="B87">
        <f>1.15</f>
        <v>1.1499999999999999</v>
      </c>
    </row>
    <row r="89" spans="1:3" ht="16.5">
      <c r="A89" t="s">
        <v>66</v>
      </c>
      <c r="B89" t="s">
        <v>67</v>
      </c>
    </row>
    <row r="90" spans="1:3">
      <c r="A90" t="s">
        <v>7</v>
      </c>
      <c r="B90">
        <f>2</f>
        <v>2</v>
      </c>
    </row>
    <row r="92" spans="1:3">
      <c r="A92" t="s">
        <v>52</v>
      </c>
      <c r="B92">
        <f>0.00256*B78*B81*B84^2*B87*B90</f>
        <v>74.003327999999982</v>
      </c>
      <c r="C92" t="s">
        <v>28</v>
      </c>
    </row>
    <row r="94" spans="1:3">
      <c r="A94" s="5" t="s">
        <v>68</v>
      </c>
      <c r="B94" s="5"/>
      <c r="C94" s="5"/>
    </row>
    <row r="95" spans="1:3">
      <c r="A95" t="s">
        <v>70</v>
      </c>
      <c r="B95" s="5">
        <f>2*B14/12*10</f>
        <v>15</v>
      </c>
    </row>
    <row r="96" spans="1:3">
      <c r="A96" t="s">
        <v>71</v>
      </c>
      <c r="B96" s="5">
        <f>2*F20/12*C9</f>
        <v>15.166666666666668</v>
      </c>
    </row>
    <row r="97" spans="1:5">
      <c r="A97" t="s">
        <v>17</v>
      </c>
      <c r="B97" s="5">
        <f>2*F14/12*H14</f>
        <v>10.934146311237818</v>
      </c>
    </row>
    <row r="98" spans="1:5">
      <c r="A98" t="s">
        <v>181</v>
      </c>
      <c r="B98" s="5">
        <f>SUM(B95:B97)</f>
        <v>41.100812977904482</v>
      </c>
    </row>
    <row r="100" spans="1:5">
      <c r="A100" t="s">
        <v>72</v>
      </c>
      <c r="B100" s="5">
        <f>2/12*B30</f>
        <v>1.6666666666666665</v>
      </c>
    </row>
    <row r="101" spans="1:5">
      <c r="B101" s="5"/>
    </row>
    <row r="102" spans="1:5">
      <c r="A102" t="s">
        <v>320</v>
      </c>
      <c r="B102" s="5">
        <f>((B36/12)*10)</f>
        <v>5.0250000000000004</v>
      </c>
    </row>
    <row r="103" spans="1:5">
      <c r="B103" s="5"/>
      <c r="E103" t="s">
        <v>354</v>
      </c>
    </row>
    <row r="104" spans="1:5">
      <c r="A104" t="s">
        <v>335</v>
      </c>
      <c r="B104" s="5">
        <f>1.13333333333333+ E104</f>
        <v>1.78958333333333</v>
      </c>
      <c r="D104">
        <f>(7+(7/8))*5/12</f>
        <v>3.28125</v>
      </c>
      <c r="E104">
        <f>D104/5</f>
        <v>0.65625</v>
      </c>
    </row>
    <row r="106" spans="1:5" ht="16.5">
      <c r="A106" s="5" t="s">
        <v>73</v>
      </c>
      <c r="B106" s="5" t="s">
        <v>74</v>
      </c>
      <c r="C106" s="5"/>
      <c r="D106" s="5"/>
    </row>
    <row r="107" spans="1:5">
      <c r="B107">
        <f>2*(B98+B100+B102+B104)*B92*13/C5</f>
        <v>733.84753389410412</v>
      </c>
    </row>
    <row r="110" spans="1:5">
      <c r="A110" t="s">
        <v>75</v>
      </c>
    </row>
    <row r="111" spans="1:5" ht="16.5">
      <c r="A111" t="s">
        <v>76</v>
      </c>
      <c r="B111" t="s">
        <v>77</v>
      </c>
    </row>
    <row r="112" spans="1:5" ht="16.5">
      <c r="A112" t="s">
        <v>7</v>
      </c>
      <c r="B112" t="s">
        <v>78</v>
      </c>
    </row>
    <row r="114" spans="1:3" ht="16.5">
      <c r="A114" t="s">
        <v>79</v>
      </c>
      <c r="B114">
        <f>C6</f>
        <v>12.75</v>
      </c>
      <c r="C114" t="s">
        <v>5</v>
      </c>
    </row>
    <row r="115" spans="1:3" ht="16.5">
      <c r="A115" t="s">
        <v>80</v>
      </c>
      <c r="B115">
        <f>0.02</f>
        <v>0.02</v>
      </c>
      <c r="C115" t="s">
        <v>81</v>
      </c>
    </row>
    <row r="117" spans="1:3" ht="16.5">
      <c r="A117" t="s">
        <v>76</v>
      </c>
      <c r="B117">
        <f>B114*B115*1000</f>
        <v>255</v>
      </c>
      <c r="C117" t="s">
        <v>14</v>
      </c>
    </row>
    <row r="119" spans="1:3">
      <c r="A119" s="5" t="s">
        <v>82</v>
      </c>
      <c r="B119" s="5"/>
    </row>
    <row r="120" spans="1:3">
      <c r="A120">
        <f>B117*(B114*0.75+ (0.5*B20/12))/C7</f>
        <v>187.70833333333334</v>
      </c>
    </row>
    <row r="122" spans="1:3">
      <c r="A122" s="5" t="s">
        <v>200</v>
      </c>
      <c r="B122" s="5"/>
      <c r="C122" s="5"/>
    </row>
    <row r="123" spans="1:3">
      <c r="A123">
        <f>B117*(B114*0.25+ (0.5*B20/12))/C7</f>
        <v>67.291666666666671</v>
      </c>
    </row>
    <row r="125" spans="1:3">
      <c r="A125" t="s">
        <v>198</v>
      </c>
      <c r="B125">
        <f>SUM(A120+A123)</f>
        <v>255</v>
      </c>
      <c r="C125" t="s">
        <v>14</v>
      </c>
    </row>
    <row r="128" spans="1:3">
      <c r="A128" s="1" t="s">
        <v>83</v>
      </c>
    </row>
    <row r="130" spans="1:4">
      <c r="A130" s="153" t="s">
        <v>84</v>
      </c>
      <c r="B130" s="153"/>
      <c r="C130">
        <f>D45</f>
        <v>283.72864563641429</v>
      </c>
      <c r="D130" t="s">
        <v>14</v>
      </c>
    </row>
    <row r="131" spans="1:4">
      <c r="A131" s="153" t="s">
        <v>85</v>
      </c>
      <c r="B131" s="153"/>
      <c r="C131">
        <f>C53</f>
        <v>540</v>
      </c>
      <c r="D131" t="s">
        <v>14</v>
      </c>
    </row>
    <row r="132" spans="1:4">
      <c r="A132" s="153" t="s">
        <v>86</v>
      </c>
      <c r="B132" s="153"/>
      <c r="C132">
        <f>MAX(A120,A123)</f>
        <v>187.70833333333334</v>
      </c>
      <c r="D132" t="s">
        <v>14</v>
      </c>
    </row>
    <row r="134" spans="1:4">
      <c r="A134" s="156" t="s">
        <v>87</v>
      </c>
      <c r="B134" s="156"/>
      <c r="C134" s="156"/>
      <c r="D134" s="5"/>
    </row>
    <row r="135" spans="1:4">
      <c r="A135" s="5"/>
      <c r="B135" s="5"/>
      <c r="C135" s="5"/>
      <c r="D135" s="5"/>
    </row>
    <row r="136" spans="1:4">
      <c r="A136" s="6" t="s">
        <v>191</v>
      </c>
      <c r="B136" s="6" t="s">
        <v>192</v>
      </c>
      <c r="C136" s="6" t="s">
        <v>193</v>
      </c>
      <c r="D136" s="6" t="s">
        <v>194</v>
      </c>
    </row>
    <row r="137" spans="1:4">
      <c r="A137" s="7" t="s">
        <v>182</v>
      </c>
      <c r="B137" s="7">
        <f>1.25</f>
        <v>1.25</v>
      </c>
      <c r="C137" s="7">
        <f>1.75</f>
        <v>1.75</v>
      </c>
      <c r="D137" s="7">
        <v>0</v>
      </c>
    </row>
    <row r="138" spans="1:4">
      <c r="A138" s="7" t="s">
        <v>183</v>
      </c>
      <c r="B138" s="7">
        <f>1.25</f>
        <v>1.25</v>
      </c>
      <c r="C138" s="7">
        <f>0</f>
        <v>0</v>
      </c>
      <c r="D138" s="8">
        <f>1</f>
        <v>1</v>
      </c>
    </row>
    <row r="139" spans="1:4">
      <c r="A139" s="7" t="s">
        <v>184</v>
      </c>
      <c r="B139" s="8">
        <v>1</v>
      </c>
      <c r="C139" s="8">
        <f>1</f>
        <v>1</v>
      </c>
      <c r="D139" s="8">
        <f>1</f>
        <v>1</v>
      </c>
    </row>
    <row r="140" spans="1:4">
      <c r="A140" s="7" t="s">
        <v>185</v>
      </c>
      <c r="B140" s="8">
        <v>1</v>
      </c>
      <c r="C140" s="17">
        <f>1.3</f>
        <v>1.3</v>
      </c>
      <c r="D140" s="17">
        <v>0</v>
      </c>
    </row>
    <row r="141" spans="1:4">
      <c r="A141" s="7" t="s">
        <v>186</v>
      </c>
      <c r="B141" s="8">
        <v>1</v>
      </c>
      <c r="C141" s="17">
        <v>1</v>
      </c>
      <c r="D141" s="17">
        <v>0</v>
      </c>
    </row>
    <row r="142" spans="1:4">
      <c r="A142" s="17" t="s">
        <v>187</v>
      </c>
      <c r="B142" s="8">
        <v>1</v>
      </c>
      <c r="C142" s="17">
        <v>0</v>
      </c>
      <c r="D142" s="17">
        <f>1</f>
        <v>1</v>
      </c>
    </row>
    <row r="143" spans="1:4">
      <c r="A143" s="7" t="s">
        <v>188</v>
      </c>
      <c r="B143" s="8">
        <v>0</v>
      </c>
      <c r="C143" s="17">
        <v>1</v>
      </c>
      <c r="D143" s="17">
        <f>0</f>
        <v>0</v>
      </c>
    </row>
    <row r="144" spans="1:4">
      <c r="A144" s="7" t="s">
        <v>189</v>
      </c>
      <c r="B144" s="8">
        <v>1</v>
      </c>
      <c r="C144" s="160">
        <f>B144</f>
        <v>1</v>
      </c>
      <c r="D144" s="17">
        <v>0</v>
      </c>
    </row>
    <row r="145" spans="1:6">
      <c r="A145" s="7" t="s">
        <v>190</v>
      </c>
      <c r="B145" s="8">
        <v>1</v>
      </c>
      <c r="C145" s="160">
        <f>B145</f>
        <v>1</v>
      </c>
      <c r="D145" s="17">
        <v>0</v>
      </c>
    </row>
    <row r="146" spans="1:6">
      <c r="A146" s="7"/>
      <c r="B146" s="8"/>
      <c r="C146" s="17"/>
      <c r="D146" s="17"/>
    </row>
    <row r="147" spans="1:6">
      <c r="B147" t="s">
        <v>197</v>
      </c>
      <c r="E147" t="s">
        <v>195</v>
      </c>
    </row>
    <row r="148" spans="1:6">
      <c r="A148" s="7" t="s">
        <v>182</v>
      </c>
      <c r="B148">
        <f>B137*C130+C131*C137</f>
        <v>1299.6608070455179</v>
      </c>
      <c r="C148" t="s">
        <v>14</v>
      </c>
      <c r="E148">
        <f t="shared" ref="E148:E156" si="0">ROUNDUP(B148,2)</f>
        <v>1299.67</v>
      </c>
      <c r="F148" t="s">
        <v>14</v>
      </c>
    </row>
    <row r="149" spans="1:6">
      <c r="A149" s="7" t="s">
        <v>183</v>
      </c>
      <c r="B149">
        <f>B138*C130+C132</f>
        <v>542.36914037885117</v>
      </c>
      <c r="C149" t="s">
        <v>14</v>
      </c>
      <c r="E149">
        <f t="shared" si="0"/>
        <v>542.37</v>
      </c>
      <c r="F149" t="s">
        <v>14</v>
      </c>
    </row>
    <row r="150" spans="1:6">
      <c r="A150" s="7" t="s">
        <v>184</v>
      </c>
      <c r="B150">
        <f>C130*B139+C131+C132</f>
        <v>1011.4369789697477</v>
      </c>
      <c r="C150" t="s">
        <v>14</v>
      </c>
      <c r="E150">
        <f t="shared" si="0"/>
        <v>1011.4399999999999</v>
      </c>
      <c r="F150" t="s">
        <v>14</v>
      </c>
    </row>
    <row r="151" spans="1:6">
      <c r="A151" s="7" t="s">
        <v>185</v>
      </c>
      <c r="B151">
        <f>C130+C131*C140</f>
        <v>985.72864563641429</v>
      </c>
      <c r="C151" t="s">
        <v>14</v>
      </c>
      <c r="E151">
        <f t="shared" si="0"/>
        <v>985.73</v>
      </c>
      <c r="F151" t="s">
        <v>14</v>
      </c>
    </row>
    <row r="152" spans="1:6">
      <c r="A152" s="7" t="s">
        <v>186</v>
      </c>
      <c r="B152">
        <f>C130+C131*C141</f>
        <v>823.72864563641429</v>
      </c>
      <c r="C152" t="s">
        <v>14</v>
      </c>
      <c r="E152">
        <f t="shared" si="0"/>
        <v>823.73</v>
      </c>
      <c r="F152" t="s">
        <v>14</v>
      </c>
    </row>
    <row r="153" spans="1:6">
      <c r="A153" s="17" t="s">
        <v>187</v>
      </c>
      <c r="B153">
        <f>C130+C132</f>
        <v>471.43697896974766</v>
      </c>
      <c r="C153" t="s">
        <v>14</v>
      </c>
      <c r="E153">
        <f t="shared" si="0"/>
        <v>471.44</v>
      </c>
      <c r="F153" t="s">
        <v>14</v>
      </c>
    </row>
    <row r="154" spans="1:6">
      <c r="A154" s="7" t="s">
        <v>188</v>
      </c>
      <c r="B154">
        <f>C143*C131</f>
        <v>540</v>
      </c>
      <c r="C154" t="s">
        <v>14</v>
      </c>
      <c r="E154">
        <f t="shared" si="0"/>
        <v>540</v>
      </c>
      <c r="F154" t="s">
        <v>14</v>
      </c>
    </row>
    <row r="155" spans="1:6">
      <c r="A155" s="7" t="s">
        <v>189</v>
      </c>
      <c r="B155">
        <f>C130+C131*C144</f>
        <v>823.72864563641429</v>
      </c>
      <c r="C155" t="s">
        <v>14</v>
      </c>
      <c r="E155">
        <f t="shared" si="0"/>
        <v>823.73</v>
      </c>
      <c r="F155" t="s">
        <v>14</v>
      </c>
    </row>
    <row r="156" spans="1:6">
      <c r="A156" s="7" t="s">
        <v>190</v>
      </c>
      <c r="B156">
        <f>C130+C131*C145</f>
        <v>823.72864563641429</v>
      </c>
      <c r="C156" t="s">
        <v>14</v>
      </c>
      <c r="E156">
        <f t="shared" si="0"/>
        <v>823.73</v>
      </c>
      <c r="F156" t="s">
        <v>14</v>
      </c>
    </row>
    <row r="157" spans="1:6">
      <c r="A157" s="7"/>
    </row>
    <row r="158" spans="1:6">
      <c r="A158" s="7" t="s">
        <v>196</v>
      </c>
      <c r="B158">
        <f>MAX(E148:E156)</f>
        <v>1299.67</v>
      </c>
      <c r="C158" t="s">
        <v>14</v>
      </c>
    </row>
    <row r="159" spans="1:6">
      <c r="A159" s="7"/>
      <c r="B159">
        <f>B158/1000</f>
        <v>1.2996700000000001</v>
      </c>
      <c r="C159" t="s">
        <v>237</v>
      </c>
    </row>
    <row r="161" spans="1:5">
      <c r="A161" s="1" t="s">
        <v>88</v>
      </c>
    </row>
    <row r="163" spans="1:5">
      <c r="A163" t="s">
        <v>89</v>
      </c>
    </row>
    <row r="164" spans="1:5">
      <c r="A164">
        <f>B158/1000*B30</f>
        <v>12.996700000000001</v>
      </c>
      <c r="B164" t="s">
        <v>199</v>
      </c>
    </row>
    <row r="167" spans="1:5">
      <c r="A167" s="5" t="s">
        <v>90</v>
      </c>
      <c r="B167" s="5"/>
      <c r="C167" s="5"/>
      <c r="D167" s="5"/>
      <c r="E167" s="5"/>
    </row>
    <row r="168" spans="1:5">
      <c r="A168" t="s">
        <v>207</v>
      </c>
      <c r="B168">
        <v>212.727</v>
      </c>
      <c r="C168" t="s">
        <v>152</v>
      </c>
    </row>
    <row r="169" spans="1:5">
      <c r="A169" t="s">
        <v>208</v>
      </c>
      <c r="B169">
        <v>214.38300000000001</v>
      </c>
      <c r="C169" t="s">
        <v>152</v>
      </c>
    </row>
    <row r="170" spans="1:5">
      <c r="A170" t="s">
        <v>91</v>
      </c>
      <c r="B170">
        <v>204.286</v>
      </c>
      <c r="C170" t="s">
        <v>152</v>
      </c>
    </row>
    <row r="171" spans="1:5">
      <c r="A171" t="s">
        <v>92</v>
      </c>
      <c r="B171">
        <v>11.096</v>
      </c>
      <c r="C171" t="s">
        <v>152</v>
      </c>
    </row>
    <row r="172" spans="1:5">
      <c r="A172" t="s">
        <v>93</v>
      </c>
      <c r="B172">
        <v>19.5</v>
      </c>
      <c r="C172" t="s">
        <v>152</v>
      </c>
    </row>
    <row r="174" spans="1:5">
      <c r="A174" t="s">
        <v>216</v>
      </c>
      <c r="B174">
        <f>(MAX(B168:B172))</f>
        <v>214.38300000000001</v>
      </c>
      <c r="C174" t="s">
        <v>152</v>
      </c>
    </row>
    <row r="177" spans="1:6">
      <c r="A177" s="1" t="s">
        <v>96</v>
      </c>
    </row>
    <row r="179" spans="1:6" ht="16.5">
      <c r="A179" t="s">
        <v>97</v>
      </c>
    </row>
    <row r="180" spans="1:6">
      <c r="A180" s="5" t="s">
        <v>98</v>
      </c>
      <c r="B180" t="s">
        <v>99</v>
      </c>
      <c r="D180" t="s">
        <v>105</v>
      </c>
    </row>
    <row r="181" spans="1:6">
      <c r="A181" t="s">
        <v>209</v>
      </c>
      <c r="B181">
        <f>29000</f>
        <v>29000</v>
      </c>
      <c r="C181" t="s">
        <v>8</v>
      </c>
      <c r="D181" s="153" t="s">
        <v>223</v>
      </c>
      <c r="E181" s="153"/>
      <c r="F181">
        <f>C7*12</f>
        <v>162</v>
      </c>
    </row>
    <row r="182" spans="1:6">
      <c r="D182" s="153" t="s">
        <v>210</v>
      </c>
      <c r="E182" s="153"/>
      <c r="F182">
        <f>(C9-2)*12</f>
        <v>132</v>
      </c>
    </row>
    <row r="183" spans="1:6" ht="16.5">
      <c r="D183" s="153" t="s">
        <v>211</v>
      </c>
      <c r="E183" s="153"/>
      <c r="F183">
        <f>B27</f>
        <v>170</v>
      </c>
    </row>
    <row r="184" spans="1:6" ht="16.5">
      <c r="D184" s="153" t="s">
        <v>212</v>
      </c>
      <c r="E184" s="153"/>
      <c r="F184">
        <f>F23</f>
        <v>36</v>
      </c>
    </row>
    <row r="185" spans="1:6">
      <c r="A185" t="s">
        <v>215</v>
      </c>
      <c r="B185">
        <f>B181/((F182^2*(F182/(3*F184)+(F181/(2*F183)))))</f>
        <v>0.97979515325347633</v>
      </c>
      <c r="C185" t="s">
        <v>214</v>
      </c>
    </row>
    <row r="187" spans="1:6">
      <c r="A187" s="5" t="s">
        <v>100</v>
      </c>
      <c r="B187" t="s">
        <v>101</v>
      </c>
    </row>
    <row r="188" spans="1:6">
      <c r="B188" t="s">
        <v>102</v>
      </c>
    </row>
    <row r="189" spans="1:6">
      <c r="A189">
        <f>B30*12</f>
        <v>120</v>
      </c>
      <c r="B189" t="s">
        <v>119</v>
      </c>
    </row>
    <row r="191" spans="1:6" ht="16.5">
      <c r="A191" s="5" t="s">
        <v>103</v>
      </c>
      <c r="B191" t="s">
        <v>104</v>
      </c>
    </row>
    <row r="192" spans="1:6">
      <c r="A192">
        <f>B174*1.33</f>
        <v>285.12939</v>
      </c>
      <c r="B192" t="s">
        <v>217</v>
      </c>
    </row>
    <row r="194" spans="1:13" ht="16.5">
      <c r="A194" s="5" t="s">
        <v>97</v>
      </c>
    </row>
    <row r="195" spans="1:13">
      <c r="A195">
        <f>($B$185*$A$189)/$A$192</f>
        <v>0.41235811710051062</v>
      </c>
      <c r="B195" t="s">
        <v>229</v>
      </c>
    </row>
    <row r="197" spans="1:13">
      <c r="A197" t="s">
        <v>106</v>
      </c>
      <c r="B197" t="s">
        <v>107</v>
      </c>
    </row>
    <row r="198" spans="1:13">
      <c r="A198" t="s">
        <v>7</v>
      </c>
      <c r="B198">
        <f>13</f>
        <v>13</v>
      </c>
    </row>
    <row r="201" spans="1:13">
      <c r="A201" t="s">
        <v>155</v>
      </c>
    </row>
    <row r="202" spans="1:13">
      <c r="B202" t="s">
        <v>108</v>
      </c>
      <c r="C202" s="5">
        <f>H205</f>
        <v>0.38973409215072069</v>
      </c>
      <c r="D202" t="s">
        <v>109</v>
      </c>
      <c r="H202" t="s">
        <v>220</v>
      </c>
      <c r="L202" t="s">
        <v>234</v>
      </c>
    </row>
    <row r="203" spans="1:13">
      <c r="B203" t="s">
        <v>110</v>
      </c>
      <c r="C203" s="5">
        <f>1/C202</f>
        <v>2.5658520004795298</v>
      </c>
      <c r="G203" t="s">
        <v>221</v>
      </c>
      <c r="H203">
        <f>AVERAGE(L204:M204)</f>
        <v>0.58050000000000002</v>
      </c>
      <c r="K203" t="s">
        <v>224</v>
      </c>
      <c r="L203" t="s">
        <v>221</v>
      </c>
      <c r="M203" t="s">
        <v>222</v>
      </c>
    </row>
    <row r="204" spans="1:13">
      <c r="G204" t="s">
        <v>222</v>
      </c>
      <c r="H204">
        <f>AVERAGE(L205:M205)</f>
        <v>0.441</v>
      </c>
      <c r="K204">
        <v>0.45</v>
      </c>
      <c r="L204">
        <v>0.624</v>
      </c>
      <c r="M204">
        <v>0.53700000000000003</v>
      </c>
    </row>
    <row r="205" spans="1:13">
      <c r="A205" s="1" t="s">
        <v>111</v>
      </c>
      <c r="G205" t="s">
        <v>233</v>
      </c>
      <c r="H205">
        <f>(((I209-I208)*(K210-K208))/(I210-I208))+K208</f>
        <v>0.38973409215072069</v>
      </c>
      <c r="K205">
        <v>0.4</v>
      </c>
      <c r="L205">
        <v>0.45400000000000001</v>
      </c>
      <c r="M205">
        <v>0.42799999999999999</v>
      </c>
    </row>
    <row r="206" spans="1:13">
      <c r="A206" s="1"/>
    </row>
    <row r="207" spans="1:13">
      <c r="A207" s="9" t="s">
        <v>116</v>
      </c>
    </row>
    <row r="208" spans="1:13">
      <c r="A208" s="9"/>
      <c r="H208" s="21" t="s">
        <v>227</v>
      </c>
      <c r="I208" s="21">
        <f>H203</f>
        <v>0.58050000000000002</v>
      </c>
      <c r="J208" s="21" t="s">
        <v>231</v>
      </c>
      <c r="K208" s="21">
        <f>K204</f>
        <v>0.45</v>
      </c>
    </row>
    <row r="209" spans="1:11">
      <c r="A209" t="s">
        <v>112</v>
      </c>
      <c r="C209" t="s">
        <v>113</v>
      </c>
      <c r="H209" s="21" t="s">
        <v>228</v>
      </c>
      <c r="I209" s="21">
        <f>A195</f>
        <v>0.41235811710051062</v>
      </c>
      <c r="J209" s="21" t="s">
        <v>226</v>
      </c>
      <c r="K209" s="22" t="s">
        <v>232</v>
      </c>
    </row>
    <row r="210" spans="1:11">
      <c r="A210" t="s">
        <v>114</v>
      </c>
      <c r="C210" t="s">
        <v>115</v>
      </c>
      <c r="H210" s="21" t="s">
        <v>230</v>
      </c>
      <c r="I210" s="21">
        <f>H204</f>
        <v>0.441</v>
      </c>
      <c r="J210" s="21" t="s">
        <v>225</v>
      </c>
      <c r="K210" s="21">
        <f>K205</f>
        <v>0.4</v>
      </c>
    </row>
    <row r="213" spans="1:11">
      <c r="A213" t="s">
        <v>117</v>
      </c>
      <c r="B213">
        <f>A14</f>
        <v>9</v>
      </c>
      <c r="C213">
        <f>B14</f>
        <v>9</v>
      </c>
      <c r="D213">
        <f>C14</f>
        <v>6</v>
      </c>
    </row>
    <row r="215" spans="1:11" ht="18.5">
      <c r="A215" t="s">
        <v>12</v>
      </c>
      <c r="B215">
        <f>B15</f>
        <v>11.8</v>
      </c>
      <c r="C215" t="s">
        <v>15</v>
      </c>
    </row>
    <row r="217" spans="1:11" ht="16.5">
      <c r="A217" t="s">
        <v>118</v>
      </c>
      <c r="B217">
        <v>3.51</v>
      </c>
      <c r="C217" t="s">
        <v>119</v>
      </c>
    </row>
    <row r="219" spans="1:11" ht="16.5">
      <c r="A219" t="s">
        <v>120</v>
      </c>
      <c r="B219">
        <f>B217</f>
        <v>3.51</v>
      </c>
      <c r="C219" t="s">
        <v>119</v>
      </c>
    </row>
    <row r="220" spans="1:11">
      <c r="E220">
        <f>2.566*10</f>
        <v>25.659999999999997</v>
      </c>
    </row>
    <row r="221" spans="1:11">
      <c r="A221" t="s">
        <v>121</v>
      </c>
      <c r="B221">
        <f>C203</f>
        <v>2.5658520004795298</v>
      </c>
      <c r="E221">
        <f>E220/3.51</f>
        <v>7.3105413105413097</v>
      </c>
      <c r="F221">
        <f>E221*12</f>
        <v>87.726495726495713</v>
      </c>
    </row>
    <row r="223" spans="1:11">
      <c r="A223" t="s">
        <v>100</v>
      </c>
      <c r="B223">
        <f>A189</f>
        <v>120</v>
      </c>
    </row>
    <row r="225" spans="1:3" ht="16.5">
      <c r="A225" t="s">
        <v>122</v>
      </c>
      <c r="B225">
        <f>(B221*B223)/B217</f>
        <v>87.721435913830078</v>
      </c>
      <c r="C225" t="str">
        <f>IF(B225&lt;120, "ok", "NOT ok")</f>
        <v>ok</v>
      </c>
    </row>
    <row r="226" spans="1:3" ht="16.5">
      <c r="A226" t="s">
        <v>123</v>
      </c>
      <c r="B226">
        <f>(B221*B223)/B219</f>
        <v>87.721435913830078</v>
      </c>
      <c r="C226" t="str">
        <f>IF(B226&lt;120, "ok", "NOT ok")</f>
        <v>ok</v>
      </c>
    </row>
    <row r="229" spans="1:3" ht="16.5">
      <c r="A229" t="s">
        <v>124</v>
      </c>
      <c r="B229" t="s">
        <v>125</v>
      </c>
    </row>
    <row r="230" spans="1:3" ht="16.5">
      <c r="A230" s="10" t="s">
        <v>7</v>
      </c>
      <c r="B230" s="10" t="s">
        <v>126</v>
      </c>
    </row>
    <row r="232" spans="1:3" ht="16">
      <c r="A232" t="s">
        <v>94</v>
      </c>
      <c r="B232" s="11" t="s">
        <v>127</v>
      </c>
      <c r="C232" t="s">
        <v>128</v>
      </c>
    </row>
    <row r="233" spans="1:3">
      <c r="C233">
        <f>0.9</f>
        <v>0.9</v>
      </c>
    </row>
    <row r="235" spans="1:3" ht="16.5">
      <c r="B235" t="s">
        <v>130</v>
      </c>
      <c r="C235" t="s">
        <v>129</v>
      </c>
    </row>
    <row r="237" spans="1:3" ht="16.5">
      <c r="A237" t="s">
        <v>131</v>
      </c>
    </row>
    <row r="239" spans="1:3">
      <c r="A239" s="5" t="s">
        <v>132</v>
      </c>
      <c r="C239" s="5" t="s">
        <v>134</v>
      </c>
    </row>
    <row r="240" spans="1:3" ht="16">
      <c r="A240" s="5" t="s">
        <v>133</v>
      </c>
      <c r="C240" s="5" t="s">
        <v>135</v>
      </c>
    </row>
    <row r="241" spans="1:6">
      <c r="A241" s="5"/>
      <c r="C241" s="5"/>
    </row>
    <row r="242" spans="1:6">
      <c r="A242" s="5">
        <f>(0.66^B249)*B255*B252</f>
        <v>337.49853463362723</v>
      </c>
      <c r="C242" s="5">
        <f>(0.88*B255*B252)/B249</f>
        <v>386.23440628203247</v>
      </c>
    </row>
    <row r="245" spans="1:6">
      <c r="A245" t="s">
        <v>94</v>
      </c>
    </row>
    <row r="246" spans="1:6">
      <c r="A246" s="10" t="s">
        <v>136</v>
      </c>
    </row>
    <row r="247" spans="1:6">
      <c r="A247" s="10"/>
      <c r="C247" s="5"/>
    </row>
    <row r="248" spans="1:6">
      <c r="A248" s="10"/>
    </row>
    <row r="249" spans="1:6">
      <c r="A249" s="10" t="s">
        <v>136</v>
      </c>
      <c r="B249">
        <f>(B261*1/PI())^2*(B255/B258)</f>
        <v>1.3442613903766893</v>
      </c>
    </row>
    <row r="250" spans="1:6">
      <c r="F250">
        <f>0.66^(1.34)*B255*B252</f>
        <v>338.09666373941332</v>
      </c>
    </row>
    <row r="251" spans="1:6" ht="16">
      <c r="A251" s="12" t="s">
        <v>137</v>
      </c>
      <c r="B251" s="13" t="s">
        <v>138</v>
      </c>
      <c r="C251" s="5"/>
    </row>
    <row r="252" spans="1:6">
      <c r="A252" s="12" t="s">
        <v>7</v>
      </c>
      <c r="B252" s="14">
        <f>B15</f>
        <v>11.8</v>
      </c>
      <c r="C252" s="5" t="s">
        <v>139</v>
      </c>
    </row>
    <row r="253" spans="1:6">
      <c r="A253" s="12"/>
      <c r="B253" s="5"/>
      <c r="C253" s="5"/>
    </row>
    <row r="254" spans="1:6" ht="16">
      <c r="A254" s="12" t="s">
        <v>140</v>
      </c>
      <c r="B254" s="5" t="s">
        <v>141</v>
      </c>
      <c r="C254" s="5"/>
    </row>
    <row r="255" spans="1:6">
      <c r="A255" s="12" t="s">
        <v>7</v>
      </c>
      <c r="B255" s="14">
        <f>C8</f>
        <v>50</v>
      </c>
      <c r="C255" s="5" t="s">
        <v>95</v>
      </c>
    </row>
    <row r="256" spans="1:6">
      <c r="A256" s="12"/>
      <c r="B256" s="5"/>
      <c r="C256" s="5"/>
    </row>
    <row r="257" spans="1:3">
      <c r="A257" s="12" t="s">
        <v>142</v>
      </c>
      <c r="B257" s="5" t="s">
        <v>143</v>
      </c>
      <c r="C257" s="5"/>
    </row>
    <row r="258" spans="1:3">
      <c r="A258" s="12" t="s">
        <v>7</v>
      </c>
      <c r="B258" s="15">
        <v>29000</v>
      </c>
      <c r="C258" s="5" t="s">
        <v>95</v>
      </c>
    </row>
    <row r="259" spans="1:3">
      <c r="A259" s="12"/>
      <c r="B259" s="5"/>
      <c r="C259" s="5"/>
    </row>
    <row r="260" spans="1:3" ht="16">
      <c r="A260" s="12" t="s">
        <v>144</v>
      </c>
      <c r="B260" s="5" t="s">
        <v>145</v>
      </c>
      <c r="C260" s="5"/>
    </row>
    <row r="261" spans="1:3">
      <c r="A261" s="12" t="s">
        <v>7</v>
      </c>
      <c r="B261" s="16">
        <f>87.72143591</f>
        <v>87.721435909999997</v>
      </c>
      <c r="C261" s="5"/>
    </row>
    <row r="263" spans="1:3">
      <c r="A263" t="s">
        <v>147</v>
      </c>
    </row>
    <row r="264" spans="1:3" ht="16">
      <c r="A264" s="12" t="s">
        <v>146</v>
      </c>
      <c r="B264" s="5">
        <f>IF(B249&gt;2.25, C242,A242)</f>
        <v>337.49853463362723</v>
      </c>
      <c r="C264" t="s">
        <v>152</v>
      </c>
    </row>
    <row r="265" spans="1:3" ht="16.5">
      <c r="A265" s="10" t="s">
        <v>126</v>
      </c>
      <c r="B265" s="5">
        <f>B264*C233</f>
        <v>303.74868117026449</v>
      </c>
      <c r="C265" t="s">
        <v>152</v>
      </c>
    </row>
    <row r="266" spans="1:3">
      <c r="A266" s="12" t="str">
        <f>IF(B265&gt;B174, "ok", "not OK")</f>
        <v>ok</v>
      </c>
      <c r="B266" s="5"/>
    </row>
    <row r="268" spans="1:3">
      <c r="A268" s="1" t="s">
        <v>148</v>
      </c>
    </row>
    <row r="269" spans="1:3" ht="16.5">
      <c r="A269" t="s">
        <v>149</v>
      </c>
      <c r="B269" t="s">
        <v>150</v>
      </c>
    </row>
    <row r="270" spans="1:3" ht="16.5">
      <c r="A270" t="s">
        <v>7</v>
      </c>
      <c r="B270" t="s">
        <v>151</v>
      </c>
    </row>
    <row r="272" spans="1:3">
      <c r="A272" t="s">
        <v>121</v>
      </c>
      <c r="B272">
        <f>C203</f>
        <v>2.5658520004795298</v>
      </c>
    </row>
    <row r="274" spans="1:4" ht="16.5">
      <c r="A274" t="s">
        <v>153</v>
      </c>
      <c r="B274" t="s">
        <v>154</v>
      </c>
    </row>
    <row r="275" spans="1:4">
      <c r="B275" s="5">
        <f>B174</f>
        <v>214.38300000000001</v>
      </c>
    </row>
    <row r="277" spans="1:4">
      <c r="A277" t="s">
        <v>156</v>
      </c>
    </row>
    <row r="278" spans="1:4">
      <c r="A278" t="s">
        <v>157</v>
      </c>
      <c r="B278">
        <f>(0.01/B272)</f>
        <v>3.8973409215072065E-3</v>
      </c>
      <c r="C278" t="str">
        <f>IF(B278&gt;0.003, "ok", "NOT ok")</f>
        <v>ok</v>
      </c>
    </row>
    <row r="280" spans="1:4">
      <c r="A280" t="s">
        <v>155</v>
      </c>
    </row>
    <row r="281" spans="1:4" ht="16.5">
      <c r="A281" t="s">
        <v>149</v>
      </c>
      <c r="B281">
        <f>(0.01/B272)*B275</f>
        <v>0.83552363877547953</v>
      </c>
      <c r="C281" t="s">
        <v>152</v>
      </c>
    </row>
    <row r="283" spans="1:4">
      <c r="A283" t="s">
        <v>158</v>
      </c>
    </row>
    <row r="286" spans="1:4">
      <c r="A286" t="s">
        <v>159</v>
      </c>
      <c r="C286">
        <f>C9*12</f>
        <v>156</v>
      </c>
      <c r="D286" t="s">
        <v>119</v>
      </c>
    </row>
    <row r="287" spans="1:4">
      <c r="A287" t="s">
        <v>160</v>
      </c>
    </row>
    <row r="288" spans="1:4">
      <c r="B288">
        <f>C286*B281</f>
        <v>130.34168764897481</v>
      </c>
      <c r="C288" t="s">
        <v>161</v>
      </c>
    </row>
    <row r="290" spans="1:9">
      <c r="A290" s="1" t="s">
        <v>162</v>
      </c>
    </row>
    <row r="291" spans="1:9">
      <c r="A291" t="s">
        <v>321</v>
      </c>
    </row>
    <row r="292" spans="1:9">
      <c r="A292">
        <f>C5*12/360</f>
        <v>4.333333333333333</v>
      </c>
      <c r="B292" t="s">
        <v>119</v>
      </c>
    </row>
    <row r="294" spans="1:9">
      <c r="A294" t="s">
        <v>163</v>
      </c>
    </row>
    <row r="295" spans="1:9">
      <c r="A295">
        <v>1.792</v>
      </c>
      <c r="B295" t="s">
        <v>219</v>
      </c>
      <c r="C295" t="str">
        <f>IF(A295&lt;A292, "ok", "NOT ok")</f>
        <v>ok</v>
      </c>
    </row>
    <row r="298" spans="1:9">
      <c r="A298" s="1" t="s">
        <v>164</v>
      </c>
      <c r="B298" t="s">
        <v>532</v>
      </c>
    </row>
    <row r="299" spans="1:9">
      <c r="A299" t="s">
        <v>165</v>
      </c>
    </row>
    <row r="300" spans="1:9">
      <c r="A300" t="s">
        <v>166</v>
      </c>
    </row>
    <row r="301" spans="1:9">
      <c r="A301" t="s">
        <v>93</v>
      </c>
      <c r="G301" t="s">
        <v>322</v>
      </c>
    </row>
    <row r="302" spans="1:9">
      <c r="A302" t="s">
        <v>239</v>
      </c>
      <c r="B302">
        <f>1</f>
        <v>1</v>
      </c>
      <c r="C302" t="s">
        <v>110</v>
      </c>
      <c r="G302" t="s">
        <v>323</v>
      </c>
      <c r="H302">
        <f>1</f>
        <v>1</v>
      </c>
      <c r="I302" t="s">
        <v>152</v>
      </c>
    </row>
    <row r="303" spans="1:9">
      <c r="A303" t="s">
        <v>240</v>
      </c>
      <c r="B303">
        <v>5.2999999999999999E-2</v>
      </c>
      <c r="C303" t="s">
        <v>219</v>
      </c>
      <c r="G303" t="s">
        <v>324</v>
      </c>
      <c r="H303">
        <f>0.061</f>
        <v>6.0999999999999999E-2</v>
      </c>
      <c r="I303" t="s">
        <v>219</v>
      </c>
    </row>
    <row r="305" spans="1:10">
      <c r="A305" t="s">
        <v>121</v>
      </c>
      <c r="B305">
        <f>(B302/B303)*12</f>
        <v>226.41509433962267</v>
      </c>
      <c r="C305" t="s">
        <v>315</v>
      </c>
      <c r="G305" t="s">
        <v>121</v>
      </c>
      <c r="H305">
        <f>H302/H303*12</f>
        <v>196.72131147540983</v>
      </c>
      <c r="I305" t="s">
        <v>315</v>
      </c>
    </row>
    <row r="307" spans="1:10">
      <c r="A307" t="s">
        <v>241</v>
      </c>
      <c r="B307">
        <f>'Truss Weight'!G4</f>
        <v>31.820602640925841</v>
      </c>
      <c r="C307" t="s">
        <v>152</v>
      </c>
      <c r="G307" t="s">
        <v>325</v>
      </c>
      <c r="H307">
        <f>'Truss Weight'!G5</f>
        <v>63.641205281851683</v>
      </c>
      <c r="I307" t="s">
        <v>152</v>
      </c>
    </row>
    <row r="308" spans="1:10" ht="18.5">
      <c r="A308" t="s">
        <v>242</v>
      </c>
      <c r="B308">
        <f>32.174</f>
        <v>32.173999999999999</v>
      </c>
      <c r="C308" t="s">
        <v>313</v>
      </c>
      <c r="G308" t="s">
        <v>326</v>
      </c>
      <c r="H308">
        <f>32.174</f>
        <v>32.173999999999999</v>
      </c>
      <c r="I308" t="s">
        <v>313</v>
      </c>
    </row>
    <row r="310" spans="1:10" ht="18.5">
      <c r="A310" t="s">
        <v>243</v>
      </c>
      <c r="B310">
        <f>B307/B308</f>
        <v>0.9890160577151067</v>
      </c>
      <c r="C310" t="s">
        <v>314</v>
      </c>
      <c r="G310" t="s">
        <v>243</v>
      </c>
      <c r="H310">
        <f>H307/H308</f>
        <v>1.9780321154302134</v>
      </c>
    </row>
    <row r="313" spans="1:10">
      <c r="A313" t="s">
        <v>244</v>
      </c>
      <c r="B313">
        <f>SQRT(B305/B310)</f>
        <v>15.130421155419247</v>
      </c>
      <c r="G313" t="s">
        <v>327</v>
      </c>
      <c r="H313">
        <f>SQRT(H305/H310)</f>
        <v>9.9726146126998376</v>
      </c>
    </row>
    <row r="314" spans="1:10">
      <c r="A314" t="s">
        <v>174</v>
      </c>
      <c r="B314">
        <f>B313/(2*PI())</f>
        <v>2.4080813179471598</v>
      </c>
      <c r="C314" t="s">
        <v>180</v>
      </c>
      <c r="D314" t="str">
        <f>IF(B314&gt;3, "ok", "NOT ok")</f>
        <v>NOT ok</v>
      </c>
      <c r="G314" t="s">
        <v>328</v>
      </c>
      <c r="H314">
        <f>H313/(2*PI())</f>
        <v>1.5871909111616465</v>
      </c>
      <c r="I314" t="s">
        <v>329</v>
      </c>
      <c r="J314" t="str">
        <f>IF(H314&gt;1.3, "ok", "NOT ok")</f>
        <v>ok</v>
      </c>
    </row>
    <row r="316" spans="1:10">
      <c r="B316">
        <v>2.2090000000000001</v>
      </c>
      <c r="H316">
        <v>9.9730000000000008</v>
      </c>
    </row>
    <row r="318" spans="1:10" ht="16">
      <c r="A318" s="5" t="s">
        <v>167</v>
      </c>
    </row>
    <row r="320" spans="1:10">
      <c r="A320" t="s">
        <v>94</v>
      </c>
    </row>
    <row r="321" spans="1:4">
      <c r="A321" t="s">
        <v>171</v>
      </c>
      <c r="B321" s="5" t="s">
        <v>168</v>
      </c>
    </row>
    <row r="322" spans="1:4">
      <c r="B322">
        <f>32.174</f>
        <v>32.173999999999999</v>
      </c>
      <c r="C322" s="5" t="s">
        <v>169</v>
      </c>
    </row>
    <row r="323" spans="1:4" ht="16">
      <c r="A323" s="10" t="s">
        <v>170</v>
      </c>
      <c r="B323" t="s">
        <v>172</v>
      </c>
    </row>
    <row r="324" spans="1:4">
      <c r="B324" s="4">
        <f>0.308/12</f>
        <v>2.5666666666666667E-2</v>
      </c>
      <c r="C324" t="s">
        <v>5</v>
      </c>
      <c r="D324" t="s">
        <v>173</v>
      </c>
    </row>
    <row r="326" spans="1:4">
      <c r="A326" t="s">
        <v>174</v>
      </c>
      <c r="B326">
        <f>0.18*SQRT(B322/B324)</f>
        <v>6.3729468810003391</v>
      </c>
      <c r="C326" t="s">
        <v>175</v>
      </c>
      <c r="D326" t="s">
        <v>180</v>
      </c>
    </row>
    <row r="328" spans="1:4">
      <c r="A328" t="s">
        <v>176</v>
      </c>
    </row>
    <row r="330" spans="1:4">
      <c r="B330" s="5" t="s">
        <v>177</v>
      </c>
    </row>
    <row r="331" spans="1:4">
      <c r="A331" t="s">
        <v>94</v>
      </c>
    </row>
    <row r="332" spans="1:4">
      <c r="B332" t="s">
        <v>178</v>
      </c>
      <c r="C332" t="s">
        <v>179</v>
      </c>
    </row>
    <row r="333" spans="1:4">
      <c r="B333">
        <f>2*D46/1000*C5</f>
        <v>73.762</v>
      </c>
      <c r="C333" t="s">
        <v>152</v>
      </c>
    </row>
    <row r="335" spans="1:4">
      <c r="A335" t="s">
        <v>174</v>
      </c>
      <c r="B335">
        <f>2.86*LN(180/B333)</f>
        <v>2.5514436291401599</v>
      </c>
      <c r="C335" t="s">
        <v>175</v>
      </c>
    </row>
    <row r="337" spans="1:3">
      <c r="A337" t="str">
        <f>IF(B326&gt;B335, "ok", "not OK")</f>
        <v>ok</v>
      </c>
    </row>
    <row r="338" spans="1:3">
      <c r="A338">
        <f>B326</f>
        <v>6.3729468810003391</v>
      </c>
      <c r="B338" t="s">
        <v>218</v>
      </c>
      <c r="C338">
        <f>B335</f>
        <v>2.5514436291401599</v>
      </c>
    </row>
  </sheetData>
  <mergeCells count="34">
    <mergeCell ref="C25:D25"/>
    <mergeCell ref="A9:B9"/>
    <mergeCell ref="A134:C134"/>
    <mergeCell ref="A131:B131"/>
    <mergeCell ref="A132:B132"/>
    <mergeCell ref="C37:D37"/>
    <mergeCell ref="A51:B51"/>
    <mergeCell ref="A52:B52"/>
    <mergeCell ref="A53:B53"/>
    <mergeCell ref="C48:D48"/>
    <mergeCell ref="A130:B130"/>
    <mergeCell ref="A38:C38"/>
    <mergeCell ref="A39:C39"/>
    <mergeCell ref="A40:C40"/>
    <mergeCell ref="A45:C45"/>
    <mergeCell ref="A44:C44"/>
    <mergeCell ref="C10:D10"/>
    <mergeCell ref="E19:F19"/>
    <mergeCell ref="E18:F18"/>
    <mergeCell ref="E12:F12"/>
    <mergeCell ref="E13:F13"/>
    <mergeCell ref="A19:B19"/>
    <mergeCell ref="A18:B18"/>
    <mergeCell ref="A6:B6"/>
    <mergeCell ref="A7:B7"/>
    <mergeCell ref="A8:B8"/>
    <mergeCell ref="A13:B13"/>
    <mergeCell ref="A12:B12"/>
    <mergeCell ref="D181:E181"/>
    <mergeCell ref="D182:E182"/>
    <mergeCell ref="D183:E183"/>
    <mergeCell ref="D184:E184"/>
    <mergeCell ref="C30:E30"/>
    <mergeCell ref="A41:C41"/>
  </mergeCells>
  <pageMargins left="0.7" right="0.7" top="0.75" bottom="0.75" header="0.3" footer="0.3"/>
  <pageSetup orientation="portrait" horizontalDpi="0" verticalDpi="0"/>
  <ignoredErrors>
    <ignoredError sqref="C140" formula="1"/>
  </ignoredErrors>
  <drawing r:id="rId1"/>
  <legacyDrawing r:id="rId2"/>
  <oleObjects>
    <mc:AlternateContent xmlns:mc="http://schemas.openxmlformats.org/markup-compatibility/2006">
      <mc:Choice Requires="x14">
        <oleObject progId="Equation.DSMT4" shapeId="1025" r:id="rId3">
          <objectPr defaultSize="0" autoPict="0" r:id="rId4">
            <anchor moveWithCells="1">
              <from>
                <xdr:col>3</xdr:col>
                <xdr:colOff>69850</xdr:colOff>
                <xdr:row>239</xdr:row>
                <xdr:rowOff>31750</xdr:rowOff>
              </from>
              <to>
                <xdr:col>3</xdr:col>
                <xdr:colOff>717550</xdr:colOff>
                <xdr:row>240</xdr:row>
                <xdr:rowOff>152400</xdr:rowOff>
              </to>
            </anchor>
          </objectPr>
        </oleObject>
      </mc:Choice>
      <mc:Fallback>
        <oleObject progId="Equation.DSMT4" shapeId="1025" r:id="rId3"/>
      </mc:Fallback>
    </mc:AlternateContent>
    <mc:AlternateContent xmlns:mc="http://schemas.openxmlformats.org/markup-compatibility/2006">
      <mc:Choice Requires="x14">
        <oleObject progId="Equation.DSMT4" shapeId="1026" r:id="rId5">
          <objectPr defaultSize="0" autoPict="0" r:id="rId6">
            <anchor moveWithCells="1">
              <from>
                <xdr:col>1</xdr:col>
                <xdr:colOff>69850</xdr:colOff>
                <xdr:row>244</xdr:row>
                <xdr:rowOff>184150</xdr:rowOff>
              </from>
              <to>
                <xdr:col>1</xdr:col>
                <xdr:colOff>685800</xdr:colOff>
                <xdr:row>247</xdr:row>
                <xdr:rowOff>12700</xdr:rowOff>
              </to>
            </anchor>
          </objectPr>
        </oleObject>
      </mc:Choice>
      <mc:Fallback>
        <oleObject progId="Equation.DSMT4" shapeId="102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53"/>
  <sheetViews>
    <sheetView topLeftCell="A31" workbookViewId="0">
      <selection activeCell="G12" sqref="G12"/>
    </sheetView>
  </sheetViews>
  <sheetFormatPr defaultColWidth="11" defaultRowHeight="15.5"/>
  <cols>
    <col min="2" max="2" width="13.58203125" customWidth="1"/>
    <col min="3" max="4" width="12.58203125" customWidth="1"/>
    <col min="10" max="10" width="13.08203125" customWidth="1"/>
  </cols>
  <sheetData>
    <row r="3" spans="2:11" ht="16" thickBot="1"/>
    <row r="4" spans="2:11" ht="16" thickBot="1">
      <c r="E4" s="157" t="s">
        <v>245</v>
      </c>
      <c r="F4" s="158"/>
      <c r="G4" s="25">
        <f>D41</f>
        <v>31.820602640925841</v>
      </c>
      <c r="H4" t="s">
        <v>318</v>
      </c>
    </row>
    <row r="5" spans="2:11">
      <c r="E5" s="159" t="s">
        <v>319</v>
      </c>
      <c r="F5" s="159"/>
      <c r="G5" s="27">
        <f>G4*2</f>
        <v>63.641205281851683</v>
      </c>
      <c r="H5" t="s">
        <v>152</v>
      </c>
    </row>
    <row r="7" spans="2:11">
      <c r="B7" t="s">
        <v>296</v>
      </c>
      <c r="C7" t="s">
        <v>297</v>
      </c>
      <c r="D7" t="s">
        <v>298</v>
      </c>
      <c r="E7" t="s">
        <v>299</v>
      </c>
      <c r="H7" t="s">
        <v>296</v>
      </c>
      <c r="I7" t="s">
        <v>304</v>
      </c>
      <c r="J7" t="s">
        <v>305</v>
      </c>
      <c r="K7" t="s">
        <v>299</v>
      </c>
    </row>
    <row r="8" spans="2:11">
      <c r="B8" t="s">
        <v>246</v>
      </c>
      <c r="C8">
        <f>SQRT((10-0)^2+(I8)^2)</f>
        <v>10.770329614269007</v>
      </c>
      <c r="D8">
        <f>'Truss Design'!B$16</f>
        <v>42.79</v>
      </c>
      <c r="E8">
        <f>C8*D8</f>
        <v>460.86240419457084</v>
      </c>
      <c r="H8" t="s">
        <v>272</v>
      </c>
      <c r="I8">
        <f>4</f>
        <v>4</v>
      </c>
      <c r="J8">
        <f>'Truss Design'!$F$22</f>
        <v>17.079999999999998</v>
      </c>
      <c r="K8">
        <f>I8*J8</f>
        <v>68.319999999999993</v>
      </c>
    </row>
    <row r="9" spans="2:11">
      <c r="B9" t="s">
        <v>247</v>
      </c>
      <c r="C9">
        <f>SQRT((10-0)^2+(I9-I8)^2)</f>
        <v>10.440306508910551</v>
      </c>
      <c r="D9">
        <f>'Truss Design'!B$16</f>
        <v>42.79</v>
      </c>
      <c r="E9">
        <f>C9*D9</f>
        <v>446.74071551628248</v>
      </c>
      <c r="H9" t="s">
        <v>273</v>
      </c>
      <c r="I9">
        <v>7</v>
      </c>
      <c r="J9">
        <f>'Truss Design'!$F$22</f>
        <v>17.079999999999998</v>
      </c>
      <c r="K9">
        <f t="shared" ref="K9:K19" si="0">I9*J9</f>
        <v>119.55999999999999</v>
      </c>
    </row>
    <row r="10" spans="2:11">
      <c r="B10" t="s">
        <v>248</v>
      </c>
      <c r="C10">
        <f t="shared" ref="C10:C19" si="1">SQRT((10-0)^2+(I10-I9)^2)</f>
        <v>10.307764064044152</v>
      </c>
      <c r="D10">
        <f>'Truss Design'!B$16</f>
        <v>42.79</v>
      </c>
      <c r="E10">
        <f t="shared" ref="E10:E19" si="2">C10*D10</f>
        <v>441.06922430044926</v>
      </c>
      <c r="H10" t="s">
        <v>274</v>
      </c>
      <c r="I10">
        <v>9.5</v>
      </c>
      <c r="J10">
        <f>'Truss Design'!$F$22</f>
        <v>17.079999999999998</v>
      </c>
      <c r="K10">
        <f t="shared" si="0"/>
        <v>162.26</v>
      </c>
    </row>
    <row r="11" spans="2:11">
      <c r="B11" t="s">
        <v>249</v>
      </c>
      <c r="C11">
        <f t="shared" si="1"/>
        <v>10.111874208078342</v>
      </c>
      <c r="D11">
        <f>'Truss Design'!B$16</f>
        <v>42.79</v>
      </c>
      <c r="E11">
        <f t="shared" si="2"/>
        <v>432.68709736367225</v>
      </c>
      <c r="H11" t="s">
        <v>275</v>
      </c>
      <c r="I11">
        <v>11</v>
      </c>
      <c r="J11">
        <f>'Truss Design'!$F$22</f>
        <v>17.079999999999998</v>
      </c>
      <c r="K11">
        <f t="shared" si="0"/>
        <v>187.88</v>
      </c>
    </row>
    <row r="12" spans="2:11">
      <c r="B12" t="s">
        <v>250</v>
      </c>
      <c r="C12">
        <f t="shared" si="1"/>
        <v>10.077822185373186</v>
      </c>
      <c r="D12">
        <f>'Truss Design'!B$16</f>
        <v>42.79</v>
      </c>
      <c r="E12">
        <f t="shared" si="2"/>
        <v>431.23001131211862</v>
      </c>
      <c r="H12" t="s">
        <v>276</v>
      </c>
      <c r="I12">
        <v>12.25</v>
      </c>
      <c r="J12">
        <f>'Truss Design'!$F$22</f>
        <v>17.079999999999998</v>
      </c>
      <c r="K12">
        <f t="shared" si="0"/>
        <v>209.23</v>
      </c>
    </row>
    <row r="13" spans="2:11">
      <c r="B13" t="s">
        <v>251</v>
      </c>
      <c r="C13">
        <f t="shared" si="1"/>
        <v>10.02808556006579</v>
      </c>
      <c r="D13">
        <f>'Truss Design'!B$16</f>
        <v>42.79</v>
      </c>
      <c r="E13">
        <f t="shared" si="2"/>
        <v>429.10178111521515</v>
      </c>
      <c r="H13" t="s">
        <v>277</v>
      </c>
      <c r="I13">
        <v>13</v>
      </c>
      <c r="J13">
        <f>'Truss Design'!$F$22</f>
        <v>17.079999999999998</v>
      </c>
      <c r="K13">
        <f t="shared" si="0"/>
        <v>222.03999999999996</v>
      </c>
    </row>
    <row r="14" spans="2:11">
      <c r="B14" t="s">
        <v>252</v>
      </c>
      <c r="C14">
        <f t="shared" si="1"/>
        <v>10</v>
      </c>
      <c r="D14">
        <f>'Truss Design'!B$16</f>
        <v>42.79</v>
      </c>
      <c r="E14">
        <f t="shared" si="2"/>
        <v>427.9</v>
      </c>
      <c r="H14" t="s">
        <v>278</v>
      </c>
      <c r="I14">
        <v>13</v>
      </c>
      <c r="J14">
        <f>'Truss Design'!$F$22</f>
        <v>17.079999999999998</v>
      </c>
      <c r="K14">
        <f t="shared" si="0"/>
        <v>222.03999999999996</v>
      </c>
    </row>
    <row r="15" spans="2:11">
      <c r="B15" t="s">
        <v>253</v>
      </c>
      <c r="C15">
        <f t="shared" si="1"/>
        <v>10.02808556006579</v>
      </c>
      <c r="D15">
        <f>'Truss Design'!B$16</f>
        <v>42.79</v>
      </c>
      <c r="E15">
        <f t="shared" si="2"/>
        <v>429.10178111521515</v>
      </c>
      <c r="H15" t="s">
        <v>279</v>
      </c>
      <c r="I15">
        <v>12.25</v>
      </c>
      <c r="J15">
        <f>'Truss Design'!$F$22</f>
        <v>17.079999999999998</v>
      </c>
      <c r="K15">
        <f t="shared" si="0"/>
        <v>209.23</v>
      </c>
    </row>
    <row r="16" spans="2:11">
      <c r="B16" t="s">
        <v>254</v>
      </c>
      <c r="C16">
        <f t="shared" si="1"/>
        <v>10.077822185373186</v>
      </c>
      <c r="D16">
        <f>'Truss Design'!B$16</f>
        <v>42.79</v>
      </c>
      <c r="E16">
        <f t="shared" si="2"/>
        <v>431.23001131211862</v>
      </c>
      <c r="H16" t="s">
        <v>280</v>
      </c>
      <c r="I16">
        <v>11</v>
      </c>
      <c r="J16">
        <f>'Truss Design'!$F$22</f>
        <v>17.079999999999998</v>
      </c>
      <c r="K16">
        <f t="shared" si="0"/>
        <v>187.88</v>
      </c>
    </row>
    <row r="17" spans="2:12">
      <c r="B17" t="s">
        <v>255</v>
      </c>
      <c r="C17">
        <f t="shared" si="1"/>
        <v>10.111874208078342</v>
      </c>
      <c r="D17">
        <f>'Truss Design'!B$16</f>
        <v>42.79</v>
      </c>
      <c r="E17">
        <f t="shared" si="2"/>
        <v>432.68709736367225</v>
      </c>
      <c r="H17" t="s">
        <v>281</v>
      </c>
      <c r="I17">
        <v>9.5</v>
      </c>
      <c r="J17">
        <f>'Truss Design'!$F$22</f>
        <v>17.079999999999998</v>
      </c>
      <c r="K17">
        <f t="shared" si="0"/>
        <v>162.26</v>
      </c>
    </row>
    <row r="18" spans="2:12">
      <c r="B18" t="s">
        <v>256</v>
      </c>
      <c r="C18">
        <f t="shared" si="1"/>
        <v>10.307764064044152</v>
      </c>
      <c r="D18">
        <f>'Truss Design'!B$16</f>
        <v>42.79</v>
      </c>
      <c r="E18">
        <f t="shared" si="2"/>
        <v>441.06922430044926</v>
      </c>
      <c r="H18" t="s">
        <v>282</v>
      </c>
      <c r="I18">
        <v>7</v>
      </c>
      <c r="J18">
        <f>'Truss Design'!$F$22</f>
        <v>17.079999999999998</v>
      </c>
      <c r="K18">
        <f t="shared" si="0"/>
        <v>119.55999999999999</v>
      </c>
    </row>
    <row r="19" spans="2:12">
      <c r="B19" t="s">
        <v>257</v>
      </c>
      <c r="C19">
        <f t="shared" si="1"/>
        <v>10.440306508910551</v>
      </c>
      <c r="D19">
        <f>'Truss Design'!B$16</f>
        <v>42.79</v>
      </c>
      <c r="E19">
        <f t="shared" si="2"/>
        <v>446.74071551628248</v>
      </c>
      <c r="H19" t="s">
        <v>283</v>
      </c>
      <c r="I19">
        <v>4</v>
      </c>
      <c r="J19">
        <f>'Truss Design'!$F$22</f>
        <v>17.079999999999998</v>
      </c>
      <c r="K19">
        <f t="shared" si="0"/>
        <v>68.319999999999993</v>
      </c>
    </row>
    <row r="20" spans="2:12">
      <c r="B20" t="s">
        <v>258</v>
      </c>
      <c r="C20">
        <f>C8</f>
        <v>10.770329614269007</v>
      </c>
      <c r="D20">
        <f>'Truss Design'!B$16</f>
        <v>42.79</v>
      </c>
      <c r="E20">
        <f>C20*D20</f>
        <v>460.86240419457084</v>
      </c>
      <c r="J20" t="s">
        <v>303</v>
      </c>
      <c r="K20">
        <f>SUM(K8:K19)/1000</f>
        <v>1.93858</v>
      </c>
      <c r="L20" t="s">
        <v>217</v>
      </c>
    </row>
    <row r="21" spans="2:12">
      <c r="D21" t="s">
        <v>303</v>
      </c>
      <c r="E21">
        <f>SUM(E8:E20)/1000</f>
        <v>5.7112824676046179</v>
      </c>
    </row>
    <row r="24" spans="2:12">
      <c r="B24" t="s">
        <v>296</v>
      </c>
      <c r="C24" t="s">
        <v>300</v>
      </c>
      <c r="D24" t="s">
        <v>301</v>
      </c>
      <c r="E24" t="s">
        <v>299</v>
      </c>
      <c r="H24" t="s">
        <v>302</v>
      </c>
      <c r="I24" t="s">
        <v>300</v>
      </c>
      <c r="J24" t="s">
        <v>301</v>
      </c>
      <c r="K24" t="s">
        <v>299</v>
      </c>
    </row>
    <row r="25" spans="2:12">
      <c r="B25" t="s">
        <v>259</v>
      </c>
      <c r="C25">
        <f>10</f>
        <v>10</v>
      </c>
      <c r="D25">
        <f>'Truss Design'!B$16</f>
        <v>42.79</v>
      </c>
      <c r="E25">
        <f>(D25*C25)/1000</f>
        <v>0.4279</v>
      </c>
      <c r="H25" t="s">
        <v>284</v>
      </c>
      <c r="I25">
        <f>SQRT(C25^2+I8^2)</f>
        <v>10.770329614269007</v>
      </c>
      <c r="J25">
        <f>'Truss Design'!$F$16</f>
        <v>6.46</v>
      </c>
      <c r="K25">
        <f>I25*J25</f>
        <v>69.57632930817779</v>
      </c>
    </row>
    <row r="26" spans="2:12">
      <c r="B26" t="s">
        <v>260</v>
      </c>
      <c r="C26">
        <f>10</f>
        <v>10</v>
      </c>
      <c r="D26">
        <f>'Truss Design'!B$16</f>
        <v>42.79</v>
      </c>
      <c r="E26">
        <f t="shared" ref="E26:E37" si="3">(D26*C26)/1000</f>
        <v>0.4279</v>
      </c>
      <c r="H26" t="s">
        <v>285</v>
      </c>
      <c r="I26">
        <f t="shared" ref="I26:I36" si="4">SQRT(C26^2+I9^2)</f>
        <v>12.206555615733702</v>
      </c>
      <c r="J26">
        <f>'Truss Design'!$F$16</f>
        <v>6.46</v>
      </c>
      <c r="K26">
        <f t="shared" ref="K26:K36" si="5">I26*J26</f>
        <v>78.854349277639713</v>
      </c>
    </row>
    <row r="27" spans="2:12">
      <c r="B27" t="s">
        <v>261</v>
      </c>
      <c r="C27">
        <f>10</f>
        <v>10</v>
      </c>
      <c r="D27">
        <f>'Truss Design'!B$16</f>
        <v>42.79</v>
      </c>
      <c r="E27">
        <f t="shared" si="3"/>
        <v>0.4279</v>
      </c>
      <c r="H27" t="s">
        <v>286</v>
      </c>
      <c r="I27">
        <f t="shared" si="4"/>
        <v>13.793114224133722</v>
      </c>
      <c r="J27">
        <f>'Truss Design'!$F$16</f>
        <v>6.46</v>
      </c>
      <c r="K27">
        <f t="shared" si="5"/>
        <v>89.103517887903848</v>
      </c>
    </row>
    <row r="28" spans="2:12">
      <c r="B28" t="s">
        <v>262</v>
      </c>
      <c r="C28">
        <f>10</f>
        <v>10</v>
      </c>
      <c r="D28">
        <f>'Truss Design'!B$16</f>
        <v>42.79</v>
      </c>
      <c r="E28">
        <f t="shared" si="3"/>
        <v>0.4279</v>
      </c>
      <c r="H28" t="s">
        <v>287</v>
      </c>
      <c r="I28">
        <f t="shared" si="4"/>
        <v>14.866068747318506</v>
      </c>
      <c r="J28">
        <f>'Truss Design'!$F$16</f>
        <v>6.46</v>
      </c>
      <c r="K28">
        <f t="shared" si="5"/>
        <v>96.034804107677544</v>
      </c>
    </row>
    <row r="29" spans="2:12">
      <c r="B29" t="s">
        <v>263</v>
      </c>
      <c r="C29">
        <f>10</f>
        <v>10</v>
      </c>
      <c r="D29">
        <f>'Truss Design'!B$16</f>
        <v>42.79</v>
      </c>
      <c r="E29">
        <f t="shared" si="3"/>
        <v>0.4279</v>
      </c>
      <c r="H29" t="s">
        <v>288</v>
      </c>
      <c r="I29">
        <f t="shared" si="4"/>
        <v>15.81336460086847</v>
      </c>
      <c r="J29">
        <f>'Truss Design'!$F$16</f>
        <v>6.46</v>
      </c>
      <c r="K29">
        <f t="shared" si="5"/>
        <v>102.15433532161032</v>
      </c>
    </row>
    <row r="30" spans="2:12">
      <c r="B30" t="s">
        <v>264</v>
      </c>
      <c r="C30">
        <f>10</f>
        <v>10</v>
      </c>
      <c r="D30">
        <f>'Truss Design'!B$16</f>
        <v>42.79</v>
      </c>
      <c r="E30">
        <f t="shared" si="3"/>
        <v>0.4279</v>
      </c>
      <c r="H30" t="s">
        <v>289</v>
      </c>
      <c r="I30">
        <f t="shared" si="4"/>
        <v>16.401219466856727</v>
      </c>
      <c r="J30">
        <f>'Truss Design'!$F$16</f>
        <v>6.46</v>
      </c>
      <c r="K30">
        <f t="shared" si="5"/>
        <v>105.95187775589446</v>
      </c>
    </row>
    <row r="31" spans="2:12">
      <c r="B31" t="s">
        <v>265</v>
      </c>
      <c r="C31">
        <f>10</f>
        <v>10</v>
      </c>
      <c r="D31">
        <f>'Truss Design'!B$16</f>
        <v>42.79</v>
      </c>
      <c r="E31">
        <f t="shared" si="3"/>
        <v>0.4279</v>
      </c>
      <c r="H31" t="s">
        <v>290</v>
      </c>
      <c r="I31">
        <f t="shared" si="4"/>
        <v>16.401219466856727</v>
      </c>
      <c r="J31">
        <f>'Truss Design'!$F$16</f>
        <v>6.46</v>
      </c>
      <c r="K31">
        <f t="shared" si="5"/>
        <v>105.95187775589446</v>
      </c>
    </row>
    <row r="32" spans="2:12">
      <c r="B32" t="s">
        <v>266</v>
      </c>
      <c r="C32">
        <f>10</f>
        <v>10</v>
      </c>
      <c r="D32">
        <f>'Truss Design'!B$16</f>
        <v>42.79</v>
      </c>
      <c r="E32">
        <f t="shared" si="3"/>
        <v>0.4279</v>
      </c>
      <c r="H32" t="s">
        <v>291</v>
      </c>
      <c r="I32">
        <f t="shared" si="4"/>
        <v>15.81336460086847</v>
      </c>
      <c r="J32">
        <f>'Truss Design'!$F$16</f>
        <v>6.46</v>
      </c>
      <c r="K32">
        <f t="shared" si="5"/>
        <v>102.15433532161032</v>
      </c>
    </row>
    <row r="33" spans="2:12">
      <c r="B33" t="s">
        <v>267</v>
      </c>
      <c r="C33">
        <f>10</f>
        <v>10</v>
      </c>
      <c r="D33">
        <f>'Truss Design'!B$16</f>
        <v>42.79</v>
      </c>
      <c r="E33">
        <f t="shared" si="3"/>
        <v>0.4279</v>
      </c>
      <c r="H33" t="s">
        <v>292</v>
      </c>
      <c r="I33">
        <f t="shared" si="4"/>
        <v>14.866068747318506</v>
      </c>
      <c r="J33">
        <f>'Truss Design'!$F$16</f>
        <v>6.46</v>
      </c>
      <c r="K33">
        <f t="shared" si="5"/>
        <v>96.034804107677544</v>
      </c>
    </row>
    <row r="34" spans="2:12">
      <c r="B34" t="s">
        <v>268</v>
      </c>
      <c r="C34">
        <f>10</f>
        <v>10</v>
      </c>
      <c r="D34">
        <f>'Truss Design'!B$16</f>
        <v>42.79</v>
      </c>
      <c r="E34">
        <f t="shared" si="3"/>
        <v>0.4279</v>
      </c>
      <c r="H34" t="s">
        <v>293</v>
      </c>
      <c r="I34">
        <f t="shared" si="4"/>
        <v>13.793114224133722</v>
      </c>
      <c r="J34">
        <f>'Truss Design'!$F$16</f>
        <v>6.46</v>
      </c>
      <c r="K34">
        <f t="shared" si="5"/>
        <v>89.103517887903848</v>
      </c>
    </row>
    <row r="35" spans="2:12">
      <c r="B35" t="s">
        <v>269</v>
      </c>
      <c r="C35">
        <f>10</f>
        <v>10</v>
      </c>
      <c r="D35">
        <f>'Truss Design'!B$16</f>
        <v>42.79</v>
      </c>
      <c r="E35">
        <f t="shared" si="3"/>
        <v>0.4279</v>
      </c>
      <c r="H35" t="s">
        <v>294</v>
      </c>
      <c r="I35">
        <f t="shared" si="4"/>
        <v>12.206555615733702</v>
      </c>
      <c r="J35">
        <f>'Truss Design'!$F$16</f>
        <v>6.46</v>
      </c>
      <c r="K35">
        <f t="shared" si="5"/>
        <v>78.854349277639713</v>
      </c>
    </row>
    <row r="36" spans="2:12">
      <c r="B36" t="s">
        <v>270</v>
      </c>
      <c r="C36">
        <f>10</f>
        <v>10</v>
      </c>
      <c r="D36">
        <f>'Truss Design'!B$16</f>
        <v>42.79</v>
      </c>
      <c r="E36">
        <f t="shared" si="3"/>
        <v>0.4279</v>
      </c>
      <c r="H36" t="s">
        <v>295</v>
      </c>
      <c r="I36">
        <f t="shared" si="4"/>
        <v>10.770329614269007</v>
      </c>
      <c r="J36">
        <f>'Truss Design'!$F$16</f>
        <v>6.46</v>
      </c>
      <c r="K36">
        <f t="shared" si="5"/>
        <v>69.57632930817779</v>
      </c>
    </row>
    <row r="37" spans="2:12">
      <c r="B37" t="s">
        <v>271</v>
      </c>
      <c r="C37">
        <f>10</f>
        <v>10</v>
      </c>
      <c r="D37">
        <f>'Truss Design'!B$16</f>
        <v>42.79</v>
      </c>
      <c r="E37">
        <f t="shared" si="3"/>
        <v>0.4279</v>
      </c>
      <c r="J37" t="s">
        <v>303</v>
      </c>
      <c r="K37">
        <f>SUM(K25:K36)/1000</f>
        <v>1.0833504273178074</v>
      </c>
      <c r="L37" t="s">
        <v>152</v>
      </c>
    </row>
    <row r="38" spans="2:12">
      <c r="D38" t="s">
        <v>303</v>
      </c>
      <c r="E38">
        <f>SUM(E25:E37)</f>
        <v>5.5627000000000013</v>
      </c>
      <c r="F38" t="s">
        <v>152</v>
      </c>
    </row>
    <row r="41" spans="2:12">
      <c r="C41" t="s">
        <v>303</v>
      </c>
      <c r="D41">
        <f>E38+K37+K20+E21+E45+F49+J44+B52</f>
        <v>31.820602640925841</v>
      </c>
      <c r="E41" t="s">
        <v>152</v>
      </c>
    </row>
    <row r="43" spans="2:12">
      <c r="B43" t="s">
        <v>306</v>
      </c>
      <c r="J43" t="s">
        <v>337</v>
      </c>
    </row>
    <row r="44" spans="2:12">
      <c r="B44" t="s">
        <v>307</v>
      </c>
      <c r="C44" t="s">
        <v>205</v>
      </c>
      <c r="D44" t="s">
        <v>309</v>
      </c>
      <c r="E44" t="s">
        <v>316</v>
      </c>
      <c r="J44">
        <f>'Truss Design'!G34*'Truss Design'!B34*13/1000</f>
        <v>2.5277897460034127</v>
      </c>
      <c r="K44" t="s">
        <v>152</v>
      </c>
    </row>
    <row r="45" spans="2:12">
      <c r="B45">
        <v>14</v>
      </c>
      <c r="C45">
        <v>12.92</v>
      </c>
      <c r="D45">
        <f>'Truss Design'!B29</f>
        <v>30</v>
      </c>
      <c r="E45">
        <f>B45*C45*D45/1000/2</f>
        <v>2.7131999999999996</v>
      </c>
    </row>
    <row r="47" spans="2:12">
      <c r="B47" t="s">
        <v>310</v>
      </c>
    </row>
    <row r="48" spans="2:12">
      <c r="B48" t="s">
        <v>311</v>
      </c>
      <c r="C48" t="s">
        <v>205</v>
      </c>
      <c r="D48" t="s">
        <v>308</v>
      </c>
      <c r="E48" t="s">
        <v>312</v>
      </c>
      <c r="F48" t="s">
        <v>317</v>
      </c>
    </row>
    <row r="49" spans="2:6">
      <c r="B49">
        <f>60</f>
        <v>60</v>
      </c>
      <c r="C49">
        <f>'Truss Design'!C5</f>
        <v>130</v>
      </c>
      <c r="D49">
        <f>'Truss Design'!C6</f>
        <v>12.75</v>
      </c>
      <c r="E49">
        <f>2/12</f>
        <v>0.16666666666666666</v>
      </c>
      <c r="F49">
        <f>(B49*C49*D49*E49)/1000/2</f>
        <v>8.2874999999999996</v>
      </c>
    </row>
    <row r="51" spans="2:6">
      <c r="B51" t="s">
        <v>336</v>
      </c>
    </row>
    <row r="52" spans="2:6">
      <c r="B52">
        <f>30.74*130/1000</f>
        <v>3.9962</v>
      </c>
      <c r="C52" t="s">
        <v>152</v>
      </c>
    </row>
    <row r="53" spans="2:6">
      <c r="B53">
        <f>B52*2</f>
        <v>7.9923999999999999</v>
      </c>
    </row>
  </sheetData>
  <mergeCells count="2">
    <mergeCell ref="E4:F4"/>
    <mergeCell ref="E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237"/>
  <sheetViews>
    <sheetView topLeftCell="A40" zoomScale="70" zoomScaleNormal="70" workbookViewId="0">
      <selection activeCell="B66" sqref="B66"/>
    </sheetView>
  </sheetViews>
  <sheetFormatPr defaultColWidth="9" defaultRowHeight="15.5"/>
  <cols>
    <col min="1" max="1" width="9" style="32"/>
    <col min="2" max="2" width="23.75" style="32" customWidth="1"/>
    <col min="3" max="3" width="24.75" style="32" customWidth="1"/>
    <col min="4" max="4" width="11.33203125" style="32" customWidth="1"/>
    <col min="5" max="5" width="9" style="32"/>
    <col min="6" max="6" width="9.58203125" style="32" customWidth="1"/>
    <col min="7" max="8" width="9" style="32"/>
    <col min="9" max="9" width="20.08203125" style="32" customWidth="1"/>
    <col min="10" max="10" width="10" style="32" customWidth="1"/>
    <col min="11" max="12" width="9" style="32"/>
    <col min="13" max="13" width="12" style="32" customWidth="1"/>
    <col min="14" max="15" width="9" style="32"/>
    <col min="16" max="16" width="21" style="32" customWidth="1"/>
    <col min="17" max="17" width="9" style="32"/>
    <col min="18" max="18" width="12.08203125" style="32" customWidth="1"/>
    <col min="19" max="19" width="11.33203125" style="32" customWidth="1"/>
    <col min="20" max="16384" width="9" style="32"/>
  </cols>
  <sheetData>
    <row r="2" spans="2:9" ht="22.5">
      <c r="C2" s="77" t="s">
        <v>423</v>
      </c>
      <c r="D2" s="77"/>
      <c r="E2" s="77"/>
    </row>
    <row r="4" spans="2:9" ht="16" thickBot="1"/>
    <row r="5" spans="2:9">
      <c r="B5" s="137" t="s">
        <v>362</v>
      </c>
      <c r="C5" s="138"/>
      <c r="D5" s="138"/>
      <c r="E5" s="139"/>
    </row>
    <row r="6" spans="2:9">
      <c r="B6" s="146" t="s">
        <v>2</v>
      </c>
      <c r="C6" s="130"/>
      <c r="D6" s="33">
        <f>'Truss Design'!C5</f>
        <v>130</v>
      </c>
      <c r="E6" s="34" t="s">
        <v>338</v>
      </c>
    </row>
    <row r="7" spans="2:9" ht="17.5">
      <c r="B7" s="146" t="s">
        <v>388</v>
      </c>
      <c r="C7" s="130"/>
      <c r="D7" s="33">
        <f>'Truss Design'!C6</f>
        <v>12.75</v>
      </c>
      <c r="E7" s="34" t="s">
        <v>338</v>
      </c>
    </row>
    <row r="8" spans="2:9">
      <c r="B8" s="146" t="s">
        <v>339</v>
      </c>
      <c r="C8" s="130"/>
      <c r="D8" s="33">
        <f>'Truss Design'!C7</f>
        <v>13.5</v>
      </c>
      <c r="E8" s="34" t="s">
        <v>338</v>
      </c>
    </row>
    <row r="9" spans="2:9" ht="16" thickBot="1">
      <c r="B9" s="147" t="s">
        <v>340</v>
      </c>
      <c r="C9" s="148"/>
      <c r="D9" s="35">
        <f>'Truss Design'!C9</f>
        <v>13</v>
      </c>
      <c r="E9" s="36" t="s">
        <v>338</v>
      </c>
    </row>
    <row r="11" spans="2:9" ht="16" thickBot="1"/>
    <row r="12" spans="2:9" ht="16" thickBot="1">
      <c r="B12" s="143" t="s">
        <v>341</v>
      </c>
      <c r="C12" s="144"/>
      <c r="D12" s="144"/>
      <c r="E12" s="144"/>
      <c r="F12" s="144"/>
      <c r="G12" s="144"/>
      <c r="H12" s="144"/>
      <c r="I12" s="145"/>
    </row>
    <row r="13" spans="2:9" ht="16" thickBot="1">
      <c r="B13" s="37"/>
      <c r="C13" s="37"/>
      <c r="D13" s="37"/>
      <c r="E13" s="37"/>
      <c r="F13" s="37"/>
      <c r="G13" s="37"/>
      <c r="H13" s="37"/>
      <c r="I13" s="37"/>
    </row>
    <row r="14" spans="2:9">
      <c r="B14" s="137" t="s">
        <v>342</v>
      </c>
      <c r="C14" s="138"/>
      <c r="D14" s="138"/>
      <c r="E14" s="138"/>
      <c r="F14" s="138" t="s">
        <v>208</v>
      </c>
      <c r="G14" s="138"/>
      <c r="H14" s="138"/>
      <c r="I14" s="139"/>
    </row>
    <row r="15" spans="2:9">
      <c r="B15" s="38" t="s">
        <v>11</v>
      </c>
      <c r="C15" s="33"/>
      <c r="D15" s="40"/>
      <c r="E15" s="43"/>
      <c r="F15" s="39" t="s">
        <v>11</v>
      </c>
      <c r="G15" s="33"/>
      <c r="H15" s="40"/>
      <c r="I15" s="34"/>
    </row>
    <row r="16" spans="2:9">
      <c r="B16" s="38" t="s">
        <v>347</v>
      </c>
      <c r="C16" s="39">
        <f>'Truss Design'!A14</f>
        <v>9</v>
      </c>
      <c r="D16" s="39">
        <f>'Truss Design'!B14</f>
        <v>9</v>
      </c>
      <c r="E16" s="39">
        <f>'Truss Design'!C14</f>
        <v>6</v>
      </c>
      <c r="F16" s="39" t="s">
        <v>347</v>
      </c>
      <c r="G16" s="39">
        <f>C16</f>
        <v>9</v>
      </c>
      <c r="H16" s="39">
        <f>D16</f>
        <v>9</v>
      </c>
      <c r="I16" s="41">
        <f>E16</f>
        <v>6</v>
      </c>
    </row>
    <row r="17" spans="2:23" ht="18.5">
      <c r="B17" s="38" t="s">
        <v>344</v>
      </c>
      <c r="C17" s="33">
        <f>'Truss Design'!B15</f>
        <v>11.8</v>
      </c>
      <c r="D17" s="42" t="s">
        <v>389</v>
      </c>
      <c r="E17" s="43"/>
      <c r="F17" s="39" t="s">
        <v>344</v>
      </c>
      <c r="G17" s="33">
        <f>C17</f>
        <v>11.8</v>
      </c>
      <c r="H17" s="42" t="s">
        <v>389</v>
      </c>
      <c r="I17" s="34"/>
      <c r="Q17" s="140"/>
      <c r="R17" s="140"/>
    </row>
    <row r="18" spans="2:23" ht="16" thickBot="1">
      <c r="B18" s="44" t="s">
        <v>345</v>
      </c>
      <c r="C18" s="35">
        <f>'Truss Design'!B16</f>
        <v>42.79</v>
      </c>
      <c r="D18" s="45" t="s">
        <v>14</v>
      </c>
      <c r="E18" s="46"/>
      <c r="F18" s="47" t="s">
        <v>346</v>
      </c>
      <c r="G18" s="35">
        <f>C18</f>
        <v>42.79</v>
      </c>
      <c r="H18" s="48" t="s">
        <v>14</v>
      </c>
      <c r="I18" s="36"/>
    </row>
    <row r="19" spans="2:23" ht="16" thickBot="1">
      <c r="D19" s="49"/>
    </row>
    <row r="20" spans="2:23">
      <c r="B20" s="137" t="s">
        <v>17</v>
      </c>
      <c r="C20" s="138"/>
      <c r="D20" s="138"/>
      <c r="E20" s="138"/>
      <c r="F20" s="138" t="s">
        <v>71</v>
      </c>
      <c r="G20" s="138"/>
      <c r="H20" s="138"/>
      <c r="I20" s="139"/>
      <c r="O20" s="141"/>
      <c r="P20" s="141"/>
      <c r="S20" s="142"/>
      <c r="T20" s="142"/>
      <c r="U20" s="49"/>
    </row>
    <row r="21" spans="2:23">
      <c r="B21" s="38" t="s">
        <v>11</v>
      </c>
      <c r="C21" s="33"/>
      <c r="D21" s="40"/>
      <c r="E21" s="43"/>
      <c r="F21" s="39" t="s">
        <v>348</v>
      </c>
      <c r="G21" s="33"/>
      <c r="H21" s="40"/>
      <c r="I21" s="34"/>
      <c r="O21" s="141"/>
      <c r="P21" s="141"/>
      <c r="S21" s="142"/>
      <c r="T21" s="142"/>
      <c r="U21" s="49"/>
    </row>
    <row r="22" spans="2:23">
      <c r="B22" s="38" t="s">
        <v>347</v>
      </c>
      <c r="C22" s="39">
        <f>'Truss Design'!E14</f>
        <v>4</v>
      </c>
      <c r="D22" s="50">
        <f>'Truss Design'!F14</f>
        <v>4</v>
      </c>
      <c r="E22" s="39">
        <f>'Truss Design'!G14</f>
        <v>2</v>
      </c>
      <c r="F22" s="39" t="s">
        <v>349</v>
      </c>
      <c r="G22" s="39">
        <f>'Truss Design'!E20</f>
        <v>7</v>
      </c>
      <c r="H22" s="39">
        <f>G22</f>
        <v>7</v>
      </c>
      <c r="I22" s="41">
        <f>'Truss Design'!G20</f>
        <v>3</v>
      </c>
      <c r="O22" s="37"/>
      <c r="P22" s="37"/>
      <c r="Q22" s="37"/>
      <c r="S22" s="51"/>
      <c r="T22" s="51"/>
      <c r="U22" s="51"/>
    </row>
    <row r="23" spans="2:23" ht="18.5">
      <c r="B23" s="38" t="s">
        <v>344</v>
      </c>
      <c r="C23" s="33">
        <f>'Truss Design'!F15</f>
        <v>1.77</v>
      </c>
      <c r="D23" s="42" t="s">
        <v>389</v>
      </c>
      <c r="E23" s="43"/>
      <c r="F23" s="39" t="s">
        <v>350</v>
      </c>
      <c r="G23" s="33">
        <f>'Truss Design'!F21</f>
        <v>4.67</v>
      </c>
      <c r="H23" s="42" t="s">
        <v>389</v>
      </c>
      <c r="I23" s="34"/>
      <c r="S23" s="49"/>
      <c r="T23" s="49"/>
      <c r="U23" s="49"/>
      <c r="V23" s="49"/>
      <c r="W23" s="49"/>
    </row>
    <row r="24" spans="2:23" ht="16" thickBot="1">
      <c r="B24" s="44" t="s">
        <v>345</v>
      </c>
      <c r="C24" s="35">
        <f>'Truss Design'!F16</f>
        <v>6.46</v>
      </c>
      <c r="D24" s="45" t="s">
        <v>14</v>
      </c>
      <c r="E24" s="46"/>
      <c r="F24" s="47" t="s">
        <v>345</v>
      </c>
      <c r="G24" s="35">
        <f>'Truss Design'!F22</f>
        <v>17.079999999999998</v>
      </c>
      <c r="H24" s="45" t="s">
        <v>14</v>
      </c>
      <c r="I24" s="36"/>
      <c r="S24" s="49"/>
      <c r="T24" s="49"/>
      <c r="U24" s="49"/>
    </row>
    <row r="25" spans="2:23" ht="16" thickBot="1">
      <c r="O25" s="141"/>
      <c r="P25" s="141"/>
      <c r="S25" s="142"/>
      <c r="T25" s="142"/>
      <c r="U25" s="49"/>
    </row>
    <row r="26" spans="2:23">
      <c r="C26" s="137" t="s">
        <v>468</v>
      </c>
      <c r="D26" s="138"/>
      <c r="E26" s="138"/>
      <c r="F26" s="138" t="s">
        <v>343</v>
      </c>
      <c r="G26" s="138"/>
      <c r="H26" s="139"/>
      <c r="O26" s="141"/>
      <c r="P26" s="141"/>
      <c r="S26" s="142"/>
      <c r="T26" s="142"/>
      <c r="U26" s="49"/>
    </row>
    <row r="27" spans="2:23">
      <c r="C27" s="125" t="s">
        <v>351</v>
      </c>
      <c r="D27" s="128"/>
      <c r="E27" s="127"/>
      <c r="F27" s="33" t="s">
        <v>351</v>
      </c>
      <c r="G27" s="128"/>
      <c r="H27" s="129"/>
      <c r="O27" s="37"/>
      <c r="P27" s="37"/>
      <c r="Q27" s="37"/>
      <c r="S27" s="52"/>
      <c r="T27" s="52"/>
      <c r="U27" s="52"/>
    </row>
    <row r="28" spans="2:23">
      <c r="C28" s="38" t="s">
        <v>347</v>
      </c>
      <c r="D28" s="33" t="s">
        <v>352</v>
      </c>
      <c r="E28" s="43"/>
      <c r="F28" s="39" t="s">
        <v>349</v>
      </c>
      <c r="G28" s="33" t="s">
        <v>353</v>
      </c>
      <c r="H28" s="34"/>
      <c r="S28" s="49"/>
      <c r="T28" s="49"/>
      <c r="U28" s="49"/>
    </row>
    <row r="29" spans="2:23" ht="18.5">
      <c r="C29" s="38" t="s">
        <v>344</v>
      </c>
      <c r="D29" s="33">
        <f>8.84</f>
        <v>8.84</v>
      </c>
      <c r="E29" s="53" t="s">
        <v>389</v>
      </c>
      <c r="F29" s="39" t="s">
        <v>344</v>
      </c>
      <c r="G29" s="33">
        <f>'Truss Design'!B35</f>
        <v>3.55</v>
      </c>
      <c r="H29" s="54" t="s">
        <v>389</v>
      </c>
      <c r="S29" s="49"/>
      <c r="T29" s="49"/>
      <c r="U29" s="49"/>
    </row>
    <row r="30" spans="2:23" ht="16" thickBot="1">
      <c r="C30" s="44" t="s">
        <v>346</v>
      </c>
      <c r="D30" s="35">
        <f>'Truss Design'!B29</f>
        <v>30</v>
      </c>
      <c r="E30" s="46" t="s">
        <v>333</v>
      </c>
      <c r="F30" s="47" t="s">
        <v>345</v>
      </c>
      <c r="G30" s="35">
        <f>'Truss Design'!B34</f>
        <v>12</v>
      </c>
      <c r="H30" s="36" t="s">
        <v>333</v>
      </c>
    </row>
    <row r="32" spans="2:23" ht="16" thickBot="1">
      <c r="Q32" s="141"/>
      <c r="R32" s="141"/>
    </row>
    <row r="33" spans="2:19" ht="16" thickBot="1">
      <c r="B33" s="143" t="s">
        <v>355</v>
      </c>
      <c r="C33" s="144"/>
      <c r="D33" s="144"/>
      <c r="E33" s="144"/>
      <c r="F33" s="144"/>
      <c r="G33" s="145"/>
      <c r="H33" s="55"/>
    </row>
    <row r="34" spans="2:19" ht="16" thickBot="1"/>
    <row r="35" spans="2:19">
      <c r="B35" s="56" t="s">
        <v>356</v>
      </c>
      <c r="C35" s="57"/>
      <c r="D35" s="58"/>
      <c r="E35" s="59" t="s">
        <v>358</v>
      </c>
      <c r="F35" s="57"/>
      <c r="G35" s="60"/>
    </row>
    <row r="36" spans="2:19" ht="16" thickBot="1">
      <c r="B36" s="44" t="s">
        <v>357</v>
      </c>
      <c r="C36" s="35">
        <f>'Truss Design'!B217</f>
        <v>3.51</v>
      </c>
      <c r="D36" s="46" t="s">
        <v>219</v>
      </c>
      <c r="E36" s="47" t="s">
        <v>357</v>
      </c>
      <c r="F36" s="35">
        <f>C36</f>
        <v>3.51</v>
      </c>
      <c r="G36" s="36" t="s">
        <v>119</v>
      </c>
    </row>
    <row r="37" spans="2:19" ht="16" thickBot="1"/>
    <row r="38" spans="2:19">
      <c r="B38" s="56" t="s">
        <v>17</v>
      </c>
      <c r="C38" s="57"/>
      <c r="D38" s="58"/>
      <c r="E38" s="59" t="s">
        <v>71</v>
      </c>
      <c r="F38" s="57"/>
      <c r="G38" s="60"/>
      <c r="Q38" s="141"/>
      <c r="R38" s="141"/>
      <c r="S38" s="141"/>
    </row>
    <row r="39" spans="2:19" ht="20" thickBot="1">
      <c r="B39" s="44" t="s">
        <v>359</v>
      </c>
      <c r="C39" s="35">
        <f>ROUND('Truss Design'!H14,1)</f>
        <v>16.399999999999999</v>
      </c>
      <c r="D39" s="46" t="s">
        <v>5</v>
      </c>
      <c r="E39" s="47" t="s">
        <v>390</v>
      </c>
      <c r="F39" s="35">
        <f>'Truss Design'!F23</f>
        <v>36</v>
      </c>
      <c r="G39" s="36" t="s">
        <v>391</v>
      </c>
      <c r="Q39" s="37"/>
      <c r="R39" s="37"/>
      <c r="S39" s="37"/>
    </row>
    <row r="40" spans="2:19" ht="16" thickBot="1">
      <c r="Q40" s="61"/>
      <c r="R40" s="37"/>
      <c r="S40" s="37"/>
    </row>
    <row r="41" spans="2:19">
      <c r="B41" s="56" t="s">
        <v>306</v>
      </c>
      <c r="C41" s="57"/>
      <c r="D41" s="58"/>
      <c r="E41" s="59" t="s">
        <v>366</v>
      </c>
      <c r="F41" s="57"/>
      <c r="G41" s="60"/>
      <c r="Q41" s="37"/>
      <c r="R41" s="37"/>
      <c r="S41" s="37"/>
    </row>
    <row r="42" spans="2:19" ht="19.5">
      <c r="B42" s="38" t="s">
        <v>392</v>
      </c>
      <c r="C42" s="33">
        <f>'Truss Design'!B27</f>
        <v>170</v>
      </c>
      <c r="D42" s="43" t="s">
        <v>393</v>
      </c>
      <c r="E42" s="39" t="s">
        <v>361</v>
      </c>
      <c r="F42" s="33">
        <v>6.03</v>
      </c>
      <c r="G42" s="34" t="s">
        <v>219</v>
      </c>
      <c r="Q42" s="37"/>
      <c r="R42" s="37"/>
      <c r="S42" s="37"/>
    </row>
    <row r="43" spans="2:19" ht="19.5">
      <c r="B43" s="38" t="s">
        <v>394</v>
      </c>
      <c r="C43" s="33">
        <f>'Truss Design'!B28</f>
        <v>32.4</v>
      </c>
      <c r="D43" s="43" t="s">
        <v>395</v>
      </c>
      <c r="E43" s="39" t="s">
        <v>205</v>
      </c>
      <c r="F43" s="33">
        <f>ROUND('Truss Design'!G34,1)</f>
        <v>16.2</v>
      </c>
      <c r="G43" s="34" t="s">
        <v>5</v>
      </c>
      <c r="J43" s="62"/>
      <c r="K43" s="62"/>
      <c r="L43" s="62"/>
      <c r="M43" s="62"/>
      <c r="N43" s="62"/>
      <c r="O43" s="62"/>
      <c r="Q43" s="37"/>
      <c r="R43" s="37"/>
      <c r="S43" s="37"/>
    </row>
    <row r="44" spans="2:19" ht="16" thickBot="1">
      <c r="B44" s="44" t="s">
        <v>360</v>
      </c>
      <c r="C44" s="35">
        <f>10</f>
        <v>10</v>
      </c>
      <c r="D44" s="46" t="s">
        <v>3</v>
      </c>
      <c r="E44" s="47" t="s">
        <v>360</v>
      </c>
      <c r="F44" s="35">
        <f>10</f>
        <v>10</v>
      </c>
      <c r="G44" s="36" t="s">
        <v>5</v>
      </c>
      <c r="J44" s="62"/>
      <c r="K44" s="62"/>
      <c r="L44" s="62"/>
      <c r="M44" s="62"/>
      <c r="N44" s="62"/>
      <c r="O44" s="62"/>
    </row>
    <row r="45" spans="2:19">
      <c r="J45" s="62"/>
      <c r="K45" s="62"/>
      <c r="L45" s="62"/>
      <c r="M45" s="62"/>
      <c r="N45" s="62"/>
      <c r="O45" s="62"/>
    </row>
    <row r="46" spans="2:19" ht="22.5">
      <c r="E46" s="77" t="s">
        <v>422</v>
      </c>
      <c r="J46" s="62"/>
      <c r="K46" s="62"/>
      <c r="L46" s="62"/>
      <c r="M46" s="62"/>
      <c r="N46" s="62"/>
      <c r="O46" s="62"/>
    </row>
    <row r="47" spans="2:19">
      <c r="J47" s="62"/>
      <c r="K47" s="62"/>
      <c r="L47" s="62"/>
      <c r="M47" s="62"/>
      <c r="N47" s="62"/>
      <c r="O47" s="62"/>
    </row>
    <row r="48" spans="2:19" ht="16" thickBot="1">
      <c r="J48" s="63"/>
      <c r="K48" s="63"/>
      <c r="L48" s="63"/>
      <c r="M48" s="63"/>
      <c r="N48" s="62"/>
      <c r="O48" s="62"/>
    </row>
    <row r="49" spans="2:18">
      <c r="B49" s="149" t="s">
        <v>363</v>
      </c>
      <c r="C49" s="150"/>
      <c r="D49" s="150"/>
      <c r="E49" s="151"/>
      <c r="I49" s="64" t="s">
        <v>371</v>
      </c>
      <c r="J49" s="65"/>
      <c r="K49" s="65"/>
      <c r="L49" s="66"/>
      <c r="M49" s="62"/>
      <c r="N49" s="62"/>
      <c r="O49" s="62"/>
    </row>
    <row r="50" spans="2:18">
      <c r="B50" s="67" t="s">
        <v>365</v>
      </c>
      <c r="C50" s="62"/>
      <c r="D50" s="62"/>
      <c r="E50" s="68"/>
      <c r="I50" s="67" t="s">
        <v>372</v>
      </c>
      <c r="J50" s="69"/>
      <c r="K50" s="69">
        <f>90</f>
        <v>90</v>
      </c>
      <c r="L50" s="68" t="s">
        <v>28</v>
      </c>
      <c r="M50" s="62"/>
      <c r="N50" s="62"/>
      <c r="O50" s="62"/>
    </row>
    <row r="51" spans="2:18" ht="17.5">
      <c r="B51" s="67" t="s">
        <v>356</v>
      </c>
      <c r="C51" s="62" t="s">
        <v>396</v>
      </c>
      <c r="D51" s="62">
        <f>C18*C44</f>
        <v>427.9</v>
      </c>
      <c r="E51" s="68" t="s">
        <v>367</v>
      </c>
      <c r="I51" s="67" t="s">
        <v>373</v>
      </c>
      <c r="J51" s="63"/>
      <c r="K51" s="63"/>
      <c r="L51" s="68"/>
      <c r="M51" s="62"/>
      <c r="N51" s="62"/>
      <c r="O51" s="62"/>
    </row>
    <row r="52" spans="2:18" ht="17.5">
      <c r="B52" s="67" t="s">
        <v>397</v>
      </c>
      <c r="C52" s="62" t="s">
        <v>521</v>
      </c>
      <c r="D52" s="62">
        <f>D51</f>
        <v>427.9</v>
      </c>
      <c r="E52" s="68" t="s">
        <v>367</v>
      </c>
      <c r="I52" s="67"/>
      <c r="J52" s="63"/>
      <c r="K52" s="63"/>
      <c r="L52" s="68"/>
      <c r="M52" s="62"/>
      <c r="N52" s="62"/>
      <c r="O52" s="62"/>
      <c r="Q52" s="141"/>
      <c r="R52" s="141"/>
    </row>
    <row r="53" spans="2:18" ht="17.5">
      <c r="B53" s="67" t="s">
        <v>71</v>
      </c>
      <c r="C53" s="62" t="s">
        <v>398</v>
      </c>
      <c r="D53" s="62">
        <f>G24*D9*2</f>
        <v>444.07999999999993</v>
      </c>
      <c r="E53" s="68" t="s">
        <v>367</v>
      </c>
      <c r="I53" s="70" t="s">
        <v>374</v>
      </c>
      <c r="J53" s="63"/>
      <c r="K53" s="63">
        <f>6</f>
        <v>6</v>
      </c>
      <c r="L53" s="68" t="s">
        <v>5</v>
      </c>
      <c r="M53" s="62"/>
      <c r="N53" s="62"/>
      <c r="O53" s="62"/>
      <c r="Q53" s="141"/>
      <c r="R53" s="141"/>
    </row>
    <row r="54" spans="2:18" ht="17.5">
      <c r="B54" s="67" t="s">
        <v>17</v>
      </c>
      <c r="C54" s="62" t="s">
        <v>399</v>
      </c>
      <c r="D54" s="62">
        <f>ROUND(C24*C39*2,2)</f>
        <v>211.89</v>
      </c>
      <c r="E54" s="68" t="s">
        <v>367</v>
      </c>
      <c r="I54" s="70"/>
      <c r="J54" s="63"/>
      <c r="K54" s="63"/>
      <c r="L54" s="68"/>
      <c r="M54" s="62"/>
      <c r="N54" s="62"/>
      <c r="O54" s="62"/>
      <c r="Q54" s="141"/>
      <c r="R54" s="141"/>
    </row>
    <row r="55" spans="2:18" ht="16" thickBot="1">
      <c r="B55" s="67"/>
      <c r="C55" s="62"/>
      <c r="D55" s="62"/>
      <c r="E55" s="68"/>
      <c r="I55" s="71" t="s">
        <v>375</v>
      </c>
      <c r="J55" s="72"/>
      <c r="K55" s="72">
        <f>540</f>
        <v>540</v>
      </c>
      <c r="L55" s="73"/>
      <c r="M55" s="62"/>
      <c r="N55" s="62"/>
      <c r="O55" s="62"/>
    </row>
    <row r="56" spans="2:18">
      <c r="B56" s="67" t="s">
        <v>368</v>
      </c>
      <c r="C56" s="62"/>
      <c r="D56" s="62"/>
      <c r="E56" s="68"/>
      <c r="J56" s="63"/>
      <c r="K56" s="63"/>
      <c r="L56" s="63"/>
      <c r="M56" s="63"/>
      <c r="N56" s="62"/>
      <c r="O56" s="62"/>
    </row>
    <row r="57" spans="2:18" ht="18" thickBot="1">
      <c r="B57" s="67" t="s">
        <v>400</v>
      </c>
      <c r="C57" s="62"/>
      <c r="D57" s="62">
        <f>D30*'Truss Weight'!C45*14/2</f>
        <v>2713.2000000000003</v>
      </c>
      <c r="E57" s="68" t="s">
        <v>367</v>
      </c>
      <c r="J57" s="63"/>
      <c r="K57" s="63"/>
      <c r="L57" s="62"/>
      <c r="M57" s="62"/>
      <c r="N57" s="62"/>
      <c r="O57" s="62"/>
    </row>
    <row r="58" spans="2:18" ht="17.5">
      <c r="B58" s="67" t="s">
        <v>401</v>
      </c>
      <c r="C58" s="62"/>
      <c r="D58" s="62">
        <f>2721.6</f>
        <v>2721.6</v>
      </c>
      <c r="E58" s="68" t="s">
        <v>367</v>
      </c>
      <c r="I58" s="64" t="s">
        <v>376</v>
      </c>
      <c r="J58" s="65"/>
      <c r="K58" s="65"/>
      <c r="L58" s="65"/>
      <c r="M58" s="66"/>
      <c r="N58" s="62"/>
      <c r="O58" s="62"/>
    </row>
    <row r="59" spans="2:18" ht="17.5">
      <c r="B59" s="67" t="s">
        <v>402</v>
      </c>
      <c r="C59" s="62"/>
      <c r="D59" s="62">
        <v>600</v>
      </c>
      <c r="E59" s="68" t="s">
        <v>367</v>
      </c>
      <c r="I59" s="67" t="s">
        <v>377</v>
      </c>
      <c r="J59" s="62"/>
      <c r="K59" s="62"/>
      <c r="L59" s="62"/>
      <c r="M59" s="68"/>
    </row>
    <row r="60" spans="2:18">
      <c r="B60" s="67"/>
      <c r="C60" s="62"/>
      <c r="D60" s="62"/>
      <c r="E60" s="68"/>
      <c r="I60" s="67" t="s">
        <v>378</v>
      </c>
      <c r="J60" s="62"/>
      <c r="K60" s="62"/>
      <c r="L60" s="62"/>
      <c r="M60" s="68"/>
    </row>
    <row r="61" spans="2:18">
      <c r="B61" s="67" t="s">
        <v>369</v>
      </c>
      <c r="C61" s="62"/>
      <c r="D61" s="62"/>
      <c r="E61" s="68"/>
      <c r="I61" s="67" t="s">
        <v>379</v>
      </c>
      <c r="J61" s="62"/>
      <c r="K61" s="62"/>
      <c r="L61" s="62"/>
      <c r="M61" s="68"/>
    </row>
    <row r="62" spans="2:18" ht="17.5">
      <c r="B62" s="67" t="s">
        <v>403</v>
      </c>
      <c r="C62" s="62"/>
      <c r="D62" s="62">
        <f>30.74</f>
        <v>30.74</v>
      </c>
      <c r="E62" s="68" t="s">
        <v>14</v>
      </c>
      <c r="I62" s="67" t="s">
        <v>409</v>
      </c>
      <c r="J62" s="62"/>
      <c r="K62" s="62"/>
      <c r="L62" s="62"/>
      <c r="M62" s="68"/>
      <c r="R62" s="74"/>
    </row>
    <row r="63" spans="2:18" ht="16" thickBot="1">
      <c r="B63" s="75" t="s">
        <v>370</v>
      </c>
      <c r="C63" s="76"/>
      <c r="D63" s="76">
        <f>'Truss Design'!D46</f>
        <v>283.7</v>
      </c>
      <c r="E63" s="73" t="s">
        <v>14</v>
      </c>
      <c r="I63" s="67"/>
      <c r="J63" s="62"/>
      <c r="K63" s="62"/>
      <c r="L63" s="62"/>
      <c r="M63" s="68"/>
    </row>
    <row r="64" spans="2:18">
      <c r="I64" s="67" t="s">
        <v>43</v>
      </c>
      <c r="J64" s="62"/>
      <c r="K64" s="62">
        <f>4</f>
        <v>4</v>
      </c>
      <c r="L64" s="62" t="s">
        <v>46</v>
      </c>
      <c r="M64" s="68"/>
    </row>
    <row r="65" spans="2:20">
      <c r="I65" s="67" t="s">
        <v>47</v>
      </c>
      <c r="J65" s="62"/>
      <c r="K65" s="62">
        <f>16</f>
        <v>16</v>
      </c>
      <c r="L65" s="62" t="s">
        <v>46</v>
      </c>
      <c r="M65" s="68"/>
    </row>
    <row r="66" spans="2:20">
      <c r="I66" s="67" t="s">
        <v>44</v>
      </c>
      <c r="J66" s="62"/>
      <c r="K66" s="62">
        <v>14</v>
      </c>
      <c r="L66" s="62" t="s">
        <v>5</v>
      </c>
      <c r="M66" s="68"/>
    </row>
    <row r="67" spans="2:20" ht="16" thickBot="1">
      <c r="I67" s="75" t="s">
        <v>48</v>
      </c>
      <c r="J67" s="76"/>
      <c r="K67" s="76">
        <f>6</f>
        <v>6</v>
      </c>
      <c r="L67" s="76" t="s">
        <v>5</v>
      </c>
      <c r="M67" s="73"/>
    </row>
    <row r="68" spans="2:20">
      <c r="I68" s="62"/>
      <c r="J68" s="62"/>
      <c r="K68" s="62"/>
      <c r="L68" s="62"/>
      <c r="M68" s="62"/>
    </row>
    <row r="69" spans="2:20">
      <c r="I69" s="62"/>
      <c r="J69" s="62"/>
      <c r="K69" s="62"/>
      <c r="L69" s="62"/>
      <c r="M69" s="62"/>
    </row>
    <row r="70" spans="2:20">
      <c r="B70" s="32" t="s">
        <v>49</v>
      </c>
    </row>
    <row r="71" spans="2:20">
      <c r="B71" s="32" t="s">
        <v>426</v>
      </c>
      <c r="O71" s="32" t="s">
        <v>75</v>
      </c>
    </row>
    <row r="73" spans="2:20" ht="19.5">
      <c r="B73" s="32" t="s">
        <v>404</v>
      </c>
      <c r="C73" s="32" t="s">
        <v>405</v>
      </c>
      <c r="O73" t="s">
        <v>437</v>
      </c>
      <c r="P73" t="s">
        <v>78</v>
      </c>
    </row>
    <row r="75" spans="2:20">
      <c r="B75" s="39" t="s">
        <v>380</v>
      </c>
      <c r="C75" s="130" t="s">
        <v>382</v>
      </c>
      <c r="D75" s="130"/>
      <c r="E75" s="130"/>
      <c r="F75" s="39" t="s">
        <v>408</v>
      </c>
      <c r="G75" s="39" t="s">
        <v>417</v>
      </c>
      <c r="H75" s="39"/>
      <c r="I75" s="39"/>
      <c r="J75" s="39"/>
      <c r="O75" s="39" t="s">
        <v>380</v>
      </c>
      <c r="P75" s="39" t="s">
        <v>427</v>
      </c>
      <c r="Q75" s="39" t="s">
        <v>408</v>
      </c>
      <c r="R75" s="39" t="s">
        <v>428</v>
      </c>
      <c r="S75" s="39"/>
    </row>
    <row r="76" spans="2:20" ht="17.5">
      <c r="B76" s="39" t="s">
        <v>381</v>
      </c>
      <c r="C76" s="130" t="s">
        <v>410</v>
      </c>
      <c r="D76" s="130"/>
      <c r="E76" s="130"/>
      <c r="F76" s="39">
        <v>1</v>
      </c>
      <c r="G76" s="126" t="s">
        <v>414</v>
      </c>
      <c r="H76" s="128"/>
      <c r="I76" s="128"/>
      <c r="J76" s="127"/>
      <c r="O76" s="39" t="s">
        <v>429</v>
      </c>
      <c r="P76" s="39" t="s">
        <v>442</v>
      </c>
      <c r="Q76" s="39" t="s">
        <v>431</v>
      </c>
      <c r="R76" s="39" t="s">
        <v>432</v>
      </c>
      <c r="S76" s="39"/>
    </row>
    <row r="77" spans="2:20" ht="17.5">
      <c r="B77" s="39" t="s">
        <v>58</v>
      </c>
      <c r="C77" s="130" t="s">
        <v>384</v>
      </c>
      <c r="D77" s="130"/>
      <c r="E77" s="130"/>
      <c r="F77" s="39">
        <v>1.1399999999999999</v>
      </c>
      <c r="G77" s="126" t="s">
        <v>413</v>
      </c>
      <c r="H77" s="128"/>
      <c r="I77" s="128"/>
      <c r="J77" s="127"/>
      <c r="O77" s="39" t="s">
        <v>430</v>
      </c>
      <c r="P77" s="39" t="s">
        <v>433</v>
      </c>
      <c r="Q77" s="39" t="s">
        <v>434</v>
      </c>
      <c r="R77" s="126" t="s">
        <v>435</v>
      </c>
      <c r="S77" s="127"/>
    </row>
    <row r="78" spans="2:20">
      <c r="B78" s="39" t="s">
        <v>61</v>
      </c>
      <c r="C78" s="130" t="s">
        <v>385</v>
      </c>
      <c r="D78" s="130"/>
      <c r="E78" s="130"/>
      <c r="F78" s="39">
        <v>105</v>
      </c>
      <c r="G78" s="126" t="s">
        <v>415</v>
      </c>
      <c r="H78" s="128"/>
      <c r="I78" s="128"/>
      <c r="J78" s="127"/>
      <c r="O78" s="126"/>
      <c r="P78" s="128"/>
      <c r="Q78" s="128"/>
      <c r="R78" s="128"/>
      <c r="S78" s="127"/>
    </row>
    <row r="79" spans="2:20" ht="17.5">
      <c r="B79" s="39" t="s">
        <v>406</v>
      </c>
      <c r="C79" s="130" t="s">
        <v>386</v>
      </c>
      <c r="D79" s="130"/>
      <c r="E79" s="130"/>
      <c r="F79" s="39">
        <v>1.1499999999999999</v>
      </c>
      <c r="G79" s="126" t="s">
        <v>416</v>
      </c>
      <c r="H79" s="128"/>
      <c r="I79" s="128"/>
      <c r="J79" s="127"/>
      <c r="O79" s="21" t="s">
        <v>438</v>
      </c>
      <c r="P79" s="39" t="s">
        <v>75</v>
      </c>
      <c r="Q79" s="39" t="s">
        <v>436</v>
      </c>
      <c r="R79" s="126"/>
      <c r="S79" s="127"/>
    </row>
    <row r="80" spans="2:20" ht="18" thickBot="1">
      <c r="B80" s="39" t="s">
        <v>407</v>
      </c>
      <c r="C80" s="130" t="s">
        <v>387</v>
      </c>
      <c r="D80" s="130"/>
      <c r="E80" s="130"/>
      <c r="F80" s="39">
        <v>2</v>
      </c>
      <c r="G80" s="126" t="s">
        <v>412</v>
      </c>
      <c r="H80" s="128"/>
      <c r="I80" s="128"/>
      <c r="J80" s="127"/>
      <c r="O80" s="5"/>
      <c r="P80" s="5"/>
      <c r="Q80" s="5"/>
      <c r="R80"/>
      <c r="S80"/>
      <c r="T80"/>
    </row>
    <row r="81" spans="2:20">
      <c r="B81" s="126"/>
      <c r="C81" s="128"/>
      <c r="D81" s="128"/>
      <c r="E81" s="128"/>
      <c r="F81" s="128"/>
      <c r="G81" s="128"/>
      <c r="H81" s="128"/>
      <c r="I81" s="128"/>
      <c r="J81" s="127"/>
      <c r="O81" s="64" t="s">
        <v>440</v>
      </c>
      <c r="P81" s="80"/>
      <c r="Q81" s="29">
        <f>187.71</f>
        <v>187.71</v>
      </c>
      <c r="R81" s="82" t="s">
        <v>14</v>
      </c>
      <c r="S81"/>
      <c r="T81"/>
    </row>
    <row r="82" spans="2:20" ht="18" thickBot="1">
      <c r="B82" s="39" t="s">
        <v>404</v>
      </c>
      <c r="C82" s="39" t="s">
        <v>383</v>
      </c>
      <c r="D82" s="39"/>
      <c r="E82" s="39"/>
      <c r="F82" s="39" t="s">
        <v>418</v>
      </c>
      <c r="G82" s="126" t="s">
        <v>411</v>
      </c>
      <c r="H82" s="128"/>
      <c r="I82" s="128"/>
      <c r="J82" s="127"/>
      <c r="O82" s="75" t="s">
        <v>439</v>
      </c>
      <c r="P82" s="30"/>
      <c r="Q82" s="30">
        <f>255-Q81</f>
        <v>67.289999999999992</v>
      </c>
      <c r="R82" s="31" t="s">
        <v>14</v>
      </c>
      <c r="S82"/>
      <c r="T82"/>
    </row>
    <row r="83" spans="2:20" ht="16" thickBot="1">
      <c r="Q83"/>
      <c r="R83"/>
    </row>
    <row r="84" spans="2:20">
      <c r="B84" s="137" t="s">
        <v>425</v>
      </c>
      <c r="C84" s="138"/>
      <c r="D84" s="138"/>
      <c r="E84" s="139"/>
      <c r="O84"/>
      <c r="P84"/>
      <c r="Q84"/>
      <c r="R84"/>
      <c r="S84"/>
      <c r="T84"/>
    </row>
    <row r="85" spans="2:20">
      <c r="B85" s="146" t="s">
        <v>356</v>
      </c>
      <c r="C85" s="130"/>
      <c r="D85" s="39">
        <v>7.5</v>
      </c>
      <c r="E85" s="41" t="s">
        <v>14</v>
      </c>
      <c r="O85"/>
      <c r="P85"/>
      <c r="Q85"/>
      <c r="R85"/>
      <c r="S85"/>
      <c r="T85"/>
    </row>
    <row r="86" spans="2:20">
      <c r="B86" s="152" t="s">
        <v>358</v>
      </c>
      <c r="C86" s="127"/>
      <c r="D86" s="39">
        <v>7.5</v>
      </c>
      <c r="E86" s="41" t="s">
        <v>14</v>
      </c>
      <c r="O86"/>
      <c r="P86"/>
      <c r="Q86"/>
      <c r="R86"/>
      <c r="S86"/>
      <c r="T86"/>
    </row>
    <row r="87" spans="2:20">
      <c r="B87" s="146" t="s">
        <v>71</v>
      </c>
      <c r="C87" s="130"/>
      <c r="D87" s="39">
        <f>ROUND('Truss Design'!B96,2)</f>
        <v>15.17</v>
      </c>
      <c r="E87" s="41" t="s">
        <v>14</v>
      </c>
      <c r="O87"/>
      <c r="P87"/>
      <c r="Q87"/>
      <c r="R87"/>
      <c r="S87"/>
      <c r="T87"/>
    </row>
    <row r="88" spans="2:20">
      <c r="B88" s="146" t="s">
        <v>17</v>
      </c>
      <c r="C88" s="130"/>
      <c r="D88" s="39">
        <f>ROUND('Truss Design'!B97,2)</f>
        <v>10.93</v>
      </c>
      <c r="E88" s="41" t="s">
        <v>14</v>
      </c>
      <c r="O88"/>
      <c r="P88"/>
      <c r="Q88"/>
      <c r="R88"/>
      <c r="S88"/>
      <c r="T88"/>
    </row>
    <row r="89" spans="2:20">
      <c r="B89" s="146" t="s">
        <v>419</v>
      </c>
      <c r="C89" s="130"/>
      <c r="D89" s="39">
        <f>ROUND('Truss Design'!B100,2)</f>
        <v>1.67</v>
      </c>
      <c r="E89" s="41" t="s">
        <v>14</v>
      </c>
      <c r="P89"/>
      <c r="Q89"/>
      <c r="R89"/>
      <c r="S89"/>
      <c r="T89"/>
    </row>
    <row r="90" spans="2:20">
      <c r="B90" s="146" t="s">
        <v>420</v>
      </c>
      <c r="C90" s="130"/>
      <c r="D90" s="39">
        <f>ROUND('Truss Design'!B102,2)</f>
        <v>5.03</v>
      </c>
      <c r="E90" s="41" t="s">
        <v>14</v>
      </c>
      <c r="O90"/>
      <c r="P90"/>
      <c r="Q90"/>
      <c r="R90"/>
      <c r="S90"/>
      <c r="T90"/>
    </row>
    <row r="91" spans="2:20" ht="16.5" customHeight="1">
      <c r="B91" s="146" t="s">
        <v>364</v>
      </c>
      <c r="C91" s="130"/>
      <c r="D91" s="39">
        <f>ROUND('Truss Design'!B104,2)</f>
        <v>1.79</v>
      </c>
      <c r="E91" s="41" t="s">
        <v>14</v>
      </c>
      <c r="O91" s="5"/>
      <c r="P91" s="5"/>
      <c r="Q91"/>
      <c r="R91"/>
      <c r="S91"/>
      <c r="T91"/>
    </row>
    <row r="92" spans="2:20" ht="16" thickBot="1">
      <c r="B92" s="147" t="s">
        <v>421</v>
      </c>
      <c r="C92" s="148"/>
      <c r="D92" s="47">
        <f>SUM(D85:D91)</f>
        <v>49.59</v>
      </c>
      <c r="E92" s="78" t="s">
        <v>14</v>
      </c>
      <c r="O92"/>
      <c r="P92"/>
      <c r="Q92"/>
      <c r="R92"/>
      <c r="S92"/>
      <c r="T92"/>
    </row>
    <row r="93" spans="2:20" ht="16" thickBot="1">
      <c r="O93"/>
      <c r="P93"/>
      <c r="Q93"/>
      <c r="R93"/>
    </row>
    <row r="94" spans="2:20" ht="17.5">
      <c r="B94" s="79" t="s">
        <v>424</v>
      </c>
      <c r="C94" s="80"/>
      <c r="D94" s="80"/>
      <c r="E94" s="29"/>
      <c r="F94" s="66"/>
      <c r="O94" s="5"/>
      <c r="P94" s="5"/>
      <c r="Q94" s="5"/>
      <c r="R94"/>
    </row>
    <row r="95" spans="2:20" ht="17" thickBot="1">
      <c r="B95" s="81" t="s">
        <v>73</v>
      </c>
      <c r="C95" s="30">
        <f>734.08</f>
        <v>734.08</v>
      </c>
      <c r="D95" s="30" t="s">
        <v>14</v>
      </c>
      <c r="E95" s="30"/>
      <c r="F95" s="31"/>
      <c r="O95"/>
      <c r="P95"/>
      <c r="Q95"/>
      <c r="R95"/>
    </row>
    <row r="96" spans="2:20">
      <c r="O96"/>
      <c r="P96"/>
      <c r="Q96"/>
      <c r="R96"/>
    </row>
    <row r="97" spans="2:14">
      <c r="N97"/>
    </row>
    <row r="98" spans="2:14" ht="22.5">
      <c r="D98" s="77" t="s">
        <v>441</v>
      </c>
    </row>
    <row r="103" spans="2:14">
      <c r="B103" s="86" t="s">
        <v>191</v>
      </c>
      <c r="C103" s="86" t="s">
        <v>192</v>
      </c>
      <c r="D103" s="86" t="s">
        <v>193</v>
      </c>
      <c r="E103" s="86" t="s">
        <v>194</v>
      </c>
      <c r="I103" s="39" t="s">
        <v>443</v>
      </c>
      <c r="J103" s="39" t="s">
        <v>444</v>
      </c>
      <c r="K103" s="39"/>
      <c r="L103"/>
      <c r="M103"/>
      <c r="N103"/>
    </row>
    <row r="104" spans="2:14">
      <c r="B104" s="87" t="s">
        <v>182</v>
      </c>
      <c r="C104" s="87">
        <f>1.25</f>
        <v>1.25</v>
      </c>
      <c r="D104" s="87">
        <f>1.75</f>
        <v>1.75</v>
      </c>
      <c r="E104" s="87">
        <v>0</v>
      </c>
      <c r="I104" s="87" t="s">
        <v>182</v>
      </c>
      <c r="J104" s="90">
        <f>ROUND('Truss Design'!E148/1000,2)</f>
        <v>1.3</v>
      </c>
      <c r="K104" s="91" t="s">
        <v>237</v>
      </c>
      <c r="L104"/>
      <c r="M104"/>
      <c r="N104"/>
    </row>
    <row r="105" spans="2:14">
      <c r="B105" s="87" t="s">
        <v>183</v>
      </c>
      <c r="C105" s="87">
        <f>1.25</f>
        <v>1.25</v>
      </c>
      <c r="D105" s="87">
        <f>0</f>
        <v>0</v>
      </c>
      <c r="E105" s="88">
        <f>1</f>
        <v>1</v>
      </c>
      <c r="I105" s="87" t="s">
        <v>183</v>
      </c>
      <c r="J105" s="90">
        <f>ROUND('Truss Design'!E149/1000,2)</f>
        <v>0.54</v>
      </c>
      <c r="K105" s="91" t="s">
        <v>237</v>
      </c>
      <c r="L105"/>
      <c r="M105"/>
      <c r="N105"/>
    </row>
    <row r="106" spans="2:14">
      <c r="B106" s="87" t="s">
        <v>184</v>
      </c>
      <c r="C106" s="88">
        <v>1</v>
      </c>
      <c r="D106" s="88">
        <f>1</f>
        <v>1</v>
      </c>
      <c r="E106" s="88">
        <f>1</f>
        <v>1</v>
      </c>
      <c r="I106" s="87" t="s">
        <v>184</v>
      </c>
      <c r="J106" s="90">
        <f>ROUND('Truss Design'!E150/1000,2)</f>
        <v>1.01</v>
      </c>
      <c r="K106" s="91" t="s">
        <v>237</v>
      </c>
      <c r="L106"/>
      <c r="M106"/>
      <c r="N106"/>
    </row>
    <row r="107" spans="2:14">
      <c r="B107" s="87" t="s">
        <v>185</v>
      </c>
      <c r="C107" s="88">
        <v>1</v>
      </c>
      <c r="D107" s="89">
        <f>1.3</f>
        <v>1.3</v>
      </c>
      <c r="E107" s="89">
        <v>0</v>
      </c>
      <c r="I107" s="87" t="s">
        <v>185</v>
      </c>
      <c r="J107" s="90">
        <f>ROUND('Truss Design'!E151/1000,2)</f>
        <v>0.99</v>
      </c>
      <c r="K107" s="91" t="s">
        <v>237</v>
      </c>
      <c r="L107"/>
      <c r="M107"/>
      <c r="N107"/>
    </row>
    <row r="108" spans="2:14">
      <c r="B108" s="87" t="s">
        <v>186</v>
      </c>
      <c r="C108" s="88">
        <v>1</v>
      </c>
      <c r="D108" s="89">
        <f>0.5</f>
        <v>0.5</v>
      </c>
      <c r="E108" s="89">
        <v>0</v>
      </c>
      <c r="I108" s="87" t="s">
        <v>186</v>
      </c>
      <c r="J108" s="90">
        <f>ROUND('Truss Design'!E152/1000,2)</f>
        <v>0.82</v>
      </c>
      <c r="K108" s="91" t="s">
        <v>237</v>
      </c>
      <c r="L108"/>
      <c r="M108"/>
      <c r="N108"/>
    </row>
    <row r="109" spans="2:14">
      <c r="B109" s="89" t="s">
        <v>187</v>
      </c>
      <c r="C109" s="88">
        <v>1</v>
      </c>
      <c r="D109" s="89">
        <v>0</v>
      </c>
      <c r="E109" s="89">
        <f>1</f>
        <v>1</v>
      </c>
      <c r="I109" s="89" t="s">
        <v>187</v>
      </c>
      <c r="J109" s="90">
        <f>ROUND('Truss Design'!E153/1000,2)</f>
        <v>0.47</v>
      </c>
      <c r="K109" s="91" t="s">
        <v>237</v>
      </c>
      <c r="L109"/>
      <c r="M109"/>
      <c r="N109"/>
    </row>
    <row r="110" spans="2:14">
      <c r="B110" s="87" t="s">
        <v>188</v>
      </c>
      <c r="C110" s="88">
        <v>0</v>
      </c>
      <c r="D110" s="89">
        <f>1.75</f>
        <v>1.75</v>
      </c>
      <c r="E110" s="89">
        <f>0</f>
        <v>0</v>
      </c>
      <c r="I110" s="87" t="s">
        <v>188</v>
      </c>
      <c r="J110" s="90">
        <f>ROUND('Truss Design'!E154/1000,2)</f>
        <v>0.54</v>
      </c>
      <c r="K110" s="91" t="s">
        <v>237</v>
      </c>
      <c r="L110"/>
      <c r="M110"/>
      <c r="N110"/>
    </row>
    <row r="111" spans="2:14">
      <c r="B111" s="87" t="s">
        <v>189</v>
      </c>
      <c r="C111" s="88">
        <v>1</v>
      </c>
      <c r="D111" s="89">
        <f>0.5</f>
        <v>0.5</v>
      </c>
      <c r="E111" s="89">
        <v>0</v>
      </c>
      <c r="I111" s="87" t="s">
        <v>189</v>
      </c>
      <c r="J111" s="90">
        <f>ROUND('Truss Design'!E155/1000,2)</f>
        <v>0.82</v>
      </c>
      <c r="K111" s="91" t="s">
        <v>237</v>
      </c>
      <c r="L111"/>
      <c r="M111"/>
      <c r="N111"/>
    </row>
    <row r="112" spans="2:14">
      <c r="B112" s="87" t="s">
        <v>190</v>
      </c>
      <c r="C112" s="88">
        <v>1</v>
      </c>
      <c r="D112" s="89">
        <f>0.5</f>
        <v>0.5</v>
      </c>
      <c r="E112" s="89">
        <v>0</v>
      </c>
      <c r="I112" s="87" t="s">
        <v>190</v>
      </c>
      <c r="J112" s="90">
        <f>ROUND('Truss Design'!E156/1000,2)</f>
        <v>0.82</v>
      </c>
      <c r="K112" s="91" t="s">
        <v>237</v>
      </c>
    </row>
    <row r="113" spans="2:11">
      <c r="B113" s="7"/>
      <c r="I113" s="39" t="s">
        <v>522</v>
      </c>
      <c r="J113" s="126" t="s">
        <v>523</v>
      </c>
      <c r="K113" s="127"/>
    </row>
    <row r="114" spans="2:11">
      <c r="B114" s="50" t="s">
        <v>446</v>
      </c>
    </row>
    <row r="115" spans="2:11">
      <c r="B115" s="92" t="s">
        <v>475</v>
      </c>
    </row>
    <row r="116" spans="2:11">
      <c r="B116" s="93" t="s">
        <v>445</v>
      </c>
    </row>
    <row r="119" spans="2:11" ht="25">
      <c r="C119" s="102"/>
      <c r="D119" s="85" t="s">
        <v>447</v>
      </c>
    </row>
    <row r="120" spans="2:11">
      <c r="C120" s="102"/>
    </row>
    <row r="122" spans="2:11" ht="18">
      <c r="B122" s="101" t="s">
        <v>448</v>
      </c>
    </row>
    <row r="123" spans="2:11">
      <c r="B123" s="32" t="s">
        <v>457</v>
      </c>
    </row>
    <row r="125" spans="2:11">
      <c r="B125" s="39" t="s">
        <v>380</v>
      </c>
      <c r="C125" s="126" t="s">
        <v>450</v>
      </c>
      <c r="D125" s="128"/>
      <c r="E125" s="127"/>
      <c r="F125" s="39" t="s">
        <v>451</v>
      </c>
    </row>
    <row r="126" spans="2:11">
      <c r="B126" s="39" t="s">
        <v>110</v>
      </c>
      <c r="C126" s="126" t="s">
        <v>449</v>
      </c>
      <c r="D126" s="128"/>
      <c r="E126" s="127"/>
      <c r="F126" s="39">
        <f>ROUND('Truss Design'!B272,3)</f>
        <v>2.5659999999999998</v>
      </c>
    </row>
    <row r="128" spans="2:11">
      <c r="B128" s="94" t="s">
        <v>453</v>
      </c>
      <c r="C128" s="95" t="s">
        <v>452</v>
      </c>
    </row>
    <row r="129" spans="2:6">
      <c r="B129" s="96" t="s">
        <v>454</v>
      </c>
      <c r="C129" s="97">
        <v>3.8999999999999998E-3</v>
      </c>
    </row>
    <row r="131" spans="2:6">
      <c r="B131" s="50" t="s">
        <v>455</v>
      </c>
    </row>
    <row r="132" spans="2:6">
      <c r="B132" s="93" t="s">
        <v>456</v>
      </c>
    </row>
    <row r="135" spans="2:6" ht="18">
      <c r="B135" s="105" t="s">
        <v>458</v>
      </c>
    </row>
    <row r="137" spans="2:6">
      <c r="B137" s="32" t="s">
        <v>459</v>
      </c>
    </row>
    <row r="138" spans="2:6" ht="17.5">
      <c r="B138" s="104" t="s">
        <v>460</v>
      </c>
    </row>
    <row r="139" spans="2:6">
      <c r="B139" s="32" t="s">
        <v>461</v>
      </c>
    </row>
    <row r="142" spans="2:6">
      <c r="B142" s="39" t="s">
        <v>380</v>
      </c>
      <c r="C142" s="39" t="s">
        <v>427</v>
      </c>
      <c r="D142" s="39" t="s">
        <v>451</v>
      </c>
    </row>
    <row r="143" spans="2:6">
      <c r="B143" s="84" t="s">
        <v>209</v>
      </c>
      <c r="C143" s="39" t="s">
        <v>462</v>
      </c>
      <c r="D143" s="39" t="s">
        <v>463</v>
      </c>
    </row>
    <row r="144" spans="2:6">
      <c r="B144" s="84" t="s">
        <v>464</v>
      </c>
      <c r="C144" s="39" t="s">
        <v>530</v>
      </c>
      <c r="D144" s="39" t="s">
        <v>469</v>
      </c>
      <c r="F144" s="62"/>
    </row>
    <row r="145" spans="2:6">
      <c r="B145" s="84" t="s">
        <v>465</v>
      </c>
      <c r="C145" s="39" t="s">
        <v>466</v>
      </c>
      <c r="D145" s="39" t="s">
        <v>470</v>
      </c>
      <c r="F145" s="62"/>
    </row>
    <row r="146" spans="2:6" ht="19.5">
      <c r="B146" s="84" t="s">
        <v>467</v>
      </c>
      <c r="C146" s="39" t="s">
        <v>496</v>
      </c>
      <c r="D146" s="39" t="s">
        <v>471</v>
      </c>
    </row>
    <row r="147" spans="2:6" ht="19.5">
      <c r="B147" s="84" t="s">
        <v>390</v>
      </c>
      <c r="C147" s="39" t="s">
        <v>495</v>
      </c>
      <c r="D147" s="39" t="s">
        <v>472</v>
      </c>
    </row>
    <row r="150" spans="2:6">
      <c r="B150" s="84" t="s">
        <v>478</v>
      </c>
      <c r="C150" s="99">
        <f>ROUND('Truss Design'!B185,4)</f>
        <v>0.9798</v>
      </c>
      <c r="D150" s="43" t="s">
        <v>214</v>
      </c>
    </row>
    <row r="152" spans="2:6">
      <c r="B152" s="84" t="s">
        <v>473</v>
      </c>
      <c r="C152" s="130" t="s">
        <v>474</v>
      </c>
      <c r="D152" s="130"/>
      <c r="E152" s="39" t="s">
        <v>476</v>
      </c>
    </row>
    <row r="153" spans="2:6" ht="17.5">
      <c r="B153" s="84" t="s">
        <v>477</v>
      </c>
      <c r="C153" s="130" t="s">
        <v>479</v>
      </c>
      <c r="D153" s="130"/>
      <c r="E153" s="39" t="s">
        <v>480</v>
      </c>
    </row>
    <row r="154" spans="2:6" ht="16" thickBot="1"/>
    <row r="155" spans="2:6" ht="18" thickBot="1">
      <c r="B155" s="83" t="s">
        <v>481</v>
      </c>
      <c r="C155" s="103">
        <f>ROUND('Truss Design'!A195,4)</f>
        <v>0.41239999999999999</v>
      </c>
    </row>
    <row r="157" spans="2:6">
      <c r="B157" s="50" t="s">
        <v>482</v>
      </c>
    </row>
    <row r="158" spans="2:6">
      <c r="B158" s="93" t="s">
        <v>483</v>
      </c>
    </row>
    <row r="160" spans="2:6">
      <c r="B160" s="32" t="s">
        <v>484</v>
      </c>
    </row>
    <row r="163" spans="2:5">
      <c r="B163" s="131" t="s">
        <v>485</v>
      </c>
      <c r="C163" s="131"/>
      <c r="D163" s="131"/>
    </row>
    <row r="164" spans="2:5">
      <c r="B164" s="89" t="s">
        <v>224</v>
      </c>
      <c r="C164" s="89" t="s">
        <v>221</v>
      </c>
      <c r="D164" s="89" t="s">
        <v>222</v>
      </c>
      <c r="E164" s="62"/>
    </row>
    <row r="165" spans="2:5">
      <c r="B165" s="89">
        <v>0.45</v>
      </c>
      <c r="C165" s="89">
        <v>0.624</v>
      </c>
      <c r="D165" s="89">
        <v>0.53700000000000003</v>
      </c>
    </row>
    <row r="166" spans="2:5">
      <c r="B166" s="89">
        <v>0.4</v>
      </c>
      <c r="C166" s="89">
        <v>0.45400000000000001</v>
      </c>
      <c r="D166" s="89">
        <v>0.42799999999999999</v>
      </c>
    </row>
    <row r="167" spans="2:5">
      <c r="B167" s="32" t="s">
        <v>486</v>
      </c>
    </row>
    <row r="169" spans="2:5">
      <c r="B169" s="21" t="s">
        <v>227</v>
      </c>
      <c r="C169" s="21">
        <f>'Truss Design'!I208</f>
        <v>0.58050000000000002</v>
      </c>
      <c r="D169" s="21" t="s">
        <v>231</v>
      </c>
      <c r="E169" s="21">
        <f>'Truss Design'!K208</f>
        <v>0.45</v>
      </c>
    </row>
    <row r="170" spans="2:5">
      <c r="B170" s="21" t="s">
        <v>228</v>
      </c>
      <c r="C170" s="21">
        <f>'Truss Design'!I209</f>
        <v>0.41235811710051062</v>
      </c>
      <c r="D170" s="21" t="s">
        <v>226</v>
      </c>
      <c r="E170" s="22" t="s">
        <v>487</v>
      </c>
    </row>
    <row r="171" spans="2:5">
      <c r="B171" s="21" t="s">
        <v>230</v>
      </c>
      <c r="C171" s="21">
        <f>'Truss Design'!I210</f>
        <v>0.441</v>
      </c>
      <c r="D171" s="21" t="s">
        <v>225</v>
      </c>
      <c r="E171" s="21">
        <f>'Truss Design'!K210</f>
        <v>0.4</v>
      </c>
    </row>
    <row r="172" spans="2:5" ht="16" thickBot="1"/>
    <row r="173" spans="2:5">
      <c r="B173" s="64" t="s">
        <v>487</v>
      </c>
      <c r="C173" s="66">
        <f>ROUND('Truss Design'!C202,4)</f>
        <v>0.38969999999999999</v>
      </c>
    </row>
    <row r="174" spans="2:5" ht="16" thickBot="1">
      <c r="B174" s="75" t="s">
        <v>121</v>
      </c>
      <c r="C174" s="73">
        <f>ROUND('Truss Design'!C203,3)</f>
        <v>2.5659999999999998</v>
      </c>
    </row>
    <row r="176" spans="2:5">
      <c r="B176" s="50" t="s">
        <v>446</v>
      </c>
    </row>
    <row r="177" spans="2:5">
      <c r="B177" s="92" t="s">
        <v>483</v>
      </c>
    </row>
    <row r="178" spans="2:5">
      <c r="B178" s="93" t="s">
        <v>531</v>
      </c>
    </row>
    <row r="181" spans="2:5" ht="18">
      <c r="B181" s="105" t="s">
        <v>111</v>
      </c>
    </row>
    <row r="183" spans="2:5">
      <c r="B183" s="32" t="s">
        <v>488</v>
      </c>
    </row>
    <row r="184" spans="2:5">
      <c r="B184" s="94" t="s">
        <v>489</v>
      </c>
      <c r="C184" s="106" t="s">
        <v>113</v>
      </c>
      <c r="D184" s="95"/>
    </row>
    <row r="185" spans="2:5">
      <c r="B185" s="107"/>
      <c r="C185" s="62"/>
      <c r="D185" s="108"/>
    </row>
    <row r="186" spans="2:5">
      <c r="B186" s="107" t="s">
        <v>490</v>
      </c>
      <c r="C186" s="62" t="s">
        <v>491</v>
      </c>
      <c r="D186" s="108"/>
    </row>
    <row r="187" spans="2:5">
      <c r="B187" s="107"/>
      <c r="C187" s="62"/>
      <c r="D187" s="108"/>
    </row>
    <row r="188" spans="2:5">
      <c r="B188" s="96" t="s">
        <v>492</v>
      </c>
      <c r="C188" s="100">
        <f>87.73</f>
        <v>87.73</v>
      </c>
      <c r="D188" s="97" t="s">
        <v>493</v>
      </c>
    </row>
    <row r="190" spans="2:5" ht="17.5">
      <c r="B190" s="32" t="s">
        <v>494</v>
      </c>
    </row>
    <row r="192" spans="2:5">
      <c r="B192" s="109" t="s">
        <v>136</v>
      </c>
      <c r="C192" s="110"/>
      <c r="D192"/>
      <c r="E192"/>
    </row>
    <row r="193" spans="2:5">
      <c r="B193" s="111"/>
      <c r="C193" s="112"/>
      <c r="D193" s="5"/>
      <c r="E193"/>
    </row>
    <row r="194" spans="2:5">
      <c r="B194" s="111"/>
      <c r="C194" s="112"/>
      <c r="D194"/>
      <c r="E194"/>
    </row>
    <row r="195" spans="2:5">
      <c r="B195" s="113" t="s">
        <v>136</v>
      </c>
      <c r="C195" s="114">
        <f>ROUND('Truss Design'!B249,2)</f>
        <v>1.34</v>
      </c>
      <c r="D195"/>
      <c r="E195"/>
    </row>
    <row r="196" spans="2:5">
      <c r="B196"/>
      <c r="C196"/>
      <c r="D196"/>
      <c r="E196"/>
    </row>
    <row r="197" spans="2:5">
      <c r="B197" s="12"/>
      <c r="C197" s="5"/>
      <c r="D197" s="5"/>
      <c r="E197"/>
    </row>
    <row r="198" spans="2:5">
      <c r="B198" s="115" t="s">
        <v>132</v>
      </c>
      <c r="C198" s="116"/>
      <c r="D198" s="5"/>
      <c r="E198"/>
    </row>
    <row r="199" spans="2:5" ht="16">
      <c r="B199" s="117" t="s">
        <v>499</v>
      </c>
      <c r="C199" s="118"/>
      <c r="D199" s="5"/>
      <c r="E199"/>
    </row>
    <row r="200" spans="2:5" ht="17.5">
      <c r="B200" s="119" t="s">
        <v>498</v>
      </c>
      <c r="C200" s="120">
        <f>ROUND('Truss Design'!F250,1)</f>
        <v>338.1</v>
      </c>
      <c r="D200" s="5"/>
      <c r="E200"/>
    </row>
    <row r="201" spans="2:5">
      <c r="C201" s="5"/>
      <c r="D201" s="5"/>
      <c r="E201"/>
    </row>
    <row r="202" spans="2:5">
      <c r="B202" s="121" t="s">
        <v>497</v>
      </c>
      <c r="C202" s="15"/>
      <c r="D202" s="5"/>
      <c r="E202"/>
    </row>
    <row r="203" spans="2:5">
      <c r="B203" s="122" t="s">
        <v>500</v>
      </c>
      <c r="C203" s="5"/>
      <c r="D203" s="5"/>
      <c r="E203"/>
    </row>
    <row r="204" spans="2:5">
      <c r="B204" s="123" t="s">
        <v>501</v>
      </c>
      <c r="C204" s="5"/>
      <c r="D204" s="5"/>
      <c r="E204"/>
    </row>
    <row r="205" spans="2:5">
      <c r="B205" s="12"/>
      <c r="C205" s="16"/>
      <c r="D205" s="5"/>
      <c r="E205"/>
    </row>
    <row r="206" spans="2:5" ht="16">
      <c r="B206" s="132" t="s">
        <v>502</v>
      </c>
      <c r="C206" s="133"/>
    </row>
    <row r="207" spans="2:5">
      <c r="B207" s="107"/>
      <c r="C207" s="108"/>
    </row>
    <row r="208" spans="2:5" ht="16.5">
      <c r="B208" s="113" t="s">
        <v>504</v>
      </c>
      <c r="C208" s="97">
        <f>303.78</f>
        <v>303.77999999999997</v>
      </c>
    </row>
    <row r="209" spans="2:4" ht="16" thickBot="1"/>
    <row r="210" spans="2:4" ht="16.5">
      <c r="B210" s="134" t="s">
        <v>503</v>
      </c>
      <c r="C210" s="135"/>
      <c r="D210" s="136"/>
    </row>
    <row r="211" spans="2:4" ht="16" thickBot="1">
      <c r="B211" s="124" t="s">
        <v>505</v>
      </c>
      <c r="C211" s="76"/>
      <c r="D211" s="73"/>
    </row>
    <row r="213" spans="2:4">
      <c r="B213" s="50" t="s">
        <v>446</v>
      </c>
    </row>
    <row r="214" spans="2:4">
      <c r="B214" s="93" t="s">
        <v>506</v>
      </c>
    </row>
    <row r="217" spans="2:4" ht="25">
      <c r="B217" s="85" t="s">
        <v>507</v>
      </c>
    </row>
    <row r="219" spans="2:4">
      <c r="B219" s="39" t="s">
        <v>508</v>
      </c>
      <c r="C219" s="39" t="s">
        <v>93</v>
      </c>
      <c r="D219" s="39" t="s">
        <v>322</v>
      </c>
    </row>
    <row r="220" spans="2:4">
      <c r="B220" s="39" t="s">
        <v>509</v>
      </c>
      <c r="C220" s="39" t="s">
        <v>512</v>
      </c>
      <c r="D220" s="39" t="s">
        <v>513</v>
      </c>
    </row>
    <row r="221" spans="2:4">
      <c r="B221" s="39" t="s">
        <v>510</v>
      </c>
      <c r="C221" s="39" t="s">
        <v>514</v>
      </c>
      <c r="D221" s="39" t="s">
        <v>515</v>
      </c>
    </row>
    <row r="222" spans="2:4">
      <c r="B222" s="39" t="s">
        <v>511</v>
      </c>
      <c r="C222" s="39" t="s">
        <v>516</v>
      </c>
      <c r="D222" s="39" t="s">
        <v>517</v>
      </c>
    </row>
    <row r="224" spans="2:4">
      <c r="B224" s="39" t="s">
        <v>446</v>
      </c>
    </row>
    <row r="225" spans="2:4">
      <c r="B225" s="39" t="s">
        <v>518</v>
      </c>
    </row>
    <row r="227" spans="2:4">
      <c r="B227" s="126" t="s">
        <v>519</v>
      </c>
      <c r="C227" s="127"/>
    </row>
    <row r="228" spans="2:4">
      <c r="B228" s="39" t="s">
        <v>520</v>
      </c>
      <c r="C228" s="39"/>
    </row>
    <row r="232" spans="2:4" ht="25">
      <c r="B232" s="85" t="s">
        <v>524</v>
      </c>
    </row>
    <row r="234" spans="2:4">
      <c r="B234" s="39" t="s">
        <v>526</v>
      </c>
      <c r="C234" s="39" t="s">
        <v>525</v>
      </c>
      <c r="D234" s="39" t="s">
        <v>93</v>
      </c>
    </row>
    <row r="235" spans="2:4">
      <c r="B235" s="39" t="s">
        <v>527</v>
      </c>
      <c r="C235" s="39">
        <v>2.3170000000000002</v>
      </c>
      <c r="D235" s="39">
        <v>1.792</v>
      </c>
    </row>
    <row r="236" spans="2:4">
      <c r="B236" s="39" t="s">
        <v>528</v>
      </c>
      <c r="C236" s="39">
        <f>4.33</f>
        <v>4.33</v>
      </c>
      <c r="D236" s="39">
        <f>4.33</f>
        <v>4.33</v>
      </c>
    </row>
    <row r="237" spans="2:4">
      <c r="B237" s="39" t="s">
        <v>529</v>
      </c>
      <c r="C237" s="98" t="s">
        <v>516</v>
      </c>
      <c r="D237" s="98" t="s">
        <v>516</v>
      </c>
    </row>
  </sheetData>
  <mergeCells count="64">
    <mergeCell ref="R77:S77"/>
    <mergeCell ref="O78:S78"/>
    <mergeCell ref="R79:S79"/>
    <mergeCell ref="B92:C92"/>
    <mergeCell ref="B84:E84"/>
    <mergeCell ref="B86:C86"/>
    <mergeCell ref="B87:C87"/>
    <mergeCell ref="B88:C88"/>
    <mergeCell ref="B89:C89"/>
    <mergeCell ref="B90:C90"/>
    <mergeCell ref="B91:C91"/>
    <mergeCell ref="G82:J82"/>
    <mergeCell ref="G80:J80"/>
    <mergeCell ref="G78:J78"/>
    <mergeCell ref="B81:J81"/>
    <mergeCell ref="G79:J79"/>
    <mergeCell ref="C76:E76"/>
    <mergeCell ref="C77:E77"/>
    <mergeCell ref="C78:E78"/>
    <mergeCell ref="C125:E125"/>
    <mergeCell ref="Q52:R52"/>
    <mergeCell ref="Q53:R53"/>
    <mergeCell ref="Q54:R54"/>
    <mergeCell ref="B49:E49"/>
    <mergeCell ref="C26:E26"/>
    <mergeCell ref="F26:H26"/>
    <mergeCell ref="Q38:S38"/>
    <mergeCell ref="O25:P25"/>
    <mergeCell ref="B33:G33"/>
    <mergeCell ref="S25:T25"/>
    <mergeCell ref="O26:P26"/>
    <mergeCell ref="S26:T26"/>
    <mergeCell ref="Q32:R32"/>
    <mergeCell ref="B5:E5"/>
    <mergeCell ref="Q17:R17"/>
    <mergeCell ref="O20:P20"/>
    <mergeCell ref="S20:T20"/>
    <mergeCell ref="O21:P21"/>
    <mergeCell ref="S21:T21"/>
    <mergeCell ref="B14:E14"/>
    <mergeCell ref="F14:I14"/>
    <mergeCell ref="B12:I12"/>
    <mergeCell ref="B6:C6"/>
    <mergeCell ref="B7:C7"/>
    <mergeCell ref="B8:C8"/>
    <mergeCell ref="B9:C9"/>
    <mergeCell ref="B20:E20"/>
    <mergeCell ref="F20:I20"/>
    <mergeCell ref="B227:C227"/>
    <mergeCell ref="G27:H27"/>
    <mergeCell ref="D27:E27"/>
    <mergeCell ref="J113:K113"/>
    <mergeCell ref="C126:E126"/>
    <mergeCell ref="C153:D153"/>
    <mergeCell ref="C152:D152"/>
    <mergeCell ref="B163:D163"/>
    <mergeCell ref="B206:C206"/>
    <mergeCell ref="B210:D210"/>
    <mergeCell ref="B85:C85"/>
    <mergeCell ref="C79:E79"/>
    <mergeCell ref="C80:E80"/>
    <mergeCell ref="C75:E75"/>
    <mergeCell ref="G76:J76"/>
    <mergeCell ref="G77:J77"/>
  </mergeCells>
  <pageMargins left="0.7" right="0.7"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Equation.DSMT4" shapeId="3074" r:id="rId4">
          <objectPr defaultSize="0" autoPict="0" r:id="rId5">
            <anchor moveWithCells="1">
              <from>
                <xdr:col>2</xdr:col>
                <xdr:colOff>76200</xdr:colOff>
                <xdr:row>191</xdr:row>
                <xdr:rowOff>31750</xdr:rowOff>
              </from>
              <to>
                <xdr:col>2</xdr:col>
                <xdr:colOff>698500</xdr:colOff>
                <xdr:row>193</xdr:row>
                <xdr:rowOff>57150</xdr:rowOff>
              </to>
            </anchor>
          </objectPr>
        </oleObject>
      </mc:Choice>
      <mc:Fallback>
        <oleObject progId="Equation.DSMT4" shapeId="3074"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Truss Design</vt:lpstr>
      <vt:lpstr>Truss Weight</vt:lpstr>
      <vt:lpstr>Formatted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Marlies de Jong</dc:creator>
  <cp:lastModifiedBy>Ben Leveillee</cp:lastModifiedBy>
  <dcterms:created xsi:type="dcterms:W3CDTF">2019-01-21T20:43:33Z</dcterms:created>
  <dcterms:modified xsi:type="dcterms:W3CDTF">2019-02-28T18:45:13Z</dcterms:modified>
</cp:coreProperties>
</file>