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41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Emily/Documents/🙃 IQP!!!!/IQP Final Report/"/>
    </mc:Choice>
  </mc:AlternateContent>
  <bookViews>
    <workbookView xWindow="0" yWindow="460" windowWidth="24640" windowHeight="14220" tabRatio="500" firstSheet="2" activeTab="8"/>
  </bookViews>
  <sheets>
    <sheet name="Gen Plastics Shredding" sheetId="1" r:id="rId1"/>
    <sheet name="Gen Alum Shredding" sheetId="4" r:id="rId2"/>
    <sheet name="Gen Alum &amp; Plastics Shredding" sheetId="5" r:id="rId3"/>
    <sheet name="Solar Plastics Shredding" sheetId="2" r:id="rId4"/>
    <sheet name="Solar Alum Shredding" sheetId="6" r:id="rId5"/>
    <sheet name="Solar Plastics &amp; Alum Shredding" sheetId="7" r:id="rId6"/>
    <sheet name="Mechanical Bike Shredding" sheetId="3" r:id="rId7"/>
    <sheet name="Blank CBA" sheetId="8" r:id="rId8"/>
    <sheet name="Other Calculations" sheetId="9" r:id="rId9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9" l="1"/>
  <c r="H7" i="9"/>
  <c r="G6" i="9"/>
  <c r="H6" i="9"/>
  <c r="G5" i="9"/>
  <c r="H5" i="9"/>
  <c r="H8" i="9"/>
  <c r="G2" i="9"/>
  <c r="H2" i="9"/>
  <c r="H9" i="9"/>
  <c r="I9" i="9"/>
  <c r="I8" i="9"/>
  <c r="B16" i="9"/>
  <c r="D2" i="9"/>
  <c r="D3" i="9"/>
  <c r="D4" i="9"/>
  <c r="D5" i="9"/>
  <c r="D6" i="9"/>
  <c r="D7" i="9"/>
  <c r="G3" i="9"/>
  <c r="G4" i="9"/>
  <c r="E7" i="9"/>
  <c r="E6" i="9"/>
  <c r="E5" i="9"/>
  <c r="H4" i="9"/>
  <c r="E4" i="9"/>
  <c r="H3" i="9"/>
  <c r="E3" i="9"/>
  <c r="E2" i="9"/>
  <c r="C32" i="3"/>
  <c r="C33" i="3"/>
  <c r="C34" i="3"/>
  <c r="C36" i="3"/>
  <c r="C37" i="3"/>
  <c r="C36" i="1"/>
  <c r="C9" i="3"/>
  <c r="D9" i="3"/>
  <c r="E9" i="3"/>
  <c r="F9" i="3"/>
  <c r="G9" i="3"/>
  <c r="H9" i="3"/>
  <c r="I9" i="3"/>
  <c r="C14" i="1"/>
  <c r="D14" i="1"/>
  <c r="E14" i="1"/>
  <c r="F14" i="1"/>
  <c r="G14" i="1"/>
  <c r="H14" i="1"/>
  <c r="I14" i="1"/>
  <c r="J14" i="1"/>
  <c r="K14" i="1"/>
  <c r="L14" i="1"/>
  <c r="M14" i="1"/>
  <c r="N11" i="4"/>
  <c r="N12" i="4"/>
  <c r="C13" i="4"/>
  <c r="D13" i="4"/>
  <c r="E13" i="4"/>
  <c r="F13" i="4"/>
  <c r="G13" i="4"/>
  <c r="H13" i="4"/>
  <c r="I13" i="4"/>
  <c r="J13" i="4"/>
  <c r="K13" i="4"/>
  <c r="L13" i="4"/>
  <c r="M13" i="4"/>
  <c r="N13" i="4"/>
  <c r="N14" i="4"/>
  <c r="N15" i="4"/>
  <c r="C13" i="5"/>
  <c r="D13" i="5"/>
  <c r="E13" i="5"/>
  <c r="F13" i="5"/>
  <c r="G13" i="5"/>
  <c r="H13" i="5"/>
  <c r="I13" i="5"/>
  <c r="J13" i="5"/>
  <c r="K13" i="5"/>
  <c r="L13" i="5"/>
  <c r="M13" i="5"/>
  <c r="N13" i="5"/>
  <c r="N14" i="5"/>
  <c r="N11" i="5"/>
  <c r="N12" i="5"/>
  <c r="N15" i="5"/>
  <c r="C13" i="2"/>
  <c r="D13" i="2"/>
  <c r="E13" i="2"/>
  <c r="F13" i="2"/>
  <c r="G13" i="2"/>
  <c r="H13" i="2"/>
  <c r="I13" i="2"/>
  <c r="J13" i="2"/>
  <c r="K13" i="2"/>
  <c r="L13" i="2"/>
  <c r="M13" i="2"/>
  <c r="N13" i="2"/>
  <c r="N11" i="2"/>
  <c r="N12" i="2"/>
  <c r="N14" i="2"/>
  <c r="N10" i="6"/>
  <c r="N11" i="6"/>
  <c r="C12" i="6"/>
  <c r="D12" i="6"/>
  <c r="E12" i="6"/>
  <c r="F12" i="6"/>
  <c r="G12" i="6"/>
  <c r="H12" i="6"/>
  <c r="I12" i="6"/>
  <c r="J12" i="6"/>
  <c r="K12" i="6"/>
  <c r="L12" i="6"/>
  <c r="M12" i="6"/>
  <c r="N12" i="6"/>
  <c r="N13" i="6"/>
  <c r="C12" i="7"/>
  <c r="D12" i="7"/>
  <c r="E12" i="7"/>
  <c r="F12" i="7"/>
  <c r="G12" i="7"/>
  <c r="H12" i="7"/>
  <c r="I12" i="7"/>
  <c r="J12" i="7"/>
  <c r="K12" i="7"/>
  <c r="L12" i="7"/>
  <c r="M12" i="7"/>
  <c r="N8" i="3"/>
  <c r="J9" i="3"/>
  <c r="K9" i="3"/>
  <c r="L9" i="3"/>
  <c r="M9" i="3"/>
  <c r="N9" i="3"/>
  <c r="N10" i="3"/>
  <c r="C16" i="1"/>
  <c r="D16" i="1"/>
  <c r="E16" i="1"/>
  <c r="F16" i="1"/>
  <c r="G16" i="1"/>
  <c r="H16" i="1"/>
  <c r="I16" i="1"/>
  <c r="J16" i="1"/>
  <c r="K16" i="1"/>
  <c r="L16" i="1"/>
  <c r="M16" i="1"/>
  <c r="N16" i="1"/>
  <c r="C15" i="5"/>
  <c r="C20" i="5"/>
  <c r="C26" i="5"/>
  <c r="C27" i="5"/>
  <c r="C13" i="7"/>
  <c r="C18" i="7"/>
  <c r="C24" i="7"/>
  <c r="C25" i="7"/>
  <c r="D13" i="7"/>
  <c r="D18" i="7"/>
  <c r="D24" i="7"/>
  <c r="D25" i="7"/>
  <c r="E13" i="7"/>
  <c r="E18" i="7"/>
  <c r="E24" i="7"/>
  <c r="E25" i="7"/>
  <c r="F13" i="7"/>
  <c r="F18" i="7"/>
  <c r="F24" i="7"/>
  <c r="F25" i="7"/>
  <c r="G13" i="7"/>
  <c r="G18" i="7"/>
  <c r="G24" i="7"/>
  <c r="G25" i="7"/>
  <c r="H13" i="7"/>
  <c r="H18" i="7"/>
  <c r="H24" i="7"/>
  <c r="H25" i="7"/>
  <c r="I13" i="7"/>
  <c r="I18" i="7"/>
  <c r="I24" i="7"/>
  <c r="I25" i="7"/>
  <c r="J13" i="7"/>
  <c r="J18" i="7"/>
  <c r="J24" i="7"/>
  <c r="J25" i="7"/>
  <c r="K13" i="7"/>
  <c r="K18" i="7"/>
  <c r="K24" i="7"/>
  <c r="K25" i="7"/>
  <c r="L13" i="7"/>
  <c r="L18" i="7"/>
  <c r="L24" i="7"/>
  <c r="L25" i="7"/>
  <c r="M13" i="7"/>
  <c r="M18" i="7"/>
  <c r="M24" i="7"/>
  <c r="M25" i="7"/>
  <c r="N25" i="7"/>
  <c r="N12" i="7"/>
  <c r="N10" i="7"/>
  <c r="N11" i="7"/>
  <c r="N13" i="7"/>
  <c r="N17" i="7"/>
  <c r="N18" i="7"/>
  <c r="N21" i="7"/>
  <c r="C13" i="6"/>
  <c r="C18" i="6"/>
  <c r="C24" i="6"/>
  <c r="C25" i="6"/>
  <c r="D13" i="6"/>
  <c r="D18" i="6"/>
  <c r="D24" i="6"/>
  <c r="D25" i="6"/>
  <c r="E13" i="6"/>
  <c r="E18" i="6"/>
  <c r="E24" i="6"/>
  <c r="E25" i="6"/>
  <c r="F13" i="6"/>
  <c r="F18" i="6"/>
  <c r="F24" i="6"/>
  <c r="F25" i="6"/>
  <c r="G13" i="6"/>
  <c r="G18" i="6"/>
  <c r="G24" i="6"/>
  <c r="G25" i="6"/>
  <c r="H13" i="6"/>
  <c r="H18" i="6"/>
  <c r="H24" i="6"/>
  <c r="H25" i="6"/>
  <c r="I13" i="6"/>
  <c r="I18" i="6"/>
  <c r="I24" i="6"/>
  <c r="I25" i="6"/>
  <c r="J13" i="6"/>
  <c r="J18" i="6"/>
  <c r="J24" i="6"/>
  <c r="J25" i="6"/>
  <c r="K13" i="6"/>
  <c r="K18" i="6"/>
  <c r="K24" i="6"/>
  <c r="K25" i="6"/>
  <c r="L13" i="6"/>
  <c r="L18" i="6"/>
  <c r="L24" i="6"/>
  <c r="L25" i="6"/>
  <c r="M13" i="6"/>
  <c r="M18" i="6"/>
  <c r="M24" i="6"/>
  <c r="M25" i="6"/>
  <c r="N25" i="6"/>
  <c r="N18" i="6"/>
  <c r="N21" i="6"/>
  <c r="C14" i="2"/>
  <c r="C19" i="2"/>
  <c r="C25" i="2"/>
  <c r="C26" i="2"/>
  <c r="D14" i="2"/>
  <c r="D19" i="2"/>
  <c r="D25" i="2"/>
  <c r="D26" i="2"/>
  <c r="E14" i="2"/>
  <c r="E19" i="2"/>
  <c r="E25" i="2"/>
  <c r="E26" i="2"/>
  <c r="F14" i="2"/>
  <c r="F19" i="2"/>
  <c r="F25" i="2"/>
  <c r="F26" i="2"/>
  <c r="G14" i="2"/>
  <c r="G19" i="2"/>
  <c r="G25" i="2"/>
  <c r="G26" i="2"/>
  <c r="H14" i="2"/>
  <c r="H19" i="2"/>
  <c r="H25" i="2"/>
  <c r="H26" i="2"/>
  <c r="I14" i="2"/>
  <c r="I19" i="2"/>
  <c r="I25" i="2"/>
  <c r="I26" i="2"/>
  <c r="J14" i="2"/>
  <c r="J19" i="2"/>
  <c r="J25" i="2"/>
  <c r="J26" i="2"/>
  <c r="K14" i="2"/>
  <c r="K19" i="2"/>
  <c r="K25" i="2"/>
  <c r="K26" i="2"/>
  <c r="L14" i="2"/>
  <c r="L19" i="2"/>
  <c r="L25" i="2"/>
  <c r="L26" i="2"/>
  <c r="M14" i="2"/>
  <c r="M19" i="2"/>
  <c r="M25" i="2"/>
  <c r="M26" i="2"/>
  <c r="N26" i="2"/>
  <c r="N19" i="2"/>
  <c r="N22" i="2"/>
  <c r="C15" i="4"/>
  <c r="C20" i="4"/>
  <c r="C26" i="4"/>
  <c r="C27" i="4"/>
  <c r="D15" i="4"/>
  <c r="D20" i="4"/>
  <c r="D26" i="4"/>
  <c r="D27" i="4"/>
  <c r="E15" i="4"/>
  <c r="E20" i="4"/>
  <c r="E26" i="4"/>
  <c r="E27" i="4"/>
  <c r="F15" i="4"/>
  <c r="F20" i="4"/>
  <c r="F26" i="4"/>
  <c r="F27" i="4"/>
  <c r="G15" i="4"/>
  <c r="G20" i="4"/>
  <c r="G26" i="4"/>
  <c r="G27" i="4"/>
  <c r="H15" i="4"/>
  <c r="H20" i="4"/>
  <c r="H26" i="4"/>
  <c r="H27" i="4"/>
  <c r="I15" i="4"/>
  <c r="I20" i="4"/>
  <c r="I26" i="4"/>
  <c r="I27" i="4"/>
  <c r="J15" i="4"/>
  <c r="J20" i="4"/>
  <c r="J26" i="4"/>
  <c r="J27" i="4"/>
  <c r="K15" i="4"/>
  <c r="K20" i="4"/>
  <c r="K26" i="4"/>
  <c r="K27" i="4"/>
  <c r="L15" i="4"/>
  <c r="L20" i="4"/>
  <c r="L26" i="4"/>
  <c r="L27" i="4"/>
  <c r="M15" i="4"/>
  <c r="M20" i="4"/>
  <c r="M26" i="4"/>
  <c r="M27" i="4"/>
  <c r="N27" i="4"/>
  <c r="N20" i="4"/>
  <c r="N23" i="4"/>
  <c r="D15" i="5"/>
  <c r="D20" i="5"/>
  <c r="D26" i="5"/>
  <c r="D27" i="5"/>
  <c r="E15" i="5"/>
  <c r="E20" i="5"/>
  <c r="E26" i="5"/>
  <c r="E27" i="5"/>
  <c r="F15" i="5"/>
  <c r="F20" i="5"/>
  <c r="F26" i="5"/>
  <c r="F27" i="5"/>
  <c r="G15" i="5"/>
  <c r="G20" i="5"/>
  <c r="G26" i="5"/>
  <c r="G27" i="5"/>
  <c r="H15" i="5"/>
  <c r="H20" i="5"/>
  <c r="H26" i="5"/>
  <c r="H27" i="5"/>
  <c r="I15" i="5"/>
  <c r="I20" i="5"/>
  <c r="I26" i="5"/>
  <c r="I27" i="5"/>
  <c r="J15" i="5"/>
  <c r="J20" i="5"/>
  <c r="J26" i="5"/>
  <c r="J27" i="5"/>
  <c r="K15" i="5"/>
  <c r="K20" i="5"/>
  <c r="K26" i="5"/>
  <c r="K27" i="5"/>
  <c r="L15" i="5"/>
  <c r="L20" i="5"/>
  <c r="L26" i="5"/>
  <c r="L27" i="5"/>
  <c r="M15" i="5"/>
  <c r="M20" i="5"/>
  <c r="M26" i="5"/>
  <c r="M27" i="5"/>
  <c r="N27" i="5"/>
  <c r="N19" i="5"/>
  <c r="N20" i="5"/>
  <c r="N23" i="5"/>
  <c r="N12" i="1"/>
  <c r="N13" i="1"/>
  <c r="N14" i="1"/>
  <c r="N15" i="1"/>
  <c r="C21" i="1"/>
  <c r="C27" i="1"/>
  <c r="D20" i="1"/>
  <c r="D21" i="1"/>
  <c r="D27" i="1"/>
  <c r="E20" i="1"/>
  <c r="E21" i="1"/>
  <c r="E27" i="1"/>
  <c r="F20" i="1"/>
  <c r="F21" i="1"/>
  <c r="F27" i="1"/>
  <c r="G20" i="1"/>
  <c r="G21" i="1"/>
  <c r="G27" i="1"/>
  <c r="H20" i="1"/>
  <c r="H21" i="1"/>
  <c r="H27" i="1"/>
  <c r="I20" i="1"/>
  <c r="I21" i="1"/>
  <c r="I27" i="1"/>
  <c r="J20" i="1"/>
  <c r="J21" i="1"/>
  <c r="J27" i="1"/>
  <c r="K20" i="1"/>
  <c r="K21" i="1"/>
  <c r="K27" i="1"/>
  <c r="L20" i="1"/>
  <c r="L21" i="1"/>
  <c r="L27" i="1"/>
  <c r="M20" i="1"/>
  <c r="M21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N21" i="1"/>
  <c r="N24" i="1"/>
  <c r="M10" i="3"/>
  <c r="C14" i="3"/>
  <c r="D14" i="3"/>
  <c r="E14" i="3"/>
  <c r="F14" i="3"/>
  <c r="G14" i="3"/>
  <c r="H14" i="3"/>
  <c r="I14" i="3"/>
  <c r="J14" i="3"/>
  <c r="K14" i="3"/>
  <c r="L14" i="3"/>
  <c r="M14" i="3"/>
  <c r="M15" i="3"/>
  <c r="M21" i="3"/>
  <c r="C10" i="3"/>
  <c r="C15" i="3"/>
  <c r="C21" i="3"/>
  <c r="D10" i="3"/>
  <c r="D15" i="3"/>
  <c r="D21" i="3"/>
  <c r="E10" i="3"/>
  <c r="E15" i="3"/>
  <c r="E21" i="3"/>
  <c r="F10" i="3"/>
  <c r="F15" i="3"/>
  <c r="F21" i="3"/>
  <c r="G10" i="3"/>
  <c r="G15" i="3"/>
  <c r="G21" i="3"/>
  <c r="H10" i="3"/>
  <c r="H15" i="3"/>
  <c r="H21" i="3"/>
  <c r="I10" i="3"/>
  <c r="I15" i="3"/>
  <c r="I21" i="3"/>
  <c r="J10" i="3"/>
  <c r="J15" i="3"/>
  <c r="J21" i="3"/>
  <c r="K10" i="3"/>
  <c r="K15" i="3"/>
  <c r="K21" i="3"/>
  <c r="L10" i="3"/>
  <c r="L15" i="3"/>
  <c r="L21" i="3"/>
  <c r="N21" i="3"/>
  <c r="M18" i="3"/>
  <c r="N15" i="3"/>
  <c r="N18" i="3"/>
  <c r="C22" i="3"/>
  <c r="D22" i="3"/>
  <c r="E22" i="3"/>
  <c r="F22" i="3"/>
  <c r="G22" i="3"/>
  <c r="H22" i="3"/>
  <c r="I22" i="3"/>
  <c r="J22" i="3"/>
  <c r="K22" i="3"/>
  <c r="L22" i="3"/>
  <c r="M22" i="3"/>
  <c r="N22" i="3"/>
  <c r="N24" i="7"/>
  <c r="N24" i="6"/>
  <c r="N25" i="2"/>
  <c r="N26" i="5"/>
  <c r="N26" i="4"/>
  <c r="E21" i="7"/>
  <c r="F21" i="7"/>
  <c r="G21" i="7"/>
  <c r="H21" i="7"/>
  <c r="I21" i="7"/>
  <c r="J21" i="7"/>
  <c r="K21" i="7"/>
  <c r="L21" i="7"/>
  <c r="M21" i="7"/>
  <c r="D21" i="7"/>
  <c r="C21" i="7"/>
  <c r="M21" i="6"/>
  <c r="L21" i="6"/>
  <c r="K21" i="6"/>
  <c r="J21" i="6"/>
  <c r="I21" i="6"/>
  <c r="H21" i="6"/>
  <c r="G21" i="6"/>
  <c r="F21" i="6"/>
  <c r="E21" i="6"/>
  <c r="D21" i="6"/>
  <c r="C21" i="6"/>
  <c r="N17" i="6"/>
  <c r="E23" i="4"/>
  <c r="D23" i="4"/>
  <c r="C23" i="4"/>
  <c r="K23" i="5"/>
  <c r="L23" i="5"/>
  <c r="M23" i="5"/>
  <c r="E23" i="5"/>
  <c r="F23" i="5"/>
  <c r="G23" i="5"/>
  <c r="H23" i="5"/>
  <c r="I23" i="5"/>
  <c r="J23" i="5"/>
  <c r="D23" i="5"/>
  <c r="C23" i="5"/>
  <c r="M23" i="4"/>
  <c r="L23" i="4"/>
  <c r="K23" i="4"/>
  <c r="J23" i="4"/>
  <c r="I23" i="4"/>
  <c r="H23" i="4"/>
  <c r="G23" i="4"/>
  <c r="F23" i="4"/>
  <c r="N19" i="4"/>
  <c r="L18" i="3"/>
  <c r="K18" i="3"/>
  <c r="J18" i="3"/>
  <c r="I18" i="3"/>
  <c r="H18" i="3"/>
  <c r="G18" i="3"/>
  <c r="F18" i="3"/>
  <c r="E18" i="3"/>
  <c r="D18" i="3"/>
  <c r="C18" i="3"/>
  <c r="N14" i="3"/>
  <c r="N18" i="2"/>
  <c r="F22" i="2"/>
  <c r="G22" i="2"/>
  <c r="H22" i="2"/>
  <c r="I22" i="2"/>
  <c r="J22" i="2"/>
  <c r="K22" i="2"/>
  <c r="L22" i="2"/>
  <c r="M22" i="2"/>
  <c r="E22" i="2"/>
  <c r="D22" i="2"/>
  <c r="C22" i="2"/>
  <c r="C24" i="1"/>
  <c r="F24" i="1"/>
  <c r="G24" i="1"/>
  <c r="H24" i="1"/>
  <c r="I24" i="1"/>
  <c r="J24" i="1"/>
  <c r="K24" i="1"/>
  <c r="L24" i="1"/>
  <c r="M24" i="1"/>
  <c r="E24" i="1"/>
  <c r="D24" i="1"/>
  <c r="N20" i="1"/>
</calcChain>
</file>

<file path=xl/sharedStrings.xml><?xml version="1.0" encoding="utf-8"?>
<sst xmlns="http://schemas.openxmlformats.org/spreadsheetml/2006/main" count="217" uniqueCount="61">
  <si>
    <t>Costs</t>
  </si>
  <si>
    <t>Fiscal Year</t>
  </si>
  <si>
    <t>Initial Machine Cost</t>
  </si>
  <si>
    <t>Total</t>
  </si>
  <si>
    <t>Benefits</t>
  </si>
  <si>
    <t>Analysis</t>
  </si>
  <si>
    <t>Cost-Benefit Ratio</t>
  </si>
  <si>
    <t>Profit</t>
  </si>
  <si>
    <t>Maintanance Cost</t>
  </si>
  <si>
    <t>Per Person Analysis</t>
  </si>
  <si>
    <t>Profit per IWC</t>
  </si>
  <si>
    <t>Profit per month per IWC</t>
  </si>
  <si>
    <t>Fuel Cost</t>
  </si>
  <si>
    <t xml:space="preserve"> </t>
  </si>
  <si>
    <t>Initial Generator Cost</t>
  </si>
  <si>
    <t>Initial Solar Panel Cost</t>
  </si>
  <si>
    <t>Namibian 13kva Standby FAW Generator</t>
  </si>
  <si>
    <t>Solar Age Namibia SHS4 Solar Panel</t>
  </si>
  <si>
    <t>German MOCO Shredding Machine AZ 09F</t>
  </si>
  <si>
    <t>Aluminum</t>
  </si>
  <si>
    <t>Average</t>
  </si>
  <si>
    <t>Material</t>
  </si>
  <si>
    <t>Machine Type</t>
  </si>
  <si>
    <t>Bicycle Shredder</t>
  </si>
  <si>
    <t>kg/min</t>
  </si>
  <si>
    <t>kg/hr</t>
  </si>
  <si>
    <t>kg/day</t>
  </si>
  <si>
    <t>kg/week</t>
  </si>
  <si>
    <t>needed</t>
  </si>
  <si>
    <t>ratio</t>
  </si>
  <si>
    <t>profit</t>
  </si>
  <si>
    <t>Plastic</t>
  </si>
  <si>
    <t>Plastic &amp; Aluminum</t>
  </si>
  <si>
    <t>Maintenance Factors</t>
  </si>
  <si>
    <t>Year</t>
  </si>
  <si>
    <t>Maintenance factors</t>
  </si>
  <si>
    <t>Hours per year</t>
  </si>
  <si>
    <t>30 sec operating time</t>
  </si>
  <si>
    <t>Quantity (kg/week)</t>
  </si>
  <si>
    <t>Aluminum Cans</t>
  </si>
  <si>
    <t>Food Cans</t>
  </si>
  <si>
    <t>Steel Cans</t>
  </si>
  <si>
    <t>PET</t>
  </si>
  <si>
    <t>LDPE</t>
  </si>
  <si>
    <t>HDPE</t>
  </si>
  <si>
    <t>Wilco revenue per year (N$)</t>
  </si>
  <si>
    <t>South Africa buying price (N$/kg)</t>
  </si>
  <si>
    <t>South Africa revenue per week (N$)</t>
  </si>
  <si>
    <t>Wilco revenue per week (N$)</t>
  </si>
  <si>
    <t>Wilco buying price (N$/kg)</t>
  </si>
  <si>
    <t>All plastics</t>
  </si>
  <si>
    <t>All plastics and aluminum</t>
  </si>
  <si>
    <t>Processing revenue per year (N$)</t>
  </si>
  <si>
    <t>Diesel cost per liter</t>
  </si>
  <si>
    <t>Operating hours</t>
  </si>
  <si>
    <t>Operating days</t>
  </si>
  <si>
    <t>Operating weeks</t>
  </si>
  <si>
    <t>Annual Fuel Calculation</t>
  </si>
  <si>
    <t>Liters per hour</t>
  </si>
  <si>
    <t>Annual cost</t>
  </si>
  <si>
    <t>Processing revenue per IWC per month with OTC funding (N$)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</si>
</sst>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;[Red]\-&quot;$&quot;#,##0"/>
    <numFmt numFmtId="165" formatCode="&quot;$&quot;#,##0.00;[Red]\-&quot;$&quot;#,##0.00"/>
    <numFmt numFmtId="166" formatCode="&quot;$&quot;#,##0.00;[Red]&quot;$&quot;#,##0.00"/>
  </numFmts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i/>
      <sz val="14"/>
      <color theme="1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i/>
      <sz val="14"/>
      <color rgb="FF000000"/>
      <name val="Calibri"/>
      <scheme val="minor"/>
    </font>
    <font>
      <sz val="14"/>
      <name val="Calibri"/>
      <scheme val="minor"/>
    </font>
    <font>
      <b/>
      <sz val="12"/>
      <color rgb="FF000000"/>
      <name val="Times New Roman"/>
    </font>
    <font>
      <sz val="12"/>
      <color rgb="FF000000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BECAA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6E99B"/>
        <bgColor indexed="64"/>
      </patternFill>
    </fill>
    <fill>
      <patternFill patternType="solid">
        <fgColor rgb="FFE6E99B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Border="1"/>
    <xf numFmtId="0" fontId="0" fillId="0" borderId="0" xfId="0" applyBorder="1"/>
    <xf numFmtId="2" fontId="0" fillId="0" borderId="0" xfId="0" applyNumberFormat="1"/>
    <xf numFmtId="166" fontId="0" fillId="0" borderId="0" xfId="0" applyNumberFormat="1"/>
    <xf numFmtId="0" fontId="5" fillId="0" borderId="0" xfId="0" applyFont="1"/>
    <xf numFmtId="0" fontId="6" fillId="7" borderId="1" xfId="0" applyFont="1" applyFill="1" applyBorder="1"/>
    <xf numFmtId="0" fontId="7" fillId="0" borderId="0" xfId="0" applyFont="1"/>
    <xf numFmtId="0" fontId="6" fillId="0" borderId="1" xfId="0" applyFont="1" applyBorder="1"/>
    <xf numFmtId="166" fontId="5" fillId="0" borderId="1" xfId="0" applyNumberFormat="1" applyFont="1" applyBorder="1"/>
    <xf numFmtId="164" fontId="5" fillId="0" borderId="1" xfId="0" applyNumberFormat="1" applyFont="1" applyBorder="1"/>
    <xf numFmtId="166" fontId="5" fillId="3" borderId="1" xfId="0" applyNumberFormat="1" applyFont="1" applyFill="1" applyBorder="1"/>
    <xf numFmtId="0" fontId="6" fillId="3" borderId="1" xfId="0" applyFont="1" applyFill="1" applyBorder="1"/>
    <xf numFmtId="164" fontId="5" fillId="3" borderId="1" xfId="0" applyNumberFormat="1" applyFont="1" applyFill="1" applyBorder="1"/>
    <xf numFmtId="166" fontId="5" fillId="4" borderId="1" xfId="0" applyNumberFormat="1" applyFont="1" applyFill="1" applyBorder="1"/>
    <xf numFmtId="165" fontId="5" fillId="0" borderId="1" xfId="0" applyNumberFormat="1" applyFont="1" applyFill="1" applyBorder="1"/>
    <xf numFmtId="166" fontId="5" fillId="2" borderId="1" xfId="0" applyNumberFormat="1" applyFont="1" applyFill="1" applyBorder="1"/>
    <xf numFmtId="0" fontId="6" fillId="2" borderId="1" xfId="0" applyFont="1" applyFill="1" applyBorder="1"/>
    <xf numFmtId="165" fontId="5" fillId="2" borderId="1" xfId="0" applyNumberFormat="1" applyFont="1" applyFill="1" applyBorder="1"/>
    <xf numFmtId="166" fontId="5" fillId="6" borderId="1" xfId="0" applyNumberFormat="1" applyFont="1" applyFill="1" applyBorder="1"/>
    <xf numFmtId="0" fontId="6" fillId="15" borderId="1" xfId="0" applyFont="1" applyFill="1" applyBorder="1"/>
    <xf numFmtId="2" fontId="5" fillId="5" borderId="1" xfId="0" applyNumberFormat="1" applyFont="1" applyFill="1" applyBorder="1"/>
    <xf numFmtId="2" fontId="5" fillId="15" borderId="1" xfId="0" applyNumberFormat="1" applyFont="1" applyFill="1" applyBorder="1"/>
    <xf numFmtId="166" fontId="5" fillId="15" borderId="1" xfId="0" applyNumberFormat="1" applyFont="1" applyFill="1" applyBorder="1"/>
    <xf numFmtId="0" fontId="6" fillId="15" borderId="2" xfId="0" applyFont="1" applyFill="1" applyBorder="1"/>
    <xf numFmtId="166" fontId="5" fillId="5" borderId="1" xfId="0" applyNumberFormat="1" applyFont="1" applyFill="1" applyBorder="1"/>
    <xf numFmtId="166" fontId="5" fillId="15" borderId="3" xfId="0" applyNumberFormat="1" applyFont="1" applyFill="1" applyBorder="1"/>
    <xf numFmtId="0" fontId="8" fillId="0" borderId="0" xfId="0" applyFont="1"/>
    <xf numFmtId="0" fontId="9" fillId="9" borderId="1" xfId="0" applyFont="1" applyFill="1" applyBorder="1"/>
    <xf numFmtId="0" fontId="9" fillId="9" borderId="4" xfId="0" applyFont="1" applyFill="1" applyBorder="1"/>
    <xf numFmtId="0" fontId="10" fillId="0" borderId="0" xfId="0" applyFont="1"/>
    <xf numFmtId="0" fontId="9" fillId="0" borderId="4" xfId="0" applyFont="1" applyBorder="1"/>
    <xf numFmtId="0" fontId="9" fillId="0" borderId="3" xfId="0" applyFont="1" applyBorder="1"/>
    <xf numFmtId="166" fontId="8" fillId="0" borderId="5" xfId="0" applyNumberFormat="1" applyFont="1" applyBorder="1"/>
    <xf numFmtId="166" fontId="8" fillId="10" borderId="5" xfId="0" applyNumberFormat="1" applyFont="1" applyFill="1" applyBorder="1"/>
    <xf numFmtId="0" fontId="9" fillId="10" borderId="4" xfId="0" applyFont="1" applyFill="1" applyBorder="1"/>
    <xf numFmtId="166" fontId="8" fillId="11" borderId="5" xfId="0" applyNumberFormat="1" applyFont="1" applyFill="1" applyBorder="1"/>
    <xf numFmtId="0" fontId="9" fillId="0" borderId="1" xfId="0" applyFont="1" applyBorder="1"/>
    <xf numFmtId="165" fontId="8" fillId="0" borderId="5" xfId="0" applyNumberFormat="1" applyFont="1" applyBorder="1"/>
    <xf numFmtId="166" fontId="8" fillId="12" borderId="5" xfId="0" applyNumberFormat="1" applyFont="1" applyFill="1" applyBorder="1"/>
    <xf numFmtId="0" fontId="9" fillId="12" borderId="4" xfId="0" applyFont="1" applyFill="1" applyBorder="1"/>
    <xf numFmtId="165" fontId="8" fillId="12" borderId="5" xfId="0" applyNumberFormat="1" applyFont="1" applyFill="1" applyBorder="1"/>
    <xf numFmtId="166" fontId="8" fillId="13" borderId="5" xfId="0" applyNumberFormat="1" applyFont="1" applyFill="1" applyBorder="1"/>
    <xf numFmtId="0" fontId="9" fillId="16" borderId="4" xfId="0" applyFont="1" applyFill="1" applyBorder="1"/>
    <xf numFmtId="2" fontId="8" fillId="14" borderId="5" xfId="0" applyNumberFormat="1" applyFont="1" applyFill="1" applyBorder="1"/>
    <xf numFmtId="2" fontId="11" fillId="16" borderId="5" xfId="0" applyNumberFormat="1" applyFont="1" applyFill="1" applyBorder="1"/>
    <xf numFmtId="166" fontId="8" fillId="15" borderId="5" xfId="0" applyNumberFormat="1" applyFont="1" applyFill="1" applyBorder="1"/>
    <xf numFmtId="0" fontId="9" fillId="16" borderId="6" xfId="0" applyFont="1" applyFill="1" applyBorder="1"/>
    <xf numFmtId="166" fontId="8" fillId="14" borderId="4" xfId="0" applyNumberFormat="1" applyFont="1" applyFill="1" applyBorder="1"/>
    <xf numFmtId="166" fontId="8" fillId="16" borderId="5" xfId="0" applyNumberFormat="1" applyFont="1" applyFill="1" applyBorder="1"/>
    <xf numFmtId="166" fontId="8" fillId="16" borderId="4" xfId="0" applyNumberFormat="1" applyFont="1" applyFill="1" applyBorder="1"/>
    <xf numFmtId="166" fontId="8" fillId="5" borderId="5" xfId="0" applyNumberFormat="1" applyFont="1" applyFill="1" applyBorder="1"/>
    <xf numFmtId="0" fontId="6" fillId="8" borderId="1" xfId="0" applyFont="1" applyFill="1" applyBorder="1"/>
    <xf numFmtId="2" fontId="5" fillId="8" borderId="1" xfId="0" applyNumberFormat="1" applyFont="1" applyFill="1" applyBorder="1"/>
    <xf numFmtId="166" fontId="5" fillId="15" borderId="7" xfId="0" applyNumberFormat="1" applyFont="1" applyFill="1" applyBorder="1"/>
    <xf numFmtId="166" fontId="5" fillId="15" borderId="2" xfId="0" applyNumberFormat="1" applyFont="1" applyFill="1" applyBorder="1"/>
    <xf numFmtId="2" fontId="8" fillId="16" borderId="5" xfId="0" applyNumberFormat="1" applyFont="1" applyFill="1" applyBorder="1"/>
    <xf numFmtId="0" fontId="5" fillId="0" borderId="0" xfId="0" applyFont="1" applyFill="1" applyBorder="1"/>
    <xf numFmtId="0" fontId="0" fillId="0" borderId="1" xfId="0" applyBorder="1"/>
    <xf numFmtId="0" fontId="2" fillId="0" borderId="1" xfId="0" applyFont="1" applyBorder="1"/>
    <xf numFmtId="0" fontId="2" fillId="7" borderId="1" xfId="0" applyFont="1" applyFill="1" applyBorder="1"/>
    <xf numFmtId="0" fontId="2" fillId="17" borderId="1" xfId="0" applyFont="1" applyFill="1" applyBorder="1"/>
    <xf numFmtId="0" fontId="2" fillId="0" borderId="1" xfId="0" applyFont="1" applyFill="1" applyBorder="1"/>
    <xf numFmtId="166" fontId="0" fillId="7" borderId="1" xfId="0" applyNumberFormat="1" applyFill="1" applyBorder="1"/>
    <xf numFmtId="166" fontId="0" fillId="17" borderId="1" xfId="0" applyNumberFormat="1" applyFill="1" applyBorder="1"/>
    <xf numFmtId="0" fontId="0" fillId="7" borderId="1" xfId="0" applyFill="1" applyBorder="1"/>
    <xf numFmtId="0" fontId="0" fillId="17" borderId="1" xfId="0" applyNumberFormat="1" applyFill="1" applyBorder="1"/>
    <xf numFmtId="0" fontId="0" fillId="17" borderId="1" xfId="0" applyFill="1" applyBorder="1"/>
    <xf numFmtId="0" fontId="0" fillId="0" borderId="0" xfId="0" applyNumberFormat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166" fontId="0" fillId="7" borderId="7" xfId="0" applyNumberFormat="1" applyFill="1" applyBorder="1"/>
    <xf numFmtId="0" fontId="0" fillId="0" borderId="0" xfId="0" applyFill="1" applyBorder="1"/>
    <xf numFmtId="0" fontId="2" fillId="18" borderId="1" xfId="0" applyFont="1" applyFill="1" applyBorder="1"/>
    <xf numFmtId="0" fontId="0" fillId="0" borderId="1" xfId="0" applyFill="1" applyBorder="1"/>
    <xf numFmtId="164" fontId="0" fillId="0" borderId="1" xfId="0" applyNumberFormat="1" applyBorder="1"/>
    <xf numFmtId="0" fontId="0" fillId="0" borderId="1" xfId="0" applyNumberFormat="1" applyBorder="1"/>
    <xf numFmtId="165" fontId="2" fillId="0" borderId="1" xfId="0" applyNumberFormat="1" applyFont="1" applyBorder="1"/>
    <xf numFmtId="165" fontId="12" fillId="18" borderId="1" xfId="0" applyNumberFormat="1" applyFont="1" applyFill="1" applyBorder="1" applyAlignment="1">
      <alignment horizontal="center" vertical="center"/>
    </xf>
    <xf numFmtId="0" fontId="12" fillId="1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76200</xdr:rowOff>
    </xdr:from>
    <xdr:to>
      <xdr:col>10</xdr:col>
      <xdr:colOff>215900</xdr:colOff>
      <xdr:row>6</xdr:row>
      <xdr:rowOff>83737</xdr:rowOff>
    </xdr:to>
    <xdr:sp macro="" textlink="">
      <xdr:nvSpPr>
        <xdr:cNvPr id="2" name="TextBox 1"/>
        <xdr:cNvSpPr txBox="1"/>
      </xdr:nvSpPr>
      <xdr:spPr>
        <a:xfrm>
          <a:off x="4462166" y="271585"/>
          <a:ext cx="7560547" cy="984460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tx1"/>
              </a:solidFill>
            </a:rPr>
            <a:t>Oshakati Recycling Processing System</a:t>
          </a:r>
        </a:p>
        <a:p>
          <a:pPr algn="ctr"/>
          <a:r>
            <a:rPr lang="en-US" sz="2000" b="1">
              <a:solidFill>
                <a:schemeClr val="tx1"/>
              </a:solidFill>
            </a:rPr>
            <a:t>Cost-Benefit Analysis</a:t>
          </a:r>
        </a:p>
        <a:p>
          <a:pPr algn="ctr"/>
          <a:r>
            <a:rPr lang="en-US" sz="1400" b="0">
              <a:solidFill>
                <a:schemeClr val="tx1"/>
              </a:solidFill>
            </a:rPr>
            <a:t>William Bennett, Emily Chretien, Sophia Gomarlo,</a:t>
          </a:r>
          <a:r>
            <a:rPr lang="en-US" sz="1400" b="0" baseline="0">
              <a:solidFill>
                <a:schemeClr val="tx1"/>
              </a:solidFill>
            </a:rPr>
            <a:t> Peter Hurley</a:t>
          </a:r>
          <a:endParaRPr lang="en-US" sz="1400" b="0">
            <a:solidFill>
              <a:schemeClr val="tx1"/>
            </a:solidFill>
          </a:endParaRPr>
        </a:p>
        <a:p>
          <a:pPr algn="ctr"/>
          <a:endParaRPr lang="en-US" sz="2000" b="1">
            <a:solidFill>
              <a:schemeClr val="tx2"/>
            </a:solidFill>
          </a:endParaRPr>
        </a:p>
      </xdr:txBody>
    </xdr:sp>
    <xdr:clientData/>
  </xdr:twoCellAnchor>
  <xdr:twoCellAnchor>
    <xdr:from>
      <xdr:col>3</xdr:col>
      <xdr:colOff>237251</xdr:colOff>
      <xdr:row>29</xdr:row>
      <xdr:rowOff>139560</xdr:rowOff>
    </xdr:from>
    <xdr:to>
      <xdr:col>12</xdr:col>
      <xdr:colOff>279120</xdr:colOff>
      <xdr:row>32</xdr:row>
      <xdr:rowOff>111648</xdr:rowOff>
    </xdr:to>
    <xdr:sp macro="" textlink="">
      <xdr:nvSpPr>
        <xdr:cNvPr id="3" name="TextBox 2"/>
        <xdr:cNvSpPr txBox="1"/>
      </xdr:nvSpPr>
      <xdr:spPr>
        <a:xfrm>
          <a:off x="4661317" y="6796593"/>
          <a:ext cx="9545935" cy="600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These maintenance factors were obtained from:</a:t>
          </a:r>
        </a:p>
        <a:p>
          <a:r>
            <a:rPr lang="en-US" sz="1100"/>
            <a:t>Agricultural</a:t>
          </a:r>
          <a:r>
            <a:rPr lang="en-US" sz="1100" baseline="0"/>
            <a:t> &amp; Applied Economics Association. (2000). </a:t>
          </a:r>
          <a:r>
            <a:rPr lang="en-US" sz="1100" i="1" baseline="0"/>
            <a:t>Commodity costs and returns estimation handbook. </a:t>
          </a:r>
          <a:r>
            <a:rPr lang="en-US" sz="1100" i="0" baseline="0"/>
            <a:t>Iowa: Agricultural &amp; Applied Economics Association.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36"/>
  <sheetViews>
    <sheetView showGridLines="0" topLeftCell="A5" zoomScale="91" zoomScaleNormal="91" zoomScalePageLayoutView="91" workbookViewId="0">
      <selection activeCell="L38" sqref="L38"/>
    </sheetView>
  </sheetViews>
  <sheetFormatPr baseColWidth="10" defaultRowHeight="16" x14ac:dyDescent="0.2"/>
  <cols>
    <col min="1" max="1" width="3" customWidth="1"/>
    <col min="2" max="2" width="41.5" customWidth="1"/>
    <col min="3" max="3" width="13.5" customWidth="1"/>
    <col min="4" max="4" width="14.5" customWidth="1"/>
    <col min="5" max="5" width="13.5" customWidth="1"/>
    <col min="6" max="6" width="13.1640625" customWidth="1"/>
    <col min="7" max="12" width="14" customWidth="1"/>
    <col min="13" max="13" width="17.1640625" customWidth="1"/>
    <col min="14" max="14" width="14.6640625" customWidth="1"/>
  </cols>
  <sheetData>
    <row r="8" spans="2:14" ht="19" x14ac:dyDescent="0.25">
      <c r="B8" s="5" t="s">
        <v>31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ht="19" x14ac:dyDescent="0.25">
      <c r="B9" s="6" t="s">
        <v>18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19" x14ac:dyDescent="0.25">
      <c r="B10" s="6" t="s">
        <v>16</v>
      </c>
      <c r="C10" s="7" t="s">
        <v>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ht="19" x14ac:dyDescent="0.25">
      <c r="B11" s="8" t="s">
        <v>0</v>
      </c>
      <c r="C11" s="8">
        <v>2018</v>
      </c>
      <c r="D11" s="8">
        <v>2019</v>
      </c>
      <c r="E11" s="8">
        <v>2020</v>
      </c>
      <c r="F11" s="8">
        <v>2021</v>
      </c>
      <c r="G11" s="8">
        <v>2022</v>
      </c>
      <c r="H11" s="8">
        <v>2023</v>
      </c>
      <c r="I11" s="8">
        <v>2024</v>
      </c>
      <c r="J11" s="8">
        <v>2025</v>
      </c>
      <c r="K11" s="8">
        <v>2026</v>
      </c>
      <c r="L11" s="8">
        <v>2027</v>
      </c>
      <c r="M11" s="8">
        <v>2028</v>
      </c>
      <c r="N11" s="8" t="s">
        <v>3</v>
      </c>
    </row>
    <row r="12" spans="2:14" ht="19" x14ac:dyDescent="0.25">
      <c r="B12" s="8" t="s">
        <v>2</v>
      </c>
      <c r="C12" s="9">
        <v>330000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1">
        <f>SUM(C12:M12)</f>
        <v>330000</v>
      </c>
    </row>
    <row r="13" spans="2:14" ht="19" x14ac:dyDescent="0.25">
      <c r="B13" s="8" t="s">
        <v>14</v>
      </c>
      <c r="C13" s="9">
        <v>77900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1">
        <f>SUM(C13:M13)</f>
        <v>77900</v>
      </c>
    </row>
    <row r="14" spans="2:14" ht="19" x14ac:dyDescent="0.25">
      <c r="B14" s="8" t="s">
        <v>8</v>
      </c>
      <c r="C14" s="9">
        <f>(($C$31*(2808*C34/1000)^$C$32)*($C$12+$C$13))/100</f>
        <v>6017.226057717713</v>
      </c>
      <c r="D14" s="9">
        <f>((($C$31*(2808*D34/1000)^$C$32)*($C$12+$C$13))/100)-C14</f>
        <v>14935.972078387376</v>
      </c>
      <c r="E14" s="9">
        <f>((($C$31*(2808*E34/1000)^$C$32)*($C$12+$C$13))/100)-(SUM(C14:D14))</f>
        <v>22519.298851224976</v>
      </c>
      <c r="F14" s="9">
        <f>((($C$31*(2808*F34/1000)^$C$32)*($C$12+$C$13))/100)-(SUM(C14:E14))</f>
        <v>29490.776773636237</v>
      </c>
      <c r="G14" s="9">
        <f>((($C$31*(2808*G34/1000)^$C$32)*($C$12+$C$13))/100)-(SUM(C14:F14))</f>
        <v>36065.803198666443</v>
      </c>
      <c r="H14" s="9">
        <f>((($C$31*(2808*H34/1000)^$C$32)*($C$12+$C$13))/100)-(SUM(C14:G14))</f>
        <v>42350.950001204299</v>
      </c>
      <c r="I14" s="9">
        <f>((($C$31*(2808*I34/1000)^$C$32)*($C$12+$C$13))/100)-(SUM(C14:H14))</f>
        <v>48409.537249419343</v>
      </c>
      <c r="J14" s="9">
        <f>((($C$31*(2808*J34/1000)^$C$32)*($C$12+$C$13))/100)-(SUM(C14:I14))</f>
        <v>54283.31207989782</v>
      </c>
      <c r="K14" s="9">
        <f>((($C$31*(2808*K34/1000)^$C$32)*($C$12+$C$13))/100)-(SUM(C14:J14))</f>
        <v>60001.744836882252</v>
      </c>
      <c r="L14" s="9">
        <f>((($C$31*(2808*L34/1000)^$C$32)*($C$12+$C$13))/100)-(SUM(C14:K14))</f>
        <v>65586.676324422646</v>
      </c>
      <c r="M14" s="9">
        <f>((($C$31*(2808*M34/1000)^$C$32)*($C$12+$C$13))/100)-(SUM(C14:L14))</f>
        <v>71054.895008220454</v>
      </c>
      <c r="N14" s="11">
        <f>SUM(C14:M14)</f>
        <v>450716.19245967956</v>
      </c>
    </row>
    <row r="15" spans="2:14" ht="19" x14ac:dyDescent="0.25">
      <c r="B15" s="8" t="s">
        <v>12</v>
      </c>
      <c r="C15" s="9">
        <v>93528</v>
      </c>
      <c r="D15" s="9">
        <v>93528</v>
      </c>
      <c r="E15" s="9">
        <v>93528</v>
      </c>
      <c r="F15" s="9">
        <v>93528</v>
      </c>
      <c r="G15" s="9">
        <v>93528</v>
      </c>
      <c r="H15" s="9">
        <v>93528</v>
      </c>
      <c r="I15" s="9">
        <v>93528</v>
      </c>
      <c r="J15" s="9">
        <v>93528</v>
      </c>
      <c r="K15" s="9">
        <v>93528</v>
      </c>
      <c r="L15" s="9">
        <v>93528</v>
      </c>
      <c r="M15" s="9">
        <v>93528</v>
      </c>
      <c r="N15" s="11">
        <f>SUM(C15:M15)</f>
        <v>1028808</v>
      </c>
    </row>
    <row r="16" spans="2:14" ht="19" x14ac:dyDescent="0.25">
      <c r="B16" s="12" t="s">
        <v>3</v>
      </c>
      <c r="C16" s="11">
        <f>SUM(C12:C15)</f>
        <v>507445.22605771769</v>
      </c>
      <c r="D16" s="11">
        <f>SUM(D12:D15)</f>
        <v>108463.97207838738</v>
      </c>
      <c r="E16" s="11">
        <f>SUM(E12:E15)</f>
        <v>116047.29885122497</v>
      </c>
      <c r="F16" s="11">
        <f t="shared" ref="F16:L16" si="0">SUM(F12:F15)</f>
        <v>123018.77677363623</v>
      </c>
      <c r="G16" s="11">
        <f t="shared" si="0"/>
        <v>129593.80319866644</v>
      </c>
      <c r="H16" s="11">
        <f t="shared" si="0"/>
        <v>135878.9500012043</v>
      </c>
      <c r="I16" s="11">
        <f t="shared" si="0"/>
        <v>141937.53724941934</v>
      </c>
      <c r="J16" s="11">
        <f t="shared" si="0"/>
        <v>147811.31207989782</v>
      </c>
      <c r="K16" s="11">
        <f t="shared" si="0"/>
        <v>153529.74483688225</v>
      </c>
      <c r="L16" s="11">
        <f t="shared" si="0"/>
        <v>159114.67632442265</v>
      </c>
      <c r="M16" s="11">
        <f>SUM(M12:M15)</f>
        <v>164582.89500822045</v>
      </c>
      <c r="N16" s="14">
        <f>SUM(C16:M16)</f>
        <v>1887424.1924596797</v>
      </c>
    </row>
    <row r="17" spans="2:16" ht="19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6" ht="19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P18" t="s">
        <v>13</v>
      </c>
    </row>
    <row r="19" spans="2:16" ht="19" x14ac:dyDescent="0.25">
      <c r="B19" s="8" t="s">
        <v>4</v>
      </c>
      <c r="C19" s="8">
        <v>2018</v>
      </c>
      <c r="D19" s="8">
        <v>2019</v>
      </c>
      <c r="E19" s="8">
        <v>2020</v>
      </c>
      <c r="F19" s="8">
        <v>2021</v>
      </c>
      <c r="G19" s="8">
        <v>2022</v>
      </c>
      <c r="H19" s="8">
        <v>2023</v>
      </c>
      <c r="I19" s="8">
        <v>2024</v>
      </c>
      <c r="J19" s="8">
        <v>2025</v>
      </c>
      <c r="K19" s="8">
        <v>2026</v>
      </c>
      <c r="L19" s="8">
        <v>2027</v>
      </c>
      <c r="M19" s="8">
        <v>2028</v>
      </c>
      <c r="N19" s="8" t="s">
        <v>3</v>
      </c>
    </row>
    <row r="20" spans="2:16" ht="19" x14ac:dyDescent="0.25">
      <c r="B20" s="8" t="s">
        <v>7</v>
      </c>
      <c r="C20" s="15">
        <v>554715.19999999995</v>
      </c>
      <c r="D20" s="15">
        <f t="shared" ref="D20:M20" si="1">554715.2</f>
        <v>554715.19999999995</v>
      </c>
      <c r="E20" s="15">
        <f t="shared" si="1"/>
        <v>554715.19999999995</v>
      </c>
      <c r="F20" s="15">
        <f t="shared" si="1"/>
        <v>554715.19999999995</v>
      </c>
      <c r="G20" s="15">
        <f t="shared" si="1"/>
        <v>554715.19999999995</v>
      </c>
      <c r="H20" s="15">
        <f t="shared" si="1"/>
        <v>554715.19999999995</v>
      </c>
      <c r="I20" s="15">
        <f t="shared" si="1"/>
        <v>554715.19999999995</v>
      </c>
      <c r="J20" s="15">
        <f t="shared" si="1"/>
        <v>554715.19999999995</v>
      </c>
      <c r="K20" s="15">
        <f t="shared" si="1"/>
        <v>554715.19999999995</v>
      </c>
      <c r="L20" s="15">
        <f t="shared" si="1"/>
        <v>554715.19999999995</v>
      </c>
      <c r="M20" s="15">
        <f t="shared" si="1"/>
        <v>554715.19999999995</v>
      </c>
      <c r="N20" s="16">
        <f>SUM(C20:M20)</f>
        <v>6101867.2000000011</v>
      </c>
    </row>
    <row r="21" spans="2:16" ht="19" x14ac:dyDescent="0.25">
      <c r="B21" s="17" t="s">
        <v>3</v>
      </c>
      <c r="C21" s="18">
        <f>SUM(C20:C20)</f>
        <v>554715.19999999995</v>
      </c>
      <c r="D21" s="16">
        <f t="shared" ref="D21:M21" si="2">SUM(D20:D20)</f>
        <v>554715.19999999995</v>
      </c>
      <c r="E21" s="16">
        <f t="shared" si="2"/>
        <v>554715.19999999995</v>
      </c>
      <c r="F21" s="16">
        <f t="shared" si="2"/>
        <v>554715.19999999995</v>
      </c>
      <c r="G21" s="16">
        <f t="shared" si="2"/>
        <v>554715.19999999995</v>
      </c>
      <c r="H21" s="16">
        <f t="shared" si="2"/>
        <v>554715.19999999995</v>
      </c>
      <c r="I21" s="16">
        <f t="shared" si="2"/>
        <v>554715.19999999995</v>
      </c>
      <c r="J21" s="16">
        <f t="shared" si="2"/>
        <v>554715.19999999995</v>
      </c>
      <c r="K21" s="16">
        <f t="shared" si="2"/>
        <v>554715.19999999995</v>
      </c>
      <c r="L21" s="16">
        <f t="shared" si="2"/>
        <v>554715.19999999995</v>
      </c>
      <c r="M21" s="16">
        <f t="shared" si="2"/>
        <v>554715.19999999995</v>
      </c>
      <c r="N21" s="19">
        <f>SUM(C21:M21)</f>
        <v>6101867.2000000011</v>
      </c>
    </row>
    <row r="22" spans="2:16" ht="19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6" ht="19" x14ac:dyDescent="0.25">
      <c r="B23" s="8" t="s">
        <v>5</v>
      </c>
      <c r="C23" s="8">
        <v>2018</v>
      </c>
      <c r="D23" s="8">
        <v>2019</v>
      </c>
      <c r="E23" s="8">
        <v>2020</v>
      </c>
      <c r="F23" s="8">
        <v>2021</v>
      </c>
      <c r="G23" s="8">
        <v>2022</v>
      </c>
      <c r="H23" s="8">
        <v>2023</v>
      </c>
      <c r="I23" s="8">
        <v>2024</v>
      </c>
      <c r="J23" s="8">
        <v>2025</v>
      </c>
      <c r="K23" s="8">
        <v>2026</v>
      </c>
      <c r="L23" s="8">
        <v>2027</v>
      </c>
      <c r="M23" s="8">
        <v>2028</v>
      </c>
      <c r="N23" s="8" t="s">
        <v>3</v>
      </c>
    </row>
    <row r="24" spans="2:16" ht="19" x14ac:dyDescent="0.25">
      <c r="B24" s="20" t="s">
        <v>6</v>
      </c>
      <c r="C24" s="21">
        <f t="shared" ref="C24:M24" si="3">C21/C16</f>
        <v>1.0931528596879649</v>
      </c>
      <c r="D24" s="22">
        <f t="shared" si="3"/>
        <v>5.1142807087970636</v>
      </c>
      <c r="E24" s="22">
        <f t="shared" si="3"/>
        <v>4.7800785153229315</v>
      </c>
      <c r="F24" s="22">
        <f t="shared" si="3"/>
        <v>4.5091913165476969</v>
      </c>
      <c r="G24" s="22">
        <f t="shared" si="3"/>
        <v>4.2804145438159971</v>
      </c>
      <c r="H24" s="22">
        <f t="shared" si="3"/>
        <v>4.0824218909189653</v>
      </c>
      <c r="I24" s="22">
        <f t="shared" si="3"/>
        <v>3.9081641879218196</v>
      </c>
      <c r="J24" s="22">
        <f t="shared" si="3"/>
        <v>3.7528602662031347</v>
      </c>
      <c r="K24" s="22">
        <f t="shared" si="3"/>
        <v>3.6130796712347655</v>
      </c>
      <c r="L24" s="22">
        <f t="shared" si="3"/>
        <v>3.4862604306153262</v>
      </c>
      <c r="M24" s="22">
        <f t="shared" si="3"/>
        <v>3.3704304446236257</v>
      </c>
      <c r="N24" s="21">
        <f>N21/N16</f>
        <v>3.2329071675446128</v>
      </c>
    </row>
    <row r="25" spans="2:16" ht="19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6" ht="19" x14ac:dyDescent="0.25">
      <c r="B26" s="8" t="s">
        <v>9</v>
      </c>
      <c r="C26" s="8">
        <v>2018</v>
      </c>
      <c r="D26" s="8">
        <v>2019</v>
      </c>
      <c r="E26" s="8">
        <v>2020</v>
      </c>
      <c r="F26" s="8">
        <v>2021</v>
      </c>
      <c r="G26" s="8">
        <v>2022</v>
      </c>
      <c r="H26" s="8">
        <v>2023</v>
      </c>
      <c r="I26" s="8">
        <v>2024</v>
      </c>
      <c r="J26" s="8">
        <v>2025</v>
      </c>
      <c r="K26" s="8">
        <v>2026</v>
      </c>
      <c r="L26" s="8">
        <v>2027</v>
      </c>
      <c r="M26" s="8">
        <v>2028</v>
      </c>
      <c r="N26" s="8" t="s">
        <v>20</v>
      </c>
    </row>
    <row r="27" spans="2:16" ht="19" x14ac:dyDescent="0.25">
      <c r="B27" s="8" t="s">
        <v>10</v>
      </c>
      <c r="C27" s="9">
        <f t="shared" ref="C27:M27" si="4">(C21-C16)/30</f>
        <v>1575.6657980760754</v>
      </c>
      <c r="D27" s="9">
        <f>(D21-D16)/30</f>
        <v>14875.040930720419</v>
      </c>
      <c r="E27" s="9">
        <f>(E21-E16)/30</f>
        <v>14622.263371625833</v>
      </c>
      <c r="F27" s="9">
        <f t="shared" si="4"/>
        <v>14389.880774212124</v>
      </c>
      <c r="G27" s="9">
        <f t="shared" si="4"/>
        <v>14170.713226711117</v>
      </c>
      <c r="H27" s="9">
        <f t="shared" si="4"/>
        <v>13961.208333293189</v>
      </c>
      <c r="I27" s="9">
        <f t="shared" si="4"/>
        <v>13759.255425019353</v>
      </c>
      <c r="J27" s="9">
        <f t="shared" si="4"/>
        <v>13563.46293067007</v>
      </c>
      <c r="K27" s="9">
        <f t="shared" si="4"/>
        <v>13372.848505437258</v>
      </c>
      <c r="L27" s="9">
        <f t="shared" si="4"/>
        <v>13186.684122519244</v>
      </c>
      <c r="M27" s="9">
        <f t="shared" si="4"/>
        <v>13004.41016639265</v>
      </c>
      <c r="N27" s="23">
        <f>AVERAGE(C27:M27)</f>
        <v>12771.039416788846</v>
      </c>
    </row>
    <row r="28" spans="2:16" ht="19" x14ac:dyDescent="0.25">
      <c r="B28" s="24" t="s">
        <v>11</v>
      </c>
      <c r="C28" s="25">
        <f>C27/12</f>
        <v>131.30548317300628</v>
      </c>
      <c r="D28" s="23">
        <f t="shared" ref="D28:M28" si="5">D27/12</f>
        <v>1239.5867442267015</v>
      </c>
      <c r="E28" s="26">
        <f t="shared" si="5"/>
        <v>1218.5219476354862</v>
      </c>
      <c r="F28" s="23">
        <f t="shared" si="5"/>
        <v>1199.1567311843437</v>
      </c>
      <c r="G28" s="23">
        <f t="shared" si="5"/>
        <v>1180.892768892593</v>
      </c>
      <c r="H28" s="23">
        <f t="shared" si="5"/>
        <v>1163.4340277744325</v>
      </c>
      <c r="I28" s="23">
        <f t="shared" si="5"/>
        <v>1146.6046187516129</v>
      </c>
      <c r="J28" s="23">
        <f t="shared" si="5"/>
        <v>1130.2885775558391</v>
      </c>
      <c r="K28" s="23">
        <f t="shared" si="5"/>
        <v>1114.4040421197715</v>
      </c>
      <c r="L28" s="23">
        <f t="shared" si="5"/>
        <v>1098.8903435432703</v>
      </c>
      <c r="M28" s="23">
        <f t="shared" si="5"/>
        <v>1083.7008471993875</v>
      </c>
      <c r="N28" s="25">
        <f>AVERAGE(C28:M28)</f>
        <v>1064.2532847324039</v>
      </c>
    </row>
    <row r="30" spans="2:16" x14ac:dyDescent="0.2">
      <c r="F30" t="s">
        <v>13</v>
      </c>
    </row>
    <row r="31" spans="2:16" x14ac:dyDescent="0.2">
      <c r="B31" s="58" t="s">
        <v>33</v>
      </c>
      <c r="C31" s="58">
        <v>0.23</v>
      </c>
      <c r="F31" s="2"/>
    </row>
    <row r="32" spans="2:16" x14ac:dyDescent="0.2">
      <c r="B32" s="58"/>
      <c r="C32" s="58">
        <v>1.8</v>
      </c>
    </row>
    <row r="34" spans="2:13" x14ac:dyDescent="0.2">
      <c r="B34" s="58" t="s">
        <v>34</v>
      </c>
      <c r="C34" s="58">
        <v>1</v>
      </c>
      <c r="D34" s="58">
        <v>2</v>
      </c>
      <c r="E34" s="58">
        <v>3</v>
      </c>
      <c r="F34" s="58">
        <v>4</v>
      </c>
      <c r="G34" s="58">
        <v>5</v>
      </c>
      <c r="H34" s="58">
        <v>6</v>
      </c>
      <c r="I34" s="58">
        <v>7</v>
      </c>
      <c r="J34" s="58">
        <v>8</v>
      </c>
      <c r="K34" s="58">
        <v>9</v>
      </c>
      <c r="L34" s="58">
        <v>10</v>
      </c>
      <c r="M34" s="58">
        <v>11</v>
      </c>
    </row>
    <row r="35" spans="2:13" x14ac:dyDescent="0.2">
      <c r="D35" t="s">
        <v>13</v>
      </c>
    </row>
    <row r="36" spans="2:13" x14ac:dyDescent="0.2">
      <c r="B36" s="58" t="s">
        <v>36</v>
      </c>
      <c r="C36" s="58">
        <f>9*6*52</f>
        <v>2808</v>
      </c>
    </row>
  </sheetData>
  <phoneticPr fontId="1" type="noConversion"/>
  <pageMargins left="0.75" right="0.75" top="1" bottom="1" header="0.5" footer="0.5"/>
  <pageSetup scale="52" orientation="portrait" horizontalDpi="4294967292" verticalDpi="4294967292"/>
  <colBreaks count="1" manualBreakCount="1">
    <brk id="1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34"/>
  <sheetViews>
    <sheetView showGridLines="0" topLeftCell="A9" zoomScale="92" zoomScaleNormal="92" zoomScalePageLayoutView="92" workbookViewId="0">
      <selection activeCell="D38" sqref="D38"/>
    </sheetView>
  </sheetViews>
  <sheetFormatPr baseColWidth="10" defaultRowHeight="16" x14ac:dyDescent="0.2"/>
  <cols>
    <col min="1" max="1" width="2.83203125" customWidth="1"/>
    <col min="2" max="2" width="41.6640625" customWidth="1"/>
    <col min="3" max="3" width="13.83203125" customWidth="1"/>
    <col min="4" max="5" width="13.33203125" customWidth="1"/>
    <col min="6" max="6" width="12.6640625" customWidth="1"/>
    <col min="7" max="7" width="13.1640625" customWidth="1"/>
    <col min="8" max="8" width="12.83203125" customWidth="1"/>
    <col min="9" max="9" width="13.33203125" customWidth="1"/>
    <col min="10" max="10" width="13" customWidth="1"/>
    <col min="11" max="11" width="13.33203125" customWidth="1"/>
    <col min="12" max="12" width="13.6640625" customWidth="1"/>
    <col min="13" max="13" width="13.1640625" customWidth="1"/>
    <col min="14" max="14" width="14.5" customWidth="1"/>
  </cols>
  <sheetData>
    <row r="7" spans="2:14" ht="19" x14ac:dyDescent="0.25">
      <c r="B7" s="5" t="s">
        <v>19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ht="19" x14ac:dyDescent="0.25">
      <c r="B8" s="6" t="s">
        <v>18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ht="19" x14ac:dyDescent="0.25">
      <c r="B9" s="6" t="s">
        <v>16</v>
      </c>
      <c r="C9" s="7" t="s">
        <v>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19" x14ac:dyDescent="0.25">
      <c r="B10" s="8" t="s">
        <v>0</v>
      </c>
      <c r="C10" s="8">
        <v>2018</v>
      </c>
      <c r="D10" s="8">
        <v>2019</v>
      </c>
      <c r="E10" s="8">
        <v>2020</v>
      </c>
      <c r="F10" s="8">
        <v>2021</v>
      </c>
      <c r="G10" s="8">
        <v>2022</v>
      </c>
      <c r="H10" s="8">
        <v>2023</v>
      </c>
      <c r="I10" s="8">
        <v>2024</v>
      </c>
      <c r="J10" s="8">
        <v>2025</v>
      </c>
      <c r="K10" s="8">
        <v>2026</v>
      </c>
      <c r="L10" s="8">
        <v>2027</v>
      </c>
      <c r="M10" s="8">
        <v>2028</v>
      </c>
      <c r="N10" s="8" t="s">
        <v>3</v>
      </c>
    </row>
    <row r="11" spans="2:14" ht="19" x14ac:dyDescent="0.25">
      <c r="B11" s="8" t="s">
        <v>2</v>
      </c>
      <c r="C11" s="9">
        <v>330000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1">
        <f>SUM(C11:M11)</f>
        <v>330000</v>
      </c>
    </row>
    <row r="12" spans="2:14" ht="19" x14ac:dyDescent="0.25">
      <c r="B12" s="8" t="s">
        <v>14</v>
      </c>
      <c r="C12" s="9">
        <v>77900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1">
        <f>SUM(C12:M12)</f>
        <v>77900</v>
      </c>
    </row>
    <row r="13" spans="2:14" ht="19" x14ac:dyDescent="0.25">
      <c r="B13" s="8" t="s">
        <v>8</v>
      </c>
      <c r="C13" s="9">
        <f>(($C$31*(2808*C34/1000)^$C$32)*($C$11+$C$12+C31))/100</f>
        <v>6017.2294506130138</v>
      </c>
      <c r="D13" s="9">
        <f>((($C$31*(2808*D34/1000)^$C$32)*($C$11+$C$12))/100)-C13</f>
        <v>14935.968685492076</v>
      </c>
      <c r="E13" s="9">
        <f>((($C$31*(2808*E34/1000)^$C$32)*($C$11+$C$12))/100)-(SUM(C13:D13))</f>
        <v>22519.298851224976</v>
      </c>
      <c r="F13" s="9">
        <f>((($C$31*(2808*F34/1000)^$C$32)*($C$11+$C$12))/100)-(SUM(C13:E13))</f>
        <v>29490.776773636237</v>
      </c>
      <c r="G13" s="9">
        <f>((($C$31*(2808*G34/1000)^$C$32)*($C$11+$C$12))/100)-(SUM(C13:F13))</f>
        <v>36065.803198666443</v>
      </c>
      <c r="H13" s="9">
        <f>((($C$31*(2808*H34/1000)^$C$32)*($C$11+$C$12))/100)-(SUM(C13:G13))</f>
        <v>42350.950001204299</v>
      </c>
      <c r="I13" s="9">
        <f>((($C$31*(2808*I34/1000)^$C$32)*($C$11+$C$12))/100)-(SUM(C13:H13))</f>
        <v>48409.537249419343</v>
      </c>
      <c r="J13" s="9">
        <f>((($C$31*(2808*J34/1000)^$C$32)*($C$11+$C$12))/100)-(SUM(C13:I13))</f>
        <v>54283.31207989782</v>
      </c>
      <c r="K13" s="9">
        <f>((($C$31*(2808*K34/1000)^$C$32)*($C$11+$C$12))/100)-(SUM(C13:J13))</f>
        <v>60001.744836882252</v>
      </c>
      <c r="L13" s="9">
        <f>((($C$31*(2808*L34/1000)^$C$32)*($C$11+$C$12))/100)-(SUM(C13:K13))</f>
        <v>65586.676324422646</v>
      </c>
      <c r="M13" s="9">
        <f>((($C$31*(2808*M34/1000)^$C$32)*($C$11+$C$12))/100)-(SUM(C13:L13))</f>
        <v>71054.895008220454</v>
      </c>
      <c r="N13" s="11">
        <f>SUM(C13:M13)</f>
        <v>450716.19245967956</v>
      </c>
    </row>
    <row r="14" spans="2:14" ht="19" x14ac:dyDescent="0.25">
      <c r="B14" s="8" t="s">
        <v>12</v>
      </c>
      <c r="C14" s="9">
        <v>93528</v>
      </c>
      <c r="D14" s="9">
        <v>93528</v>
      </c>
      <c r="E14" s="9">
        <v>93528</v>
      </c>
      <c r="F14" s="9">
        <v>93528</v>
      </c>
      <c r="G14" s="9">
        <v>93528</v>
      </c>
      <c r="H14" s="9">
        <v>93528</v>
      </c>
      <c r="I14" s="9">
        <v>93528</v>
      </c>
      <c r="J14" s="9">
        <v>93528</v>
      </c>
      <c r="K14" s="9">
        <v>93528</v>
      </c>
      <c r="L14" s="9">
        <v>93528</v>
      </c>
      <c r="M14" s="9">
        <v>93528</v>
      </c>
      <c r="N14" s="11">
        <f>SUM(C14:M14)</f>
        <v>1028808</v>
      </c>
    </row>
    <row r="15" spans="2:14" ht="19" x14ac:dyDescent="0.25">
      <c r="B15" s="12" t="s">
        <v>3</v>
      </c>
      <c r="C15" s="11">
        <f>SUM(C11:C14)</f>
        <v>507445.22945061303</v>
      </c>
      <c r="D15" s="11">
        <f>SUM(D11:D14)</f>
        <v>108463.96868549207</v>
      </c>
      <c r="E15" s="11">
        <f>SUM(E11:E14)</f>
        <v>116047.29885122497</v>
      </c>
      <c r="F15" s="11">
        <f t="shared" ref="F15:L15" si="0">SUM(F11:F14)</f>
        <v>123018.77677363623</v>
      </c>
      <c r="G15" s="11">
        <f t="shared" si="0"/>
        <v>129593.80319866644</v>
      </c>
      <c r="H15" s="11">
        <f t="shared" si="0"/>
        <v>135878.9500012043</v>
      </c>
      <c r="I15" s="11">
        <f t="shared" si="0"/>
        <v>141937.53724941934</v>
      </c>
      <c r="J15" s="11">
        <f t="shared" si="0"/>
        <v>147811.31207989782</v>
      </c>
      <c r="K15" s="11">
        <f t="shared" si="0"/>
        <v>153529.74483688225</v>
      </c>
      <c r="L15" s="11">
        <f t="shared" si="0"/>
        <v>159114.67632442265</v>
      </c>
      <c r="M15" s="11">
        <f>SUM(M11:M14)</f>
        <v>164582.89500822045</v>
      </c>
      <c r="N15" s="14">
        <f>SUM(N11:N14)</f>
        <v>1887424.1924596797</v>
      </c>
    </row>
    <row r="16" spans="2:14" ht="19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ht="19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ht="19" x14ac:dyDescent="0.25">
      <c r="B18" s="8" t="s">
        <v>4</v>
      </c>
      <c r="C18" s="8">
        <v>2018</v>
      </c>
      <c r="D18" s="8">
        <v>2019</v>
      </c>
      <c r="E18" s="8">
        <v>2020</v>
      </c>
      <c r="F18" s="8">
        <v>2021</v>
      </c>
      <c r="G18" s="8">
        <v>2022</v>
      </c>
      <c r="H18" s="8">
        <v>2023</v>
      </c>
      <c r="I18" s="8">
        <v>2024</v>
      </c>
      <c r="J18" s="8">
        <v>2025</v>
      </c>
      <c r="K18" s="8">
        <v>2026</v>
      </c>
      <c r="L18" s="8">
        <v>2027</v>
      </c>
      <c r="M18" s="8">
        <v>2028</v>
      </c>
      <c r="N18" s="8" t="s">
        <v>3</v>
      </c>
    </row>
    <row r="19" spans="2:14" ht="19" x14ac:dyDescent="0.25">
      <c r="B19" s="8" t="s">
        <v>7</v>
      </c>
      <c r="C19" s="15">
        <v>260260</v>
      </c>
      <c r="D19" s="15">
        <v>260260</v>
      </c>
      <c r="E19" s="15">
        <v>260260</v>
      </c>
      <c r="F19" s="15">
        <v>260260</v>
      </c>
      <c r="G19" s="15">
        <v>260260</v>
      </c>
      <c r="H19" s="15">
        <v>260260</v>
      </c>
      <c r="I19" s="15">
        <v>260260</v>
      </c>
      <c r="J19" s="15">
        <v>260260</v>
      </c>
      <c r="K19" s="15">
        <v>260260</v>
      </c>
      <c r="L19" s="15">
        <v>260260</v>
      </c>
      <c r="M19" s="15">
        <v>260260</v>
      </c>
      <c r="N19" s="16">
        <f>SUM(C19:M19)</f>
        <v>2862860</v>
      </c>
    </row>
    <row r="20" spans="2:14" ht="19" x14ac:dyDescent="0.25">
      <c r="B20" s="17" t="s">
        <v>3</v>
      </c>
      <c r="C20" s="18">
        <f>SUM(C19:C19)</f>
        <v>260260</v>
      </c>
      <c r="D20" s="16">
        <f t="shared" ref="D20:M20" si="1">SUM(D19:D19)</f>
        <v>260260</v>
      </c>
      <c r="E20" s="16">
        <f t="shared" si="1"/>
        <v>260260</v>
      </c>
      <c r="F20" s="16">
        <f t="shared" si="1"/>
        <v>260260</v>
      </c>
      <c r="G20" s="16">
        <f t="shared" si="1"/>
        <v>260260</v>
      </c>
      <c r="H20" s="16">
        <f t="shared" si="1"/>
        <v>260260</v>
      </c>
      <c r="I20" s="16">
        <f t="shared" si="1"/>
        <v>260260</v>
      </c>
      <c r="J20" s="16">
        <f t="shared" si="1"/>
        <v>260260</v>
      </c>
      <c r="K20" s="16">
        <f t="shared" si="1"/>
        <v>260260</v>
      </c>
      <c r="L20" s="16">
        <f t="shared" si="1"/>
        <v>260260</v>
      </c>
      <c r="M20" s="16">
        <f t="shared" si="1"/>
        <v>260260</v>
      </c>
      <c r="N20" s="19">
        <f>SUM(C20:M20)</f>
        <v>2862860</v>
      </c>
    </row>
    <row r="21" spans="2:14" ht="19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14" ht="19" x14ac:dyDescent="0.25">
      <c r="B22" s="8" t="s">
        <v>5</v>
      </c>
      <c r="C22" s="8">
        <v>2018</v>
      </c>
      <c r="D22" s="8">
        <v>2019</v>
      </c>
      <c r="E22" s="8">
        <v>2020</v>
      </c>
      <c r="F22" s="8">
        <v>2021</v>
      </c>
      <c r="G22" s="8">
        <v>2022</v>
      </c>
      <c r="H22" s="8">
        <v>2023</v>
      </c>
      <c r="I22" s="8">
        <v>2024</v>
      </c>
      <c r="J22" s="8">
        <v>2025</v>
      </c>
      <c r="K22" s="8">
        <v>2026</v>
      </c>
      <c r="L22" s="8">
        <v>2027</v>
      </c>
      <c r="M22" s="8">
        <v>2028</v>
      </c>
      <c r="N22" s="8" t="s">
        <v>3</v>
      </c>
    </row>
    <row r="23" spans="2:14" ht="19" x14ac:dyDescent="0.25">
      <c r="B23" s="52" t="s">
        <v>6</v>
      </c>
      <c r="C23" s="21">
        <f>C20/C15</f>
        <v>0.51288293769511084</v>
      </c>
      <c r="D23" s="22">
        <f>D20/D15</f>
        <v>2.3995065195766885</v>
      </c>
      <c r="E23" s="53">
        <f>E20/E15</f>
        <v>2.2427062290666386</v>
      </c>
      <c r="F23" s="53">
        <f t="shared" ref="F23:M23" si="2">F20/F15</f>
        <v>2.1156119970116261</v>
      </c>
      <c r="G23" s="53">
        <f t="shared" si="2"/>
        <v>2.0082750376653671</v>
      </c>
      <c r="H23" s="53">
        <f t="shared" si="2"/>
        <v>1.9153813007658163</v>
      </c>
      <c r="I23" s="53">
        <f t="shared" si="2"/>
        <v>1.833623472997554</v>
      </c>
      <c r="J23" s="53">
        <f t="shared" si="2"/>
        <v>1.7607583366780428</v>
      </c>
      <c r="K23" s="53">
        <f t="shared" si="2"/>
        <v>1.6951763990522706</v>
      </c>
      <c r="L23" s="53">
        <f t="shared" si="2"/>
        <v>1.635675639809302</v>
      </c>
      <c r="M23" s="53">
        <f t="shared" si="2"/>
        <v>1.5813307937437893</v>
      </c>
      <c r="N23" s="21">
        <f>N20/N15</f>
        <v>1.5168079393266325</v>
      </c>
    </row>
    <row r="24" spans="2:14" ht="19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ht="19" x14ac:dyDescent="0.25">
      <c r="B25" s="8" t="s">
        <v>9</v>
      </c>
      <c r="C25" s="8">
        <v>2018</v>
      </c>
      <c r="D25" s="8">
        <v>2019</v>
      </c>
      <c r="E25" s="8">
        <v>2020</v>
      </c>
      <c r="F25" s="8">
        <v>2021</v>
      </c>
      <c r="G25" s="8">
        <v>2022</v>
      </c>
      <c r="H25" s="8">
        <v>2023</v>
      </c>
      <c r="I25" s="8">
        <v>2024</v>
      </c>
      <c r="J25" s="8">
        <v>2025</v>
      </c>
      <c r="K25" s="8">
        <v>2026</v>
      </c>
      <c r="L25" s="8">
        <v>2027</v>
      </c>
      <c r="M25" s="8">
        <v>2028</v>
      </c>
      <c r="N25" s="8" t="s">
        <v>20</v>
      </c>
    </row>
    <row r="26" spans="2:14" ht="19" x14ac:dyDescent="0.25">
      <c r="B26" s="8" t="s">
        <v>10</v>
      </c>
      <c r="C26" s="9">
        <f>(C20-C15)/30</f>
        <v>-8239.5076483537669</v>
      </c>
      <c r="D26" s="9">
        <f>(D20-D15)/30</f>
        <v>5059.8677104835979</v>
      </c>
      <c r="E26" s="9">
        <f>(E20-E15)/30</f>
        <v>4807.090038292501</v>
      </c>
      <c r="F26" s="9">
        <f t="shared" ref="F26:M26" si="3">(F20-F15)/30</f>
        <v>4574.7074408787921</v>
      </c>
      <c r="G26" s="9">
        <f t="shared" si="3"/>
        <v>4355.5398933777851</v>
      </c>
      <c r="H26" s="9">
        <f t="shared" si="3"/>
        <v>4146.0349999598566</v>
      </c>
      <c r="I26" s="9">
        <f t="shared" si="3"/>
        <v>3944.0820916860221</v>
      </c>
      <c r="J26" s="9">
        <f t="shared" si="3"/>
        <v>3748.2895973367395</v>
      </c>
      <c r="K26" s="9">
        <f t="shared" si="3"/>
        <v>3557.675172103925</v>
      </c>
      <c r="L26" s="9">
        <f t="shared" si="3"/>
        <v>3371.510789185912</v>
      </c>
      <c r="M26" s="9">
        <f t="shared" si="3"/>
        <v>3189.2368330593181</v>
      </c>
      <c r="N26" s="54">
        <f>AVERAGE(C26:M26)</f>
        <v>2955.8660834555167</v>
      </c>
    </row>
    <row r="27" spans="2:14" ht="19" x14ac:dyDescent="0.25">
      <c r="B27" s="24" t="s">
        <v>11</v>
      </c>
      <c r="C27" s="25">
        <f>C26/12</f>
        <v>-686.6256373628139</v>
      </c>
      <c r="D27" s="23">
        <f>D26/12</f>
        <v>421.65564254029982</v>
      </c>
      <c r="E27" s="26">
        <f t="shared" ref="E27:M27" si="4">E26/12</f>
        <v>400.59083652437511</v>
      </c>
      <c r="F27" s="23">
        <f t="shared" si="4"/>
        <v>381.22562007323268</v>
      </c>
      <c r="G27" s="23">
        <f t="shared" si="4"/>
        <v>362.96165778148207</v>
      </c>
      <c r="H27" s="23">
        <f t="shared" si="4"/>
        <v>345.5029166633214</v>
      </c>
      <c r="I27" s="23">
        <f t="shared" si="4"/>
        <v>328.67350764050184</v>
      </c>
      <c r="J27" s="23">
        <f t="shared" si="4"/>
        <v>312.35746644472829</v>
      </c>
      <c r="K27" s="23">
        <f t="shared" si="4"/>
        <v>296.4729310086604</v>
      </c>
      <c r="L27" s="23">
        <f t="shared" si="4"/>
        <v>280.95923243215935</v>
      </c>
      <c r="M27" s="55">
        <f t="shared" si="4"/>
        <v>265.76973608827649</v>
      </c>
      <c r="N27" s="25">
        <f>AVERAGE(C27:M27)</f>
        <v>246.32217362129305</v>
      </c>
    </row>
    <row r="30" spans="2:14" x14ac:dyDescent="0.2">
      <c r="B30" s="1"/>
      <c r="C30" s="1"/>
    </row>
    <row r="31" spans="2:14" x14ac:dyDescent="0.2">
      <c r="B31" s="58" t="s">
        <v>35</v>
      </c>
      <c r="C31" s="58">
        <v>0.23</v>
      </c>
    </row>
    <row r="32" spans="2:14" x14ac:dyDescent="0.2">
      <c r="B32" s="58"/>
      <c r="C32" s="58">
        <v>1.8</v>
      </c>
    </row>
    <row r="34" spans="2:13" x14ac:dyDescent="0.2">
      <c r="B34" s="58" t="s">
        <v>34</v>
      </c>
      <c r="C34" s="58">
        <v>1</v>
      </c>
      <c r="D34" s="58">
        <v>2</v>
      </c>
      <c r="E34" s="58">
        <v>3</v>
      </c>
      <c r="F34" s="58">
        <v>4</v>
      </c>
      <c r="G34" s="58">
        <v>5</v>
      </c>
      <c r="H34" s="58">
        <v>6</v>
      </c>
      <c r="I34" s="58">
        <v>7</v>
      </c>
      <c r="J34" s="58">
        <v>8</v>
      </c>
      <c r="K34" s="58">
        <v>9</v>
      </c>
      <c r="L34" s="58">
        <v>10</v>
      </c>
      <c r="M34" s="58">
        <v>11</v>
      </c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34"/>
  <sheetViews>
    <sheetView showGridLines="0" topLeftCell="A4" zoomScale="92" zoomScaleNormal="92" zoomScalePageLayoutView="92" workbookViewId="0">
      <selection activeCell="L16" sqref="L16"/>
    </sheetView>
  </sheetViews>
  <sheetFormatPr baseColWidth="10" defaultRowHeight="16" x14ac:dyDescent="0.2"/>
  <cols>
    <col min="1" max="1" width="2.83203125" customWidth="1"/>
    <col min="2" max="2" width="42" customWidth="1"/>
    <col min="3" max="3" width="13.83203125" customWidth="1"/>
    <col min="4" max="4" width="13" customWidth="1"/>
    <col min="5" max="5" width="13.6640625" customWidth="1"/>
    <col min="6" max="6" width="13.5" customWidth="1"/>
    <col min="7" max="7" width="12.83203125" customWidth="1"/>
    <col min="8" max="8" width="13.1640625" customWidth="1"/>
    <col min="9" max="9" width="13" customWidth="1"/>
    <col min="10" max="10" width="12.83203125" customWidth="1"/>
    <col min="11" max="11" width="14.1640625" customWidth="1"/>
    <col min="12" max="12" width="13.5" customWidth="1"/>
    <col min="13" max="13" width="13.83203125" customWidth="1"/>
    <col min="14" max="14" width="15" customWidth="1"/>
  </cols>
  <sheetData>
    <row r="7" spans="2:14" ht="19" x14ac:dyDescent="0.25">
      <c r="B7" s="27" t="s">
        <v>32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2:14" ht="19" x14ac:dyDescent="0.25">
      <c r="B8" s="28" t="s">
        <v>18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 ht="19" x14ac:dyDescent="0.25">
      <c r="B9" s="29" t="s">
        <v>16</v>
      </c>
      <c r="C9" s="30" t="s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2:14" ht="19" x14ac:dyDescent="0.25">
      <c r="B10" s="31" t="s">
        <v>0</v>
      </c>
      <c r="C10" s="32">
        <v>2018</v>
      </c>
      <c r="D10" s="32">
        <v>2019</v>
      </c>
      <c r="E10" s="32">
        <v>2020</v>
      </c>
      <c r="F10" s="32">
        <v>2021</v>
      </c>
      <c r="G10" s="32">
        <v>2022</v>
      </c>
      <c r="H10" s="32">
        <v>2023</v>
      </c>
      <c r="I10" s="32">
        <v>2024</v>
      </c>
      <c r="J10" s="32">
        <v>2025</v>
      </c>
      <c r="K10" s="32">
        <v>2026</v>
      </c>
      <c r="L10" s="32">
        <v>2027</v>
      </c>
      <c r="M10" s="32">
        <v>2028</v>
      </c>
      <c r="N10" s="32" t="s">
        <v>3</v>
      </c>
    </row>
    <row r="11" spans="2:14" ht="19" x14ac:dyDescent="0.25">
      <c r="B11" s="31" t="s">
        <v>2</v>
      </c>
      <c r="C11" s="33">
        <v>330000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4">
        <f>SUM(C11:M11)</f>
        <v>330000</v>
      </c>
    </row>
    <row r="12" spans="2:14" ht="19" x14ac:dyDescent="0.25">
      <c r="B12" s="31" t="s">
        <v>14</v>
      </c>
      <c r="C12" s="33">
        <v>77900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4">
        <f>SUM(C12:M12)</f>
        <v>77900</v>
      </c>
    </row>
    <row r="13" spans="2:14" ht="19" x14ac:dyDescent="0.25">
      <c r="B13" s="31" t="s">
        <v>8</v>
      </c>
      <c r="C13" s="33">
        <f>(($C$31*(2808*C34/1000)^$C$32)*($C$11+$C$12))/100</f>
        <v>6017.226057717713</v>
      </c>
      <c r="D13" s="33">
        <f>((($C$31*(2808*D34/1000)^$C$32)*($C$11+$C$12))/100)-C13</f>
        <v>14935.972078387376</v>
      </c>
      <c r="E13" s="33">
        <f>((($C$31*(2808*E34/1000)^$C$32)*($C$11+$C$12))/100)-(SUM(C13:D13))</f>
        <v>22519.298851224976</v>
      </c>
      <c r="F13" s="33">
        <f>((($C$31*(2808*F34/1000)^$C$32)*($C$11+$C$12))/100)-(SUM(C13:E13))</f>
        <v>29490.776773636237</v>
      </c>
      <c r="G13" s="33">
        <f>((($C$31*(2808*G34/1000)^$C$32)*($C$11+$C$12))/100)-(SUM(C13:F13))</f>
        <v>36065.803198666443</v>
      </c>
      <c r="H13" s="33">
        <f>((($C$31*(2808*H34/1000)^$C$32)*($C$11+$C$12))/100)-(SUM(C13:G13))</f>
        <v>42350.950001204299</v>
      </c>
      <c r="I13" s="33">
        <f>((($C$31*(2808*I34/1000)^$C$32)*($C$11+$C$12))/100)-(SUM(C13:H13))</f>
        <v>48409.537249419343</v>
      </c>
      <c r="J13" s="33">
        <f>((($C$31*(2808*J34/1000)^$C$32)*($C$11+$C$12))/100)-(SUM(C13:I13))</f>
        <v>54283.31207989782</v>
      </c>
      <c r="K13" s="33">
        <f>((($C$31*(2808*K34/1000)^$C$32)*($C$11+$C$12))/100)-(SUM(C13:J13))</f>
        <v>60001.744836882252</v>
      </c>
      <c r="L13" s="33">
        <f>((($C$31*(2808*L34/1000)^$C$32)*($C$11+$C$12))/100)-(SUM(C13:K13))</f>
        <v>65586.676324422646</v>
      </c>
      <c r="M13" s="33">
        <f>((($C$31*(2808*M34/1000)^$C$32)*($C$11+$C$12))/100)-(SUM(C13:K13))</f>
        <v>136641.5713326431</v>
      </c>
      <c r="N13" s="34">
        <f>SUM(C13:M13)</f>
        <v>516302.8687841022</v>
      </c>
    </row>
    <row r="14" spans="2:14" ht="19" x14ac:dyDescent="0.25">
      <c r="B14" s="31" t="s">
        <v>12</v>
      </c>
      <c r="C14" s="33">
        <v>93528</v>
      </c>
      <c r="D14" s="33">
        <v>93528</v>
      </c>
      <c r="E14" s="33">
        <v>93528</v>
      </c>
      <c r="F14" s="33">
        <v>93528</v>
      </c>
      <c r="G14" s="33">
        <v>93528</v>
      </c>
      <c r="H14" s="33">
        <v>93528</v>
      </c>
      <c r="I14" s="33">
        <v>93528</v>
      </c>
      <c r="J14" s="33">
        <v>93528</v>
      </c>
      <c r="K14" s="33">
        <v>93528</v>
      </c>
      <c r="L14" s="33">
        <v>93528</v>
      </c>
      <c r="M14" s="33">
        <v>93528</v>
      </c>
      <c r="N14" s="34">
        <f>SUM(C14:M14)</f>
        <v>1028808</v>
      </c>
    </row>
    <row r="15" spans="2:14" ht="19" x14ac:dyDescent="0.25">
      <c r="B15" s="35" t="s">
        <v>3</v>
      </c>
      <c r="C15" s="34">
        <f>SUM(C11:C14)</f>
        <v>507445.22605771769</v>
      </c>
      <c r="D15" s="34">
        <f t="shared" ref="D15:M15" si="0">SUM(D11:D14)</f>
        <v>108463.97207838738</v>
      </c>
      <c r="E15" s="34">
        <f t="shared" si="0"/>
        <v>116047.29885122497</v>
      </c>
      <c r="F15" s="34">
        <f t="shared" si="0"/>
        <v>123018.77677363623</v>
      </c>
      <c r="G15" s="34">
        <f t="shared" si="0"/>
        <v>129593.80319866644</v>
      </c>
      <c r="H15" s="34">
        <f t="shared" si="0"/>
        <v>135878.9500012043</v>
      </c>
      <c r="I15" s="34">
        <f t="shared" si="0"/>
        <v>141937.53724941934</v>
      </c>
      <c r="J15" s="34">
        <f t="shared" si="0"/>
        <v>147811.31207989782</v>
      </c>
      <c r="K15" s="34">
        <f t="shared" si="0"/>
        <v>153529.74483688225</v>
      </c>
      <c r="L15" s="34">
        <f t="shared" si="0"/>
        <v>159114.67632442265</v>
      </c>
      <c r="M15" s="34">
        <f t="shared" si="0"/>
        <v>230169.5713326431</v>
      </c>
      <c r="N15" s="36">
        <f>SUM(N11:N14)</f>
        <v>1953010.8687841021</v>
      </c>
    </row>
    <row r="16" spans="2:14" ht="19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2:14" ht="19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2:14" ht="19" x14ac:dyDescent="0.25">
      <c r="B18" s="37" t="s">
        <v>4</v>
      </c>
      <c r="C18" s="32">
        <v>2018</v>
      </c>
      <c r="D18" s="32">
        <v>2019</v>
      </c>
      <c r="E18" s="32">
        <v>2020</v>
      </c>
      <c r="F18" s="32">
        <v>2021</v>
      </c>
      <c r="G18" s="32">
        <v>2022</v>
      </c>
      <c r="H18" s="32">
        <v>2023</v>
      </c>
      <c r="I18" s="32">
        <v>2024</v>
      </c>
      <c r="J18" s="32">
        <v>2025</v>
      </c>
      <c r="K18" s="32">
        <v>2026</v>
      </c>
      <c r="L18" s="32">
        <v>2027</v>
      </c>
      <c r="M18" s="32">
        <v>2028</v>
      </c>
      <c r="N18" s="32" t="s">
        <v>3</v>
      </c>
    </row>
    <row r="19" spans="2:14" ht="19" x14ac:dyDescent="0.25">
      <c r="B19" s="31" t="s">
        <v>7</v>
      </c>
      <c r="C19" s="38">
        <v>814975.2</v>
      </c>
      <c r="D19" s="38">
        <v>814975.2</v>
      </c>
      <c r="E19" s="38">
        <v>814975.2</v>
      </c>
      <c r="F19" s="38">
        <v>814975.2</v>
      </c>
      <c r="G19" s="38">
        <v>814975.2</v>
      </c>
      <c r="H19" s="38">
        <v>814975.2</v>
      </c>
      <c r="I19" s="38">
        <v>814975.2</v>
      </c>
      <c r="J19" s="38">
        <v>814975.2</v>
      </c>
      <c r="K19" s="38">
        <v>814975.2</v>
      </c>
      <c r="L19" s="38">
        <v>814975.2</v>
      </c>
      <c r="M19" s="38">
        <v>814975.2</v>
      </c>
      <c r="N19" s="39">
        <f>SUM(C19:M19)</f>
        <v>8964727.2000000011</v>
      </c>
    </row>
    <row r="20" spans="2:14" ht="19" x14ac:dyDescent="0.25">
      <c r="B20" s="40" t="s">
        <v>3</v>
      </c>
      <c r="C20" s="41">
        <f>SUM(C19)</f>
        <v>814975.2</v>
      </c>
      <c r="D20" s="41">
        <f t="shared" ref="D20:H20" si="1">SUM(D19)</f>
        <v>814975.2</v>
      </c>
      <c r="E20" s="41">
        <f t="shared" si="1"/>
        <v>814975.2</v>
      </c>
      <c r="F20" s="41">
        <f t="shared" si="1"/>
        <v>814975.2</v>
      </c>
      <c r="G20" s="41">
        <f t="shared" si="1"/>
        <v>814975.2</v>
      </c>
      <c r="H20" s="41">
        <f t="shared" si="1"/>
        <v>814975.2</v>
      </c>
      <c r="I20" s="41">
        <f t="shared" ref="I20" si="2">SUM(I19)</f>
        <v>814975.2</v>
      </c>
      <c r="J20" s="41">
        <f t="shared" ref="J20" si="3">SUM(J19)</f>
        <v>814975.2</v>
      </c>
      <c r="K20" s="41">
        <f t="shared" ref="K20" si="4">SUM(K19)</f>
        <v>814975.2</v>
      </c>
      <c r="L20" s="41">
        <f t="shared" ref="L20:M20" si="5">SUM(L19)</f>
        <v>814975.2</v>
      </c>
      <c r="M20" s="41">
        <f t="shared" si="5"/>
        <v>814975.2</v>
      </c>
      <c r="N20" s="42">
        <f>N19</f>
        <v>8964727.2000000011</v>
      </c>
    </row>
    <row r="21" spans="2:14" ht="19" x14ac:dyDescent="0.2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2:14" ht="19" x14ac:dyDescent="0.25">
      <c r="B22" s="37" t="s">
        <v>5</v>
      </c>
      <c r="C22" s="32">
        <v>2018</v>
      </c>
      <c r="D22" s="32">
        <v>2019</v>
      </c>
      <c r="E22" s="32">
        <v>2020</v>
      </c>
      <c r="F22" s="32">
        <v>2021</v>
      </c>
      <c r="G22" s="32">
        <v>2022</v>
      </c>
      <c r="H22" s="32">
        <v>2023</v>
      </c>
      <c r="I22" s="32">
        <v>2024</v>
      </c>
      <c r="J22" s="32">
        <v>2025</v>
      </c>
      <c r="K22" s="32">
        <v>2026</v>
      </c>
      <c r="L22" s="32">
        <v>2027</v>
      </c>
      <c r="M22" s="32">
        <v>2028</v>
      </c>
      <c r="N22" s="32" t="s">
        <v>3</v>
      </c>
    </row>
    <row r="23" spans="2:14" ht="19" x14ac:dyDescent="0.25">
      <c r="B23" s="43" t="s">
        <v>6</v>
      </c>
      <c r="C23" s="44">
        <f>C20/C15</f>
        <v>1.606035800812329</v>
      </c>
      <c r="D23" s="45">
        <f>D20/D15</f>
        <v>7.5137871533140412</v>
      </c>
      <c r="E23" s="45">
        <f t="shared" ref="E23:J23" si="6">E20/E15</f>
        <v>7.0227847443895692</v>
      </c>
      <c r="F23" s="45">
        <f t="shared" si="6"/>
        <v>6.6248033135593225</v>
      </c>
      <c r="G23" s="45">
        <f t="shared" si="6"/>
        <v>6.2886895814813641</v>
      </c>
      <c r="H23" s="45">
        <f t="shared" si="6"/>
        <v>5.9978031916847812</v>
      </c>
      <c r="I23" s="45">
        <f t="shared" si="6"/>
        <v>5.7417876609193739</v>
      </c>
      <c r="J23" s="45">
        <f t="shared" si="6"/>
        <v>5.513618602881178</v>
      </c>
      <c r="K23" s="45">
        <f>K20/K15</f>
        <v>5.3082560702870358</v>
      </c>
      <c r="L23" s="45">
        <f>L20/L15</f>
        <v>5.1219360704246286</v>
      </c>
      <c r="M23" s="45">
        <f t="shared" ref="M23" si="7">M20/M15</f>
        <v>3.5407599505070571</v>
      </c>
      <c r="N23" s="44">
        <f>N20/N15</f>
        <v>4.5902085560748702</v>
      </c>
    </row>
    <row r="24" spans="2:14" ht="19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2:14" ht="19" x14ac:dyDescent="0.25">
      <c r="B25" s="37" t="s">
        <v>9</v>
      </c>
      <c r="C25" s="32">
        <v>2018</v>
      </c>
      <c r="D25" s="32">
        <v>2019</v>
      </c>
      <c r="E25" s="32">
        <v>2020</v>
      </c>
      <c r="F25" s="32">
        <v>2021</v>
      </c>
      <c r="G25" s="32">
        <v>2022</v>
      </c>
      <c r="H25" s="32">
        <v>2023</v>
      </c>
      <c r="I25" s="32">
        <v>2024</v>
      </c>
      <c r="J25" s="32">
        <v>2025</v>
      </c>
      <c r="K25" s="32">
        <v>2026</v>
      </c>
      <c r="L25" s="32">
        <v>2027</v>
      </c>
      <c r="M25" s="32">
        <v>2028</v>
      </c>
      <c r="N25" s="32" t="s">
        <v>20</v>
      </c>
    </row>
    <row r="26" spans="2:14" ht="19" x14ac:dyDescent="0.25">
      <c r="B26" s="31" t="s">
        <v>10</v>
      </c>
      <c r="C26" s="33">
        <f>(C20-C15)/30</f>
        <v>10250.99913140941</v>
      </c>
      <c r="D26" s="33">
        <f>(D20-D15)/30</f>
        <v>23550.374264053753</v>
      </c>
      <c r="E26" s="33">
        <f t="shared" ref="E26:M26" si="8">(E20-E15)/30</f>
        <v>23297.596704959167</v>
      </c>
      <c r="F26" s="33">
        <f t="shared" si="8"/>
        <v>23065.214107545456</v>
      </c>
      <c r="G26" s="33">
        <f t="shared" si="8"/>
        <v>22846.046560044451</v>
      </c>
      <c r="H26" s="33">
        <f t="shared" si="8"/>
        <v>22636.541666626523</v>
      </c>
      <c r="I26" s="33">
        <f t="shared" si="8"/>
        <v>22434.588758352686</v>
      </c>
      <c r="J26" s="33">
        <f t="shared" si="8"/>
        <v>22238.796264003402</v>
      </c>
      <c r="K26" s="33">
        <f t="shared" si="8"/>
        <v>22048.18183877059</v>
      </c>
      <c r="L26" s="33">
        <f t="shared" si="8"/>
        <v>21862.017455852576</v>
      </c>
      <c r="M26" s="33">
        <f t="shared" si="8"/>
        <v>19493.520955578562</v>
      </c>
      <c r="N26" s="46">
        <f>AVERAGE(C26:M26)</f>
        <v>21247.625246108782</v>
      </c>
    </row>
    <row r="27" spans="2:14" ht="19" x14ac:dyDescent="0.25">
      <c r="B27" s="47" t="s">
        <v>11</v>
      </c>
      <c r="C27" s="48">
        <f>C26/12</f>
        <v>854.24992761745079</v>
      </c>
      <c r="D27" s="49">
        <f>D26/12</f>
        <v>1962.5311886711461</v>
      </c>
      <c r="E27" s="50">
        <f t="shared" ref="E27:M27" si="9">E26/12</f>
        <v>1941.4663920799305</v>
      </c>
      <c r="F27" s="49">
        <f t="shared" si="9"/>
        <v>1922.101175628788</v>
      </c>
      <c r="G27" s="50">
        <f t="shared" si="9"/>
        <v>1903.8372133370376</v>
      </c>
      <c r="H27" s="49">
        <f t="shared" si="9"/>
        <v>1886.3784722188768</v>
      </c>
      <c r="I27" s="50">
        <f t="shared" si="9"/>
        <v>1869.5490631960572</v>
      </c>
      <c r="J27" s="49">
        <f t="shared" si="9"/>
        <v>1853.2330220002834</v>
      </c>
      <c r="K27" s="50">
        <f t="shared" si="9"/>
        <v>1837.3484865642158</v>
      </c>
      <c r="L27" s="49">
        <f t="shared" si="9"/>
        <v>1821.8347879877147</v>
      </c>
      <c r="M27" s="50">
        <f t="shared" si="9"/>
        <v>1624.4600796315469</v>
      </c>
      <c r="N27" s="51">
        <f>AVERAGE(C27:M27)</f>
        <v>1770.6354371757318</v>
      </c>
    </row>
    <row r="31" spans="2:14" x14ac:dyDescent="0.2">
      <c r="B31" s="58" t="s">
        <v>35</v>
      </c>
      <c r="C31" s="58">
        <v>0.23</v>
      </c>
    </row>
    <row r="32" spans="2:14" x14ac:dyDescent="0.2">
      <c r="B32" s="58"/>
      <c r="C32" s="58">
        <v>1.8</v>
      </c>
    </row>
    <row r="34" spans="2:13" x14ac:dyDescent="0.2">
      <c r="B34" s="58" t="s">
        <v>34</v>
      </c>
      <c r="C34" s="58">
        <v>1</v>
      </c>
      <c r="D34" s="58">
        <v>2</v>
      </c>
      <c r="E34" s="58">
        <v>3</v>
      </c>
      <c r="F34" s="58">
        <v>4</v>
      </c>
      <c r="G34" s="58">
        <v>5</v>
      </c>
      <c r="H34" s="58">
        <v>6</v>
      </c>
      <c r="I34" s="58">
        <v>7</v>
      </c>
      <c r="J34" s="58">
        <v>8</v>
      </c>
      <c r="K34" s="58">
        <v>9</v>
      </c>
      <c r="L34" s="58">
        <v>10</v>
      </c>
      <c r="M34" s="58">
        <v>11</v>
      </c>
    </row>
  </sheetData>
  <pageMargins left="0.75" right="0.75" top="1" bottom="1" header="0.5" footer="0.5"/>
  <pageSetup orientation="portrait" horizontalDpi="4294967292" verticalDpi="4294967292"/>
  <ignoredErrors>
    <ignoredError sqref="D15:M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32"/>
  <sheetViews>
    <sheetView showGridLines="0" topLeftCell="A5" zoomScale="92" zoomScaleNormal="92" zoomScalePageLayoutView="92" workbookViewId="0">
      <selection activeCell="D34" sqref="D34"/>
    </sheetView>
  </sheetViews>
  <sheetFormatPr baseColWidth="10" defaultRowHeight="16" x14ac:dyDescent="0.2"/>
  <cols>
    <col min="1" max="1" width="2.83203125" customWidth="1"/>
    <col min="2" max="2" width="41.83203125" customWidth="1"/>
    <col min="3" max="3" width="14.33203125" bestFit="1" customWidth="1"/>
    <col min="4" max="5" width="12.6640625" customWidth="1"/>
    <col min="6" max="6" width="13.5" customWidth="1"/>
    <col min="7" max="7" width="12.6640625" customWidth="1"/>
    <col min="8" max="8" width="13.83203125" customWidth="1"/>
    <col min="9" max="9" width="12.6640625" customWidth="1"/>
    <col min="10" max="10" width="12.83203125" customWidth="1"/>
    <col min="11" max="11" width="12.6640625" customWidth="1"/>
    <col min="12" max="12" width="13.83203125" customWidth="1"/>
    <col min="13" max="13" width="13.1640625" customWidth="1"/>
    <col min="14" max="14" width="16.1640625" bestFit="1" customWidth="1"/>
  </cols>
  <sheetData>
    <row r="7" spans="2:14" ht="19" x14ac:dyDescent="0.25">
      <c r="B7" s="5" t="s">
        <v>31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ht="19" x14ac:dyDescent="0.25">
      <c r="B8" s="6" t="s">
        <v>18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ht="19" x14ac:dyDescent="0.25">
      <c r="B9" s="6" t="s">
        <v>17</v>
      </c>
      <c r="C9" s="7" t="s">
        <v>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19" x14ac:dyDescent="0.25">
      <c r="B10" s="8" t="s">
        <v>0</v>
      </c>
      <c r="C10" s="8">
        <v>2018</v>
      </c>
      <c r="D10" s="8">
        <v>2019</v>
      </c>
      <c r="E10" s="8">
        <v>2020</v>
      </c>
      <c r="F10" s="8">
        <v>2021</v>
      </c>
      <c r="G10" s="8">
        <v>2022</v>
      </c>
      <c r="H10" s="8">
        <v>2023</v>
      </c>
      <c r="I10" s="8">
        <v>2024</v>
      </c>
      <c r="J10" s="8">
        <v>2025</v>
      </c>
      <c r="K10" s="8">
        <v>2026</v>
      </c>
      <c r="L10" s="8">
        <v>2027</v>
      </c>
      <c r="M10" s="8">
        <v>2028</v>
      </c>
      <c r="N10" s="8" t="s">
        <v>3</v>
      </c>
    </row>
    <row r="11" spans="2:14" ht="19" x14ac:dyDescent="0.25">
      <c r="B11" s="8" t="s">
        <v>2</v>
      </c>
      <c r="C11" s="9">
        <v>330000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1">
        <f>SUM(C11:M11)</f>
        <v>330000</v>
      </c>
    </row>
    <row r="12" spans="2:14" ht="19" x14ac:dyDescent="0.25">
      <c r="B12" s="8" t="s">
        <v>15</v>
      </c>
      <c r="C12" s="9">
        <v>60043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1">
        <f>SUM(C12:M12)</f>
        <v>60043</v>
      </c>
    </row>
    <row r="13" spans="2:14" ht="19" x14ac:dyDescent="0.25">
      <c r="B13" s="8" t="s">
        <v>8</v>
      </c>
      <c r="C13" s="9">
        <f>(($C$29*(2808*C32/1000)^$C$30)*($C$11+$C$12))/100</f>
        <v>5753.8046168923502</v>
      </c>
      <c r="D13" s="9">
        <f>((($C$29*(2808*D32/1000)^$C$30)*($C$11+$C$12))/100)-C13</f>
        <v>14282.106784433559</v>
      </c>
      <c r="E13" s="9">
        <f>((($C$29*(2808*E32/1000)^$C$30)*($C$11+$C$12))/100)-(SUM(C13:D13))</f>
        <v>21533.451536720626</v>
      </c>
      <c r="F13" s="9">
        <f>((($C$29*(2808*F32/1000)^$C$30)*($C$11+$C$12))/100)-(SUM(C13:E13))</f>
        <v>28199.73288825545</v>
      </c>
      <c r="G13" s="9">
        <f>((($C$29*(2808*G32/1000)^$C$30)*($C$11+$C$12))/100)-(SUM(C13:F13))</f>
        <v>34486.918551158247</v>
      </c>
      <c r="H13" s="9">
        <f>((($C$29*(2808*H32/1000)^$C$30)*($C$11+$C$12))/100)-(SUM(C13:G13))</f>
        <v>40496.914908849547</v>
      </c>
      <c r="I13" s="9">
        <f>((($C$29*(2808*I32/1000)^$C$30)*($C$11+$C$12))/100)-(SUM(C13:H13))</f>
        <v>46290.270010726294</v>
      </c>
      <c r="J13" s="9">
        <f>((($C$29*(2808*J32/1000)^$C$30)*($C$11+$C$12))/100)-(SUM(C13:I13))</f>
        <v>51906.903391957807</v>
      </c>
      <c r="K13" s="9">
        <f>((($C$29*(2808*K32/1000)^$C$30)*($C$11+$C$12))/100)-(SUM(C13:J13))</f>
        <v>57374.995247394167</v>
      </c>
      <c r="L13" s="9">
        <f>((($C$29*(2808*L32/1000)^$C$30)*($C$11+$C$12))/100)-(SUM(C13:K13))</f>
        <v>62715.43023683934</v>
      </c>
      <c r="M13" s="9">
        <f>((($C$29*(2808*M32/1000)^$C$30)*($C$11+$C$12))/100)-(SUM(C13:L13))</f>
        <v>67944.261862445041</v>
      </c>
      <c r="N13" s="11">
        <f>SUM(C13:M13)</f>
        <v>430984.79003567243</v>
      </c>
    </row>
    <row r="14" spans="2:14" ht="19" x14ac:dyDescent="0.25">
      <c r="B14" s="12" t="s">
        <v>3</v>
      </c>
      <c r="C14" s="11">
        <f>SUM(C11:C13)</f>
        <v>395796.80461689236</v>
      </c>
      <c r="D14" s="11">
        <f>SUM(D11:D13)</f>
        <v>14282.106784433559</v>
      </c>
      <c r="E14" s="11">
        <f>SUM(E11:E13)</f>
        <v>21533.451536720626</v>
      </c>
      <c r="F14" s="11">
        <f t="shared" ref="F14:M14" si="0">SUM(F11:F13)</f>
        <v>28199.73288825545</v>
      </c>
      <c r="G14" s="11">
        <f t="shared" si="0"/>
        <v>34486.918551158247</v>
      </c>
      <c r="H14" s="11">
        <f t="shared" si="0"/>
        <v>40496.914908849547</v>
      </c>
      <c r="I14" s="11">
        <f t="shared" si="0"/>
        <v>46290.270010726294</v>
      </c>
      <c r="J14" s="11">
        <f t="shared" si="0"/>
        <v>51906.903391957807</v>
      </c>
      <c r="K14" s="11">
        <f t="shared" si="0"/>
        <v>57374.995247394167</v>
      </c>
      <c r="L14" s="11">
        <f t="shared" si="0"/>
        <v>62715.43023683934</v>
      </c>
      <c r="M14" s="11">
        <f t="shared" si="0"/>
        <v>67944.261862445041</v>
      </c>
      <c r="N14" s="14">
        <f>SUM(N11:N13)</f>
        <v>821027.79003567249</v>
      </c>
    </row>
    <row r="15" spans="2:14" ht="19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4" ht="19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ht="19" x14ac:dyDescent="0.25">
      <c r="B17" s="8" t="s">
        <v>4</v>
      </c>
      <c r="C17" s="8">
        <v>2018</v>
      </c>
      <c r="D17" s="8">
        <v>2019</v>
      </c>
      <c r="E17" s="8">
        <v>2020</v>
      </c>
      <c r="F17" s="8">
        <v>2021</v>
      </c>
      <c r="G17" s="8">
        <v>2022</v>
      </c>
      <c r="H17" s="8">
        <v>2023</v>
      </c>
      <c r="I17" s="8">
        <v>2024</v>
      </c>
      <c r="J17" s="8">
        <v>2025</v>
      </c>
      <c r="K17" s="8">
        <v>2026</v>
      </c>
      <c r="L17" s="8">
        <v>2027</v>
      </c>
      <c r="M17" s="8">
        <v>2028</v>
      </c>
      <c r="N17" s="8" t="s">
        <v>3</v>
      </c>
    </row>
    <row r="18" spans="2:14" ht="19" x14ac:dyDescent="0.25">
      <c r="B18" s="8" t="s">
        <v>7</v>
      </c>
      <c r="C18" s="15">
        <v>554715.19999999995</v>
      </c>
      <c r="D18" s="15">
        <v>554715.19999999995</v>
      </c>
      <c r="E18" s="15">
        <v>554715.19999999995</v>
      </c>
      <c r="F18" s="15">
        <v>554715.19999999995</v>
      </c>
      <c r="G18" s="15">
        <v>554715.19999999995</v>
      </c>
      <c r="H18" s="15">
        <v>554715.19999999995</v>
      </c>
      <c r="I18" s="15">
        <v>554715.19999999995</v>
      </c>
      <c r="J18" s="15">
        <v>554715.19999999995</v>
      </c>
      <c r="K18" s="15">
        <v>554715.19999999995</v>
      </c>
      <c r="L18" s="15">
        <v>554715.19999999995</v>
      </c>
      <c r="M18" s="15">
        <v>554715.19999999995</v>
      </c>
      <c r="N18" s="16">
        <f>SUM(C18:M18)</f>
        <v>6101867.2000000011</v>
      </c>
    </row>
    <row r="19" spans="2:14" ht="19" x14ac:dyDescent="0.25">
      <c r="B19" s="17" t="s">
        <v>3</v>
      </c>
      <c r="C19" s="18">
        <f>C18</f>
        <v>554715.19999999995</v>
      </c>
      <c r="D19" s="18">
        <f t="shared" ref="D19:M19" si="1">D18</f>
        <v>554715.19999999995</v>
      </c>
      <c r="E19" s="18">
        <f t="shared" si="1"/>
        <v>554715.19999999995</v>
      </c>
      <c r="F19" s="18">
        <f t="shared" si="1"/>
        <v>554715.19999999995</v>
      </c>
      <c r="G19" s="18">
        <f t="shared" si="1"/>
        <v>554715.19999999995</v>
      </c>
      <c r="H19" s="18">
        <f t="shared" si="1"/>
        <v>554715.19999999995</v>
      </c>
      <c r="I19" s="18">
        <f t="shared" si="1"/>
        <v>554715.19999999995</v>
      </c>
      <c r="J19" s="18">
        <f t="shared" si="1"/>
        <v>554715.19999999995</v>
      </c>
      <c r="K19" s="18">
        <f t="shared" si="1"/>
        <v>554715.19999999995</v>
      </c>
      <c r="L19" s="18">
        <f t="shared" si="1"/>
        <v>554715.19999999995</v>
      </c>
      <c r="M19" s="18">
        <f t="shared" si="1"/>
        <v>554715.19999999995</v>
      </c>
      <c r="N19" s="19">
        <f>SUM(C19:M19)</f>
        <v>6101867.2000000011</v>
      </c>
    </row>
    <row r="20" spans="2:14" ht="19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ht="19" x14ac:dyDescent="0.25">
      <c r="B21" s="8" t="s">
        <v>5</v>
      </c>
      <c r="C21" s="8">
        <v>2018</v>
      </c>
      <c r="D21" s="8">
        <v>2019</v>
      </c>
      <c r="E21" s="8">
        <v>2020</v>
      </c>
      <c r="F21" s="8">
        <v>2021</v>
      </c>
      <c r="G21" s="8">
        <v>2022</v>
      </c>
      <c r="H21" s="8">
        <v>2023</v>
      </c>
      <c r="I21" s="8">
        <v>2024</v>
      </c>
      <c r="J21" s="8">
        <v>2025</v>
      </c>
      <c r="K21" s="8">
        <v>2026</v>
      </c>
      <c r="L21" s="8">
        <v>2027</v>
      </c>
      <c r="M21" s="8">
        <v>2028</v>
      </c>
      <c r="N21" s="8" t="s">
        <v>3</v>
      </c>
    </row>
    <row r="22" spans="2:14" ht="19" x14ac:dyDescent="0.25">
      <c r="B22" s="20" t="s">
        <v>6</v>
      </c>
      <c r="C22" s="21">
        <f>C19/C14</f>
        <v>1.4015151045419154</v>
      </c>
      <c r="D22" s="22">
        <f>D19/D14</f>
        <v>38.839872042169475</v>
      </c>
      <c r="E22" s="22">
        <f>E19/E14</f>
        <v>25.760626393500068</v>
      </c>
      <c r="F22" s="22">
        <f t="shared" ref="F22:M22" si="2">F19/F14</f>
        <v>19.67093809711319</v>
      </c>
      <c r="G22" s="22">
        <f t="shared" si="2"/>
        <v>16.084800362117878</v>
      </c>
      <c r="H22" s="22">
        <f t="shared" si="2"/>
        <v>13.69771502961529</v>
      </c>
      <c r="I22" s="22">
        <f t="shared" si="2"/>
        <v>11.983408173498717</v>
      </c>
      <c r="J22" s="22">
        <f t="shared" si="2"/>
        <v>10.686732664656407</v>
      </c>
      <c r="K22" s="22">
        <f t="shared" si="2"/>
        <v>9.6682395808162394</v>
      </c>
      <c r="L22" s="22">
        <f t="shared" si="2"/>
        <v>8.8449556656976842</v>
      </c>
      <c r="M22" s="22">
        <f t="shared" si="2"/>
        <v>8.1642685459301276</v>
      </c>
      <c r="N22" s="21">
        <f>N19/N14</f>
        <v>7.4319861934696307</v>
      </c>
    </row>
    <row r="23" spans="2:14" ht="19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4" ht="19" x14ac:dyDescent="0.25">
      <c r="B24" s="8" t="s">
        <v>9</v>
      </c>
      <c r="C24" s="8">
        <v>2018</v>
      </c>
      <c r="D24" s="8">
        <v>2019</v>
      </c>
      <c r="E24" s="8">
        <v>2020</v>
      </c>
      <c r="F24" s="8">
        <v>2021</v>
      </c>
      <c r="G24" s="8">
        <v>2022</v>
      </c>
      <c r="H24" s="8">
        <v>2023</v>
      </c>
      <c r="I24" s="8">
        <v>2024</v>
      </c>
      <c r="J24" s="8">
        <v>2025</v>
      </c>
      <c r="K24" s="8">
        <v>2026</v>
      </c>
      <c r="L24" s="8">
        <v>2027</v>
      </c>
      <c r="M24" s="8">
        <v>2028</v>
      </c>
      <c r="N24" s="8" t="s">
        <v>20</v>
      </c>
    </row>
    <row r="25" spans="2:14" ht="19" x14ac:dyDescent="0.25">
      <c r="B25" s="8" t="s">
        <v>10</v>
      </c>
      <c r="C25" s="9">
        <f>(C19-C14)/30</f>
        <v>5297.2798461035864</v>
      </c>
      <c r="D25" s="9">
        <f>(D19-D14)/30</f>
        <v>18014.436440518879</v>
      </c>
      <c r="E25" s="9">
        <f>(E19-E14)/30</f>
        <v>17772.724948775976</v>
      </c>
      <c r="F25" s="9">
        <f t="shared" ref="F25:M25" si="3">(F19-F14)/30</f>
        <v>17550.515570391482</v>
      </c>
      <c r="G25" s="9">
        <f t="shared" si="3"/>
        <v>17340.942714961388</v>
      </c>
      <c r="H25" s="9">
        <f t="shared" si="3"/>
        <v>17140.609503038348</v>
      </c>
      <c r="I25" s="9">
        <f t="shared" si="3"/>
        <v>16947.497666309122</v>
      </c>
      <c r="J25" s="9">
        <f t="shared" si="3"/>
        <v>16760.276553601405</v>
      </c>
      <c r="K25" s="9">
        <f t="shared" si="3"/>
        <v>16578.006825086857</v>
      </c>
      <c r="L25" s="9">
        <f t="shared" si="3"/>
        <v>16399.992325438689</v>
      </c>
      <c r="M25" s="9">
        <f t="shared" si="3"/>
        <v>16225.697937918498</v>
      </c>
      <c r="N25" s="23">
        <f>AVERAGE(C25:M25)</f>
        <v>16002.543666558566</v>
      </c>
    </row>
    <row r="26" spans="2:14" ht="19" x14ac:dyDescent="0.25">
      <c r="B26" s="24" t="s">
        <v>11</v>
      </c>
      <c r="C26" s="25">
        <f>C25/12</f>
        <v>441.43998717529888</v>
      </c>
      <c r="D26" s="23">
        <f>D25/12</f>
        <v>1501.2030367099067</v>
      </c>
      <c r="E26" s="23">
        <f t="shared" ref="E26:M26" si="4">E25/12</f>
        <v>1481.0604123979981</v>
      </c>
      <c r="F26" s="23">
        <f t="shared" si="4"/>
        <v>1462.5429641992903</v>
      </c>
      <c r="G26" s="23">
        <f t="shared" si="4"/>
        <v>1445.0785595801156</v>
      </c>
      <c r="H26" s="23">
        <f t="shared" si="4"/>
        <v>1428.3841252531956</v>
      </c>
      <c r="I26" s="23">
        <f t="shared" si="4"/>
        <v>1412.2914721924269</v>
      </c>
      <c r="J26" s="23">
        <f t="shared" si="4"/>
        <v>1396.6897128001171</v>
      </c>
      <c r="K26" s="23">
        <f t="shared" si="4"/>
        <v>1381.5005687572382</v>
      </c>
      <c r="L26" s="23">
        <f t="shared" si="4"/>
        <v>1366.6660271198907</v>
      </c>
      <c r="M26" s="23">
        <f t="shared" si="4"/>
        <v>1352.1414948265415</v>
      </c>
      <c r="N26" s="25">
        <f>AVERAGE(C26:M26)</f>
        <v>1333.5453055465471</v>
      </c>
    </row>
    <row r="29" spans="2:14" x14ac:dyDescent="0.2">
      <c r="B29" s="58" t="s">
        <v>35</v>
      </c>
      <c r="C29" s="58">
        <v>0.23</v>
      </c>
    </row>
    <row r="30" spans="2:14" x14ac:dyDescent="0.2">
      <c r="B30" s="58"/>
      <c r="C30" s="58">
        <v>1.8</v>
      </c>
    </row>
    <row r="32" spans="2:14" x14ac:dyDescent="0.2">
      <c r="B32" s="58" t="s">
        <v>34</v>
      </c>
      <c r="C32" s="58">
        <v>1</v>
      </c>
      <c r="D32" s="58">
        <v>2</v>
      </c>
      <c r="E32" s="58">
        <v>3</v>
      </c>
      <c r="F32" s="58">
        <v>4</v>
      </c>
      <c r="G32" s="58">
        <v>5</v>
      </c>
      <c r="H32" s="58">
        <v>6</v>
      </c>
      <c r="I32" s="58">
        <v>7</v>
      </c>
      <c r="J32" s="58">
        <v>8</v>
      </c>
      <c r="K32" s="58">
        <v>9</v>
      </c>
      <c r="L32" s="58">
        <v>10</v>
      </c>
      <c r="M32" s="58">
        <v>11</v>
      </c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31"/>
  <sheetViews>
    <sheetView showGridLines="0" topLeftCell="A2" zoomScale="92" zoomScaleNormal="92" zoomScalePageLayoutView="92" workbookViewId="0">
      <selection activeCell="B33" sqref="B33"/>
    </sheetView>
  </sheetViews>
  <sheetFormatPr baseColWidth="10" defaultRowHeight="16" x14ac:dyDescent="0.2"/>
  <cols>
    <col min="1" max="1" width="3.1640625" customWidth="1"/>
    <col min="2" max="2" width="42.1640625" customWidth="1"/>
    <col min="3" max="3" width="13.5" customWidth="1"/>
    <col min="4" max="13" width="13.33203125" customWidth="1"/>
    <col min="14" max="14" width="14.83203125" customWidth="1"/>
  </cols>
  <sheetData>
    <row r="6" spans="2:14" ht="19" x14ac:dyDescent="0.25">
      <c r="B6" s="5" t="s">
        <v>19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ht="19" x14ac:dyDescent="0.25">
      <c r="B7" s="6" t="s">
        <v>18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ht="19" x14ac:dyDescent="0.25">
      <c r="B8" s="6" t="s">
        <v>17</v>
      </c>
      <c r="C8" s="7" t="s">
        <v>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ht="19" x14ac:dyDescent="0.25">
      <c r="B9" s="8" t="s">
        <v>0</v>
      </c>
      <c r="C9" s="8">
        <v>2018</v>
      </c>
      <c r="D9" s="8">
        <v>2019</v>
      </c>
      <c r="E9" s="8">
        <v>2020</v>
      </c>
      <c r="F9" s="8">
        <v>2021</v>
      </c>
      <c r="G9" s="8">
        <v>2022</v>
      </c>
      <c r="H9" s="8">
        <v>2023</v>
      </c>
      <c r="I9" s="8">
        <v>2024</v>
      </c>
      <c r="J9" s="8">
        <v>2025</v>
      </c>
      <c r="K9" s="8">
        <v>2026</v>
      </c>
      <c r="L9" s="8">
        <v>2027</v>
      </c>
      <c r="M9" s="8">
        <v>2028</v>
      </c>
      <c r="N9" s="8" t="s">
        <v>3</v>
      </c>
    </row>
    <row r="10" spans="2:14" ht="19" x14ac:dyDescent="0.25">
      <c r="B10" s="8" t="s">
        <v>2</v>
      </c>
      <c r="C10" s="9">
        <v>330000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1">
        <f>SUM(C10:M10)</f>
        <v>330000</v>
      </c>
    </row>
    <row r="11" spans="2:14" ht="19" x14ac:dyDescent="0.25">
      <c r="B11" s="8" t="s">
        <v>15</v>
      </c>
      <c r="C11" s="9">
        <v>60043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1">
        <f>SUM(C11:M11)</f>
        <v>60043</v>
      </c>
    </row>
    <row r="12" spans="2:14" ht="19" x14ac:dyDescent="0.25">
      <c r="B12" s="8" t="s">
        <v>8</v>
      </c>
      <c r="C12" s="9">
        <f>(($C$28*(2808*C31/1000)^$C$29)*($C$10+$C$11))/100</f>
        <v>5753.8046168923502</v>
      </c>
      <c r="D12" s="9">
        <f>((($C$28*(2808*D31/1000)^$C$29)*($C$10+$C$11))/100)-C12</f>
        <v>14282.106784433559</v>
      </c>
      <c r="E12" s="9">
        <f>((($C$28*(2808*E31/1000)^$C$29)*($C$10+$C$11))/100)-(SUM(C12:D12))</f>
        <v>21533.451536720626</v>
      </c>
      <c r="F12" s="9">
        <f>((($C$28*(2808*F31/1000)^$C$29)*($C$10+$C$11))/100)-(SUM(C12:E12))</f>
        <v>28199.73288825545</v>
      </c>
      <c r="G12" s="9">
        <f>((($C$28*(2808*G31/1000)^$C$29)*($C$10+$C$11))/100)-(SUM(C12:F12))</f>
        <v>34486.918551158247</v>
      </c>
      <c r="H12" s="9">
        <f>((($C$28*(2808*H31/1000)^$C$29)*($C$10+$C$11))/100)-(SUM(C12:G12))</f>
        <v>40496.914908849547</v>
      </c>
      <c r="I12" s="9">
        <f>((($C$28*(2808*I31/1000)^$C$29)*($C$10+$C$11))/100)-(SUM(C12:H12))</f>
        <v>46290.270010726294</v>
      </c>
      <c r="J12" s="9">
        <f>((($C$28*(2808*J31/1000)^$C$29)*($C$10+$C$11))/100)-(SUM(C12:I12))</f>
        <v>51906.903391957807</v>
      </c>
      <c r="K12" s="9">
        <f>((($C$28*(2808*K31/1000)^$C$29)*($C$10+$C$11))/100)-(SUM(C12:J12))</f>
        <v>57374.995247394167</v>
      </c>
      <c r="L12" s="9">
        <f>((($C$28*(2808*L31/1000)^$C$29)*($C$10+$C$11))/100)-(SUM(C12:K12))</f>
        <v>62715.43023683934</v>
      </c>
      <c r="M12" s="9">
        <f>((($C$28*(2808*M31/1000)^$C$29)*($C$10+$C$11))/100)-(SUM(C12:L12))</f>
        <v>67944.261862445041</v>
      </c>
      <c r="N12" s="11">
        <f>SUM(C12:M12)</f>
        <v>430984.79003567243</v>
      </c>
    </row>
    <row r="13" spans="2:14" ht="19" x14ac:dyDescent="0.25">
      <c r="B13" s="12" t="s">
        <v>3</v>
      </c>
      <c r="C13" s="11">
        <f>SUM(C10:C12)</f>
        <v>395796.80461689236</v>
      </c>
      <c r="D13" s="11">
        <f>SUM(D10:D12)</f>
        <v>14282.106784433559</v>
      </c>
      <c r="E13" s="11">
        <f>SUM(E10:E12)</f>
        <v>21533.451536720626</v>
      </c>
      <c r="F13" s="11">
        <f t="shared" ref="F13:M13" si="0">SUM(F10:F12)</f>
        <v>28199.73288825545</v>
      </c>
      <c r="G13" s="11">
        <f t="shared" si="0"/>
        <v>34486.918551158247</v>
      </c>
      <c r="H13" s="11">
        <f t="shared" si="0"/>
        <v>40496.914908849547</v>
      </c>
      <c r="I13" s="11">
        <f t="shared" si="0"/>
        <v>46290.270010726294</v>
      </c>
      <c r="J13" s="11">
        <f t="shared" si="0"/>
        <v>51906.903391957807</v>
      </c>
      <c r="K13" s="11">
        <f t="shared" si="0"/>
        <v>57374.995247394167</v>
      </c>
      <c r="L13" s="11">
        <f t="shared" si="0"/>
        <v>62715.43023683934</v>
      </c>
      <c r="M13" s="11">
        <f t="shared" si="0"/>
        <v>67944.261862445041</v>
      </c>
      <c r="N13" s="14">
        <f>SUM(N10:N12)</f>
        <v>821027.79003567249</v>
      </c>
    </row>
    <row r="14" spans="2:14" ht="19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2:14" ht="19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4" ht="19" x14ac:dyDescent="0.25">
      <c r="B16" s="8" t="s">
        <v>4</v>
      </c>
      <c r="C16" s="8">
        <v>2018</v>
      </c>
      <c r="D16" s="8">
        <v>2019</v>
      </c>
      <c r="E16" s="8">
        <v>2020</v>
      </c>
      <c r="F16" s="8">
        <v>2021</v>
      </c>
      <c r="G16" s="8">
        <v>2022</v>
      </c>
      <c r="H16" s="8">
        <v>2023</v>
      </c>
      <c r="I16" s="8">
        <v>2024</v>
      </c>
      <c r="J16" s="8">
        <v>2025</v>
      </c>
      <c r="K16" s="8">
        <v>2026</v>
      </c>
      <c r="L16" s="8">
        <v>2027</v>
      </c>
      <c r="M16" s="8">
        <v>2028</v>
      </c>
      <c r="N16" s="8" t="s">
        <v>3</v>
      </c>
    </row>
    <row r="17" spans="2:14" ht="19" x14ac:dyDescent="0.25">
      <c r="B17" s="8" t="s">
        <v>7</v>
      </c>
      <c r="C17" s="15">
        <v>260260</v>
      </c>
      <c r="D17" s="15">
        <v>260260</v>
      </c>
      <c r="E17" s="15">
        <v>260260</v>
      </c>
      <c r="F17" s="15">
        <v>260260</v>
      </c>
      <c r="G17" s="15">
        <v>260260</v>
      </c>
      <c r="H17" s="15">
        <v>260260</v>
      </c>
      <c r="I17" s="15">
        <v>260260</v>
      </c>
      <c r="J17" s="15">
        <v>260260</v>
      </c>
      <c r="K17" s="15">
        <v>260260</v>
      </c>
      <c r="L17" s="15">
        <v>260260</v>
      </c>
      <c r="M17" s="15">
        <v>260260</v>
      </c>
      <c r="N17" s="16">
        <f>SUM(C17:M17)</f>
        <v>2862860</v>
      </c>
    </row>
    <row r="18" spans="2:14" ht="19" x14ac:dyDescent="0.25">
      <c r="B18" s="17" t="s">
        <v>3</v>
      </c>
      <c r="C18" s="18">
        <f>C17</f>
        <v>260260</v>
      </c>
      <c r="D18" s="18">
        <f t="shared" ref="D18:M18" si="1">D17</f>
        <v>260260</v>
      </c>
      <c r="E18" s="18">
        <f t="shared" si="1"/>
        <v>260260</v>
      </c>
      <c r="F18" s="18">
        <f t="shared" si="1"/>
        <v>260260</v>
      </c>
      <c r="G18" s="18">
        <f t="shared" si="1"/>
        <v>260260</v>
      </c>
      <c r="H18" s="18">
        <f t="shared" si="1"/>
        <v>260260</v>
      </c>
      <c r="I18" s="18">
        <f t="shared" si="1"/>
        <v>260260</v>
      </c>
      <c r="J18" s="18">
        <f t="shared" si="1"/>
        <v>260260</v>
      </c>
      <c r="K18" s="18">
        <f t="shared" si="1"/>
        <v>260260</v>
      </c>
      <c r="L18" s="18">
        <f t="shared" si="1"/>
        <v>260260</v>
      </c>
      <c r="M18" s="18">
        <f t="shared" si="1"/>
        <v>260260</v>
      </c>
      <c r="N18" s="19">
        <f>SUM(C18:M18)</f>
        <v>2862860</v>
      </c>
    </row>
    <row r="19" spans="2:14" ht="19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ht="19" x14ac:dyDescent="0.25">
      <c r="B20" s="8" t="s">
        <v>5</v>
      </c>
      <c r="C20" s="8">
        <v>2018</v>
      </c>
      <c r="D20" s="8">
        <v>2019</v>
      </c>
      <c r="E20" s="8">
        <v>2020</v>
      </c>
      <c r="F20" s="8">
        <v>2021</v>
      </c>
      <c r="G20" s="8">
        <v>2022</v>
      </c>
      <c r="H20" s="8">
        <v>2023</v>
      </c>
      <c r="I20" s="8">
        <v>2024</v>
      </c>
      <c r="J20" s="8">
        <v>2025</v>
      </c>
      <c r="K20" s="8">
        <v>2026</v>
      </c>
      <c r="L20" s="8">
        <v>2027</v>
      </c>
      <c r="M20" s="8">
        <v>2028</v>
      </c>
      <c r="N20" s="8" t="s">
        <v>3</v>
      </c>
    </row>
    <row r="21" spans="2:14" ht="19" x14ac:dyDescent="0.25">
      <c r="B21" s="20" t="s">
        <v>6</v>
      </c>
      <c r="C21" s="21">
        <f>C18/C13</f>
        <v>0.65755962899174014</v>
      </c>
      <c r="D21" s="22">
        <f>D18/D13</f>
        <v>18.222801714636677</v>
      </c>
      <c r="E21" s="22">
        <f>E18/E13</f>
        <v>12.08631136333082</v>
      </c>
      <c r="F21" s="22">
        <f t="shared" ref="F21:M21" si="2">F18/F13</f>
        <v>9.2291654332794195</v>
      </c>
      <c r="G21" s="22">
        <f t="shared" si="2"/>
        <v>7.5466295898233895</v>
      </c>
      <c r="H21" s="22">
        <f t="shared" si="2"/>
        <v>6.4266623910930791</v>
      </c>
      <c r="I21" s="22">
        <f t="shared" si="2"/>
        <v>5.6223478484721099</v>
      </c>
      <c r="J21" s="22">
        <f t="shared" si="2"/>
        <v>5.0139766195400393</v>
      </c>
      <c r="K21" s="22">
        <f t="shared" si="2"/>
        <v>4.5361223801028618</v>
      </c>
      <c r="L21" s="22">
        <f t="shared" si="2"/>
        <v>4.1498559288703092</v>
      </c>
      <c r="M21" s="22">
        <f t="shared" si="2"/>
        <v>3.8304927136732059</v>
      </c>
      <c r="N21" s="21">
        <f>N18/N13</f>
        <v>3.4869221660275502</v>
      </c>
    </row>
    <row r="22" spans="2:14" ht="19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ht="19" x14ac:dyDescent="0.25">
      <c r="B23" s="8" t="s">
        <v>9</v>
      </c>
      <c r="C23" s="8">
        <v>2018</v>
      </c>
      <c r="D23" s="8">
        <v>2019</v>
      </c>
      <c r="E23" s="8">
        <v>2020</v>
      </c>
      <c r="F23" s="8">
        <v>2021</v>
      </c>
      <c r="G23" s="8">
        <v>2022</v>
      </c>
      <c r="H23" s="8">
        <v>2023</v>
      </c>
      <c r="I23" s="8">
        <v>2024</v>
      </c>
      <c r="J23" s="8">
        <v>2025</v>
      </c>
      <c r="K23" s="8">
        <v>2026</v>
      </c>
      <c r="L23" s="8">
        <v>2027</v>
      </c>
      <c r="M23" s="8">
        <v>2028</v>
      </c>
      <c r="N23" s="8" t="s">
        <v>20</v>
      </c>
    </row>
    <row r="24" spans="2:14" ht="19" x14ac:dyDescent="0.25">
      <c r="B24" s="8" t="s">
        <v>10</v>
      </c>
      <c r="C24" s="9">
        <f>(C18-C13)/30</f>
        <v>-4517.893487229745</v>
      </c>
      <c r="D24" s="9">
        <f>(D18-D13)/30</f>
        <v>8199.2631071855485</v>
      </c>
      <c r="E24" s="9">
        <f>(E18-E13)/30</f>
        <v>7957.5516154426459</v>
      </c>
      <c r="F24" s="9">
        <f t="shared" ref="F24:M24" si="3">(F18-F13)/30</f>
        <v>7735.342237058152</v>
      </c>
      <c r="G24" s="9">
        <f t="shared" si="3"/>
        <v>7525.769381628058</v>
      </c>
      <c r="H24" s="9">
        <f t="shared" si="3"/>
        <v>7325.4361697050153</v>
      </c>
      <c r="I24" s="9">
        <f t="shared" si="3"/>
        <v>7132.3243329757906</v>
      </c>
      <c r="J24" s="9">
        <f t="shared" si="3"/>
        <v>6945.1032202680735</v>
      </c>
      <c r="K24" s="9">
        <f t="shared" si="3"/>
        <v>6762.8334917535276</v>
      </c>
      <c r="L24" s="9">
        <f t="shared" si="3"/>
        <v>6584.8189921053554</v>
      </c>
      <c r="M24" s="9">
        <f t="shared" si="3"/>
        <v>6410.5246045851654</v>
      </c>
      <c r="N24" s="23">
        <f>AVERAGE(C24:M24)</f>
        <v>6187.3703332252344</v>
      </c>
    </row>
    <row r="25" spans="2:14" ht="19" x14ac:dyDescent="0.25">
      <c r="B25" s="24" t="s">
        <v>11</v>
      </c>
      <c r="C25" s="25">
        <f>C24/12</f>
        <v>-376.49112393581208</v>
      </c>
      <c r="D25" s="23">
        <f>D24/12</f>
        <v>683.27192559879575</v>
      </c>
      <c r="E25" s="23">
        <f t="shared" ref="E25:M25" si="4">E24/12</f>
        <v>663.1293012868872</v>
      </c>
      <c r="F25" s="23">
        <f t="shared" si="4"/>
        <v>644.61185308817937</v>
      </c>
      <c r="G25" s="23">
        <f t="shared" si="4"/>
        <v>627.14744846900487</v>
      </c>
      <c r="H25" s="23">
        <f t="shared" si="4"/>
        <v>610.45301414208461</v>
      </c>
      <c r="I25" s="23">
        <f t="shared" si="4"/>
        <v>594.36036108131589</v>
      </c>
      <c r="J25" s="23">
        <f t="shared" si="4"/>
        <v>578.75860168900613</v>
      </c>
      <c r="K25" s="23">
        <f t="shared" si="4"/>
        <v>563.56945764612726</v>
      </c>
      <c r="L25" s="23">
        <f t="shared" si="4"/>
        <v>548.73491600877958</v>
      </c>
      <c r="M25" s="23">
        <f t="shared" si="4"/>
        <v>534.21038371543045</v>
      </c>
      <c r="N25" s="25">
        <f>AVERAGE(C25:M25)</f>
        <v>515.61419443543627</v>
      </c>
    </row>
    <row r="28" spans="2:14" x14ac:dyDescent="0.2">
      <c r="B28" s="58" t="s">
        <v>35</v>
      </c>
      <c r="C28" s="58">
        <v>0.23</v>
      </c>
    </row>
    <row r="29" spans="2:14" x14ac:dyDescent="0.2">
      <c r="B29" s="58"/>
      <c r="C29" s="58">
        <v>1.8</v>
      </c>
    </row>
    <row r="31" spans="2:14" x14ac:dyDescent="0.2">
      <c r="B31" s="58" t="s">
        <v>34</v>
      </c>
      <c r="C31" s="58">
        <v>1</v>
      </c>
      <c r="D31" s="58">
        <v>2</v>
      </c>
      <c r="E31" s="58">
        <v>3</v>
      </c>
      <c r="F31" s="58">
        <v>4</v>
      </c>
      <c r="G31" s="58">
        <v>5</v>
      </c>
      <c r="H31" s="58">
        <v>6</v>
      </c>
      <c r="I31" s="58">
        <v>7</v>
      </c>
      <c r="J31" s="58">
        <v>8</v>
      </c>
      <c r="K31" s="58">
        <v>9</v>
      </c>
      <c r="L31" s="58">
        <v>10</v>
      </c>
      <c r="M31" s="58">
        <v>11</v>
      </c>
    </row>
  </sheetData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31"/>
  <sheetViews>
    <sheetView showGridLines="0" zoomScale="92" zoomScaleNormal="92" zoomScalePageLayoutView="92" workbookViewId="0">
      <selection activeCell="C17" sqref="C17"/>
    </sheetView>
  </sheetViews>
  <sheetFormatPr baseColWidth="10" defaultRowHeight="16" x14ac:dyDescent="0.2"/>
  <cols>
    <col min="1" max="1" width="2.83203125" customWidth="1"/>
    <col min="2" max="2" width="41.6640625" customWidth="1"/>
    <col min="3" max="3" width="12.6640625" customWidth="1"/>
    <col min="4" max="12" width="13.1640625" customWidth="1"/>
    <col min="13" max="13" width="15.1640625" customWidth="1"/>
    <col min="14" max="14" width="15" customWidth="1"/>
  </cols>
  <sheetData>
    <row r="6" spans="2:14" ht="19" x14ac:dyDescent="0.25">
      <c r="B6" s="27" t="s">
        <v>32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2:14" ht="19" x14ac:dyDescent="0.25">
      <c r="B7" s="28" t="s">
        <v>18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2:14" ht="19" x14ac:dyDescent="0.25">
      <c r="B8" s="29" t="s">
        <v>17</v>
      </c>
      <c r="C8" s="30" t="s">
        <v>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 ht="19" x14ac:dyDescent="0.25">
      <c r="B9" s="31" t="s">
        <v>0</v>
      </c>
      <c r="C9" s="32">
        <v>2018</v>
      </c>
      <c r="D9" s="32">
        <v>2019</v>
      </c>
      <c r="E9" s="32">
        <v>2020</v>
      </c>
      <c r="F9" s="32">
        <v>2021</v>
      </c>
      <c r="G9" s="32">
        <v>2022</v>
      </c>
      <c r="H9" s="32">
        <v>2023</v>
      </c>
      <c r="I9" s="32">
        <v>2024</v>
      </c>
      <c r="J9" s="32">
        <v>2025</v>
      </c>
      <c r="K9" s="32">
        <v>2026</v>
      </c>
      <c r="L9" s="32">
        <v>2027</v>
      </c>
      <c r="M9" s="32">
        <v>2028</v>
      </c>
      <c r="N9" s="32" t="s">
        <v>3</v>
      </c>
    </row>
    <row r="10" spans="2:14" ht="19" x14ac:dyDescent="0.25">
      <c r="B10" s="31" t="s">
        <v>2</v>
      </c>
      <c r="C10" s="33">
        <v>330000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4">
        <f>SUM(C10:M10)</f>
        <v>330000</v>
      </c>
    </row>
    <row r="11" spans="2:14" ht="19" x14ac:dyDescent="0.25">
      <c r="B11" s="31" t="s">
        <v>15</v>
      </c>
      <c r="C11" s="33">
        <v>60043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4">
        <f>SUM(C11:M11)</f>
        <v>60043</v>
      </c>
    </row>
    <row r="12" spans="2:14" ht="19" x14ac:dyDescent="0.25">
      <c r="B12" s="31" t="s">
        <v>8</v>
      </c>
      <c r="C12" s="33">
        <f>(($C$28*(2808*C31/1000)^$C$29)*($C$10+$C$11))/100</f>
        <v>5753.8046168923502</v>
      </c>
      <c r="D12" s="33">
        <f>((($C$28*(2808*D31/1000)^$C$29)*($C$10+$C$11))/100)-C12</f>
        <v>14282.106784433559</v>
      </c>
      <c r="E12" s="33">
        <f>((($C$28*(2808*E31/1000)^$C$29)*($C$10+$C$11))/100)-D12-C12</f>
        <v>21533.451536720626</v>
      </c>
      <c r="F12" s="33">
        <f>((($C$28*(2808*F31/1000)^$C$29)*($C$10+$C$11))/100)-E12-D12-C12</f>
        <v>28199.732888255454</v>
      </c>
      <c r="G12" s="33">
        <f>((($C$28*(2808*G31/1000)^$C$29)*($C$10+$C$11))/100)-F12-E12-D12-C12</f>
        <v>34486.918551158247</v>
      </c>
      <c r="H12" s="33">
        <f>((($C$28*(2808*H31/1000)^$C$29)*($C$10+$C$11))/100)-G12-F12-E12-D12-C12</f>
        <v>40496.914908849547</v>
      </c>
      <c r="I12" s="33">
        <f>((($C$28*(2808*I31/1000)^$C$29)*($C$10+$C$11))/100)-H12-G12-F12-E12-D12-C12</f>
        <v>46290.270010726279</v>
      </c>
      <c r="J12" s="33">
        <f>((($C$28*(2808*J31/1000)^$C$29)*($C$10+$C$11))/100)-I12-H12-G12-F12-E12-D12-C12</f>
        <v>51906.903391957821</v>
      </c>
      <c r="K12" s="33">
        <f>((($C$28*(2808*K31/1000)^$C$29)*($C$10+$C$11))/100)-J12-I12-H12-G12-F12-E12-D12-C12</f>
        <v>57374.995247394152</v>
      </c>
      <c r="L12" s="33">
        <f>((($C$28*(2808*L31/1000)^$C$29)*($C$10+$C$11))/100)-K12-J12-I12-H12-G12-F12-E12-D12-C12</f>
        <v>62715.430236839355</v>
      </c>
      <c r="M12" s="33">
        <f>((($C$28*(2808*M31/1000)^$C$29)*($C$10+$C$11))/100)-(SUM(C12:L12))</f>
        <v>67944.261862445099</v>
      </c>
      <c r="N12" s="34">
        <f>SUM(C12:M12)</f>
        <v>430984.79003567243</v>
      </c>
    </row>
    <row r="13" spans="2:14" ht="19" x14ac:dyDescent="0.25">
      <c r="B13" s="35" t="s">
        <v>3</v>
      </c>
      <c r="C13" s="34">
        <f t="shared" ref="C13:N13" si="0">SUM(C10:C12)</f>
        <v>395796.80461689236</v>
      </c>
      <c r="D13" s="34">
        <f t="shared" si="0"/>
        <v>14282.106784433559</v>
      </c>
      <c r="E13" s="34">
        <f t="shared" si="0"/>
        <v>21533.451536720626</v>
      </c>
      <c r="F13" s="34">
        <f t="shared" si="0"/>
        <v>28199.732888255454</v>
      </c>
      <c r="G13" s="34">
        <f t="shared" si="0"/>
        <v>34486.918551158247</v>
      </c>
      <c r="H13" s="34">
        <f t="shared" si="0"/>
        <v>40496.914908849547</v>
      </c>
      <c r="I13" s="34">
        <f t="shared" si="0"/>
        <v>46290.270010726279</v>
      </c>
      <c r="J13" s="34">
        <f t="shared" si="0"/>
        <v>51906.903391957821</v>
      </c>
      <c r="K13" s="34">
        <f t="shared" si="0"/>
        <v>57374.995247394152</v>
      </c>
      <c r="L13" s="34">
        <f t="shared" si="0"/>
        <v>62715.430236839355</v>
      </c>
      <c r="M13" s="34">
        <f t="shared" si="0"/>
        <v>67944.261862445099</v>
      </c>
      <c r="N13" s="36">
        <f t="shared" si="0"/>
        <v>821027.79003567249</v>
      </c>
    </row>
    <row r="14" spans="2:14" ht="19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2:14" ht="19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2:14" ht="19" x14ac:dyDescent="0.25">
      <c r="B16" s="37" t="s">
        <v>4</v>
      </c>
      <c r="C16" s="32">
        <v>2018</v>
      </c>
      <c r="D16" s="32">
        <v>2019</v>
      </c>
      <c r="E16" s="32">
        <v>2020</v>
      </c>
      <c r="F16" s="32">
        <v>2021</v>
      </c>
      <c r="G16" s="32">
        <v>2022</v>
      </c>
      <c r="H16" s="32">
        <v>2023</v>
      </c>
      <c r="I16" s="32">
        <v>2024</v>
      </c>
      <c r="J16" s="32">
        <v>2025</v>
      </c>
      <c r="K16" s="32">
        <v>2026</v>
      </c>
      <c r="L16" s="32">
        <v>2027</v>
      </c>
      <c r="M16" s="32">
        <v>2028</v>
      </c>
      <c r="N16" s="32" t="s">
        <v>3</v>
      </c>
    </row>
    <row r="17" spans="2:15" ht="19" x14ac:dyDescent="0.25">
      <c r="B17" s="31" t="s">
        <v>7</v>
      </c>
      <c r="C17" s="38">
        <v>814975.2</v>
      </c>
      <c r="D17" s="38">
        <v>814975.2</v>
      </c>
      <c r="E17" s="38">
        <v>814975.2</v>
      </c>
      <c r="F17" s="38">
        <v>814975.2</v>
      </c>
      <c r="G17" s="38">
        <v>814975.2</v>
      </c>
      <c r="H17" s="38">
        <v>814975.2</v>
      </c>
      <c r="I17" s="38">
        <v>814975.2</v>
      </c>
      <c r="J17" s="38">
        <v>814975.2</v>
      </c>
      <c r="K17" s="38">
        <v>814975.2</v>
      </c>
      <c r="L17" s="38">
        <v>814975.2</v>
      </c>
      <c r="M17" s="38">
        <v>814975.2</v>
      </c>
      <c r="N17" s="39">
        <f>SUM(C17:M17)</f>
        <v>8964727.2000000011</v>
      </c>
    </row>
    <row r="18" spans="2:15" ht="19" x14ac:dyDescent="0.25">
      <c r="B18" s="40" t="s">
        <v>3</v>
      </c>
      <c r="C18" s="41">
        <f>C17</f>
        <v>814975.2</v>
      </c>
      <c r="D18" s="41">
        <f t="shared" ref="D18:M18" si="1">D17</f>
        <v>814975.2</v>
      </c>
      <c r="E18" s="41">
        <f t="shared" si="1"/>
        <v>814975.2</v>
      </c>
      <c r="F18" s="41">
        <f t="shared" si="1"/>
        <v>814975.2</v>
      </c>
      <c r="G18" s="41">
        <f t="shared" si="1"/>
        <v>814975.2</v>
      </c>
      <c r="H18" s="41">
        <f t="shared" si="1"/>
        <v>814975.2</v>
      </c>
      <c r="I18" s="41">
        <f t="shared" si="1"/>
        <v>814975.2</v>
      </c>
      <c r="J18" s="41">
        <f t="shared" si="1"/>
        <v>814975.2</v>
      </c>
      <c r="K18" s="41">
        <f t="shared" si="1"/>
        <v>814975.2</v>
      </c>
      <c r="L18" s="41">
        <f t="shared" si="1"/>
        <v>814975.2</v>
      </c>
      <c r="M18" s="41">
        <f t="shared" si="1"/>
        <v>814975.2</v>
      </c>
      <c r="N18" s="42">
        <f>N17</f>
        <v>8964727.2000000011</v>
      </c>
    </row>
    <row r="19" spans="2:15" ht="19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2:15" ht="19" x14ac:dyDescent="0.25">
      <c r="B20" s="37" t="s">
        <v>5</v>
      </c>
      <c r="C20" s="32">
        <v>2018</v>
      </c>
      <c r="D20" s="32">
        <v>2019</v>
      </c>
      <c r="E20" s="32">
        <v>2020</v>
      </c>
      <c r="F20" s="32">
        <v>2021</v>
      </c>
      <c r="G20" s="32">
        <v>2022</v>
      </c>
      <c r="H20" s="32">
        <v>2023</v>
      </c>
      <c r="I20" s="32">
        <v>2024</v>
      </c>
      <c r="J20" s="32">
        <v>2025</v>
      </c>
      <c r="K20" s="32">
        <v>2026</v>
      </c>
      <c r="L20" s="32">
        <v>2027</v>
      </c>
      <c r="M20" s="32">
        <v>2028</v>
      </c>
      <c r="N20" s="32" t="s">
        <v>3</v>
      </c>
    </row>
    <row r="21" spans="2:15" ht="19" x14ac:dyDescent="0.25">
      <c r="B21" s="43" t="s">
        <v>6</v>
      </c>
      <c r="C21" s="44">
        <f>C18/C13</f>
        <v>2.0590747335336554</v>
      </c>
      <c r="D21" s="56">
        <f>D18/D13</f>
        <v>57.062673756806149</v>
      </c>
      <c r="E21" s="56">
        <f t="shared" ref="E21:M21" si="2">E18/E13</f>
        <v>37.84693775683089</v>
      </c>
      <c r="F21" s="56">
        <f t="shared" si="2"/>
        <v>28.900103530392606</v>
      </c>
      <c r="G21" s="56">
        <f t="shared" si="2"/>
        <v>23.631429951941268</v>
      </c>
      <c r="H21" s="56">
        <f t="shared" si="2"/>
        <v>20.12437742070837</v>
      </c>
      <c r="I21" s="56">
        <f t="shared" si="2"/>
        <v>17.60575602197083</v>
      </c>
      <c r="J21" s="56">
        <f t="shared" si="2"/>
        <v>15.700709284196442</v>
      </c>
      <c r="K21" s="56">
        <f t="shared" si="2"/>
        <v>14.204361960919105</v>
      </c>
      <c r="L21" s="56">
        <f t="shared" si="2"/>
        <v>12.99481159456799</v>
      </c>
      <c r="M21" s="56">
        <f t="shared" si="2"/>
        <v>11.994761259603322</v>
      </c>
      <c r="N21" s="44">
        <f>N18/N13</f>
        <v>10.918908359497182</v>
      </c>
      <c r="O21" s="3"/>
    </row>
    <row r="22" spans="2:15" ht="19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2:15" ht="19" x14ac:dyDescent="0.25">
      <c r="B23" s="37" t="s">
        <v>9</v>
      </c>
      <c r="C23" s="32">
        <v>2018</v>
      </c>
      <c r="D23" s="32">
        <v>2019</v>
      </c>
      <c r="E23" s="32">
        <v>2020</v>
      </c>
      <c r="F23" s="32">
        <v>2021</v>
      </c>
      <c r="G23" s="32">
        <v>2022</v>
      </c>
      <c r="H23" s="32">
        <v>2023</v>
      </c>
      <c r="I23" s="32">
        <v>2024</v>
      </c>
      <c r="J23" s="32">
        <v>2025</v>
      </c>
      <c r="K23" s="32">
        <v>2026</v>
      </c>
      <c r="L23" s="32">
        <v>2027</v>
      </c>
      <c r="M23" s="32">
        <v>2028</v>
      </c>
      <c r="N23" s="32" t="s">
        <v>20</v>
      </c>
    </row>
    <row r="24" spans="2:15" ht="19" x14ac:dyDescent="0.25">
      <c r="B24" s="31" t="s">
        <v>10</v>
      </c>
      <c r="C24" s="33">
        <f>(C18-C13)/30</f>
        <v>13972.613179436919</v>
      </c>
      <c r="D24" s="33">
        <f>(D18-D13)/30</f>
        <v>26689.769773852211</v>
      </c>
      <c r="E24" s="33">
        <f t="shared" ref="E24:M24" si="3">(E18-E13)/30</f>
        <v>26448.058282109312</v>
      </c>
      <c r="F24" s="33">
        <f t="shared" si="3"/>
        <v>26225.848903724815</v>
      </c>
      <c r="G24" s="33">
        <f t="shared" si="3"/>
        <v>26016.276048294723</v>
      </c>
      <c r="H24" s="33">
        <f t="shared" si="3"/>
        <v>25815.94283637168</v>
      </c>
      <c r="I24" s="33">
        <f t="shared" si="3"/>
        <v>25622.830999642454</v>
      </c>
      <c r="J24" s="33">
        <f t="shared" si="3"/>
        <v>25435.609886934737</v>
      </c>
      <c r="K24" s="33">
        <f t="shared" si="3"/>
        <v>25253.340158420193</v>
      </c>
      <c r="L24" s="33">
        <f t="shared" si="3"/>
        <v>25075.325658772021</v>
      </c>
      <c r="M24" s="33">
        <f t="shared" si="3"/>
        <v>24901.031271251828</v>
      </c>
      <c r="N24" s="46">
        <f>AVERAGE(C24:M24)</f>
        <v>24677.876999891902</v>
      </c>
    </row>
    <row r="25" spans="2:15" ht="19" x14ac:dyDescent="0.25">
      <c r="B25" s="47" t="s">
        <v>11</v>
      </c>
      <c r="C25" s="48">
        <f>C24/12</f>
        <v>1164.3844316197433</v>
      </c>
      <c r="D25" s="49">
        <f>D24/12</f>
        <v>2224.1474811543508</v>
      </c>
      <c r="E25" s="50">
        <f t="shared" ref="E25:M25" si="4">E24/12</f>
        <v>2204.0048568424427</v>
      </c>
      <c r="F25" s="49">
        <f t="shared" si="4"/>
        <v>2185.4874086437344</v>
      </c>
      <c r="G25" s="50">
        <f t="shared" si="4"/>
        <v>2168.0230040245601</v>
      </c>
      <c r="H25" s="49">
        <f t="shared" si="4"/>
        <v>2151.32856969764</v>
      </c>
      <c r="I25" s="50">
        <f t="shared" si="4"/>
        <v>2135.235916636871</v>
      </c>
      <c r="J25" s="49">
        <f t="shared" si="4"/>
        <v>2119.6341572445613</v>
      </c>
      <c r="K25" s="50">
        <f t="shared" si="4"/>
        <v>2104.4450132016827</v>
      </c>
      <c r="L25" s="49">
        <f t="shared" si="4"/>
        <v>2089.6104715643351</v>
      </c>
      <c r="M25" s="50">
        <f t="shared" si="4"/>
        <v>2075.0859392709858</v>
      </c>
      <c r="N25" s="51">
        <f>AVERAGE(C25:M25)</f>
        <v>2056.4897499909916</v>
      </c>
    </row>
    <row r="28" spans="2:15" x14ac:dyDescent="0.2">
      <c r="B28" s="58" t="s">
        <v>35</v>
      </c>
      <c r="C28" s="58">
        <v>0.23</v>
      </c>
    </row>
    <row r="29" spans="2:15" x14ac:dyDescent="0.2">
      <c r="B29" s="58"/>
      <c r="C29" s="58">
        <v>1.8</v>
      </c>
    </row>
    <row r="31" spans="2:15" x14ac:dyDescent="0.2">
      <c r="B31" s="58" t="s">
        <v>34</v>
      </c>
      <c r="C31" s="58">
        <v>1</v>
      </c>
      <c r="D31" s="58">
        <v>2</v>
      </c>
      <c r="E31" s="58">
        <v>3</v>
      </c>
      <c r="F31" s="58">
        <v>4</v>
      </c>
      <c r="G31" s="58">
        <v>5</v>
      </c>
      <c r="H31" s="58">
        <v>6</v>
      </c>
      <c r="I31" s="58">
        <v>7</v>
      </c>
      <c r="J31" s="58">
        <v>8</v>
      </c>
      <c r="K31" s="58">
        <v>9</v>
      </c>
      <c r="L31" s="58">
        <v>10</v>
      </c>
      <c r="M31" s="58">
        <v>11</v>
      </c>
    </row>
  </sheetData>
  <pageMargins left="0.75" right="0.75" top="1" bottom="1" header="0.5" footer="0.5"/>
  <pageSetup orientation="portrait" horizontalDpi="4294967292" verticalDpi="4294967292"/>
  <ignoredErrors>
    <ignoredError sqref="C13:M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37"/>
  <sheetViews>
    <sheetView showGridLines="0" topLeftCell="A7" zoomScale="92" zoomScaleNormal="92" zoomScalePageLayoutView="92" workbookViewId="0">
      <selection activeCell="C37" sqref="C37"/>
    </sheetView>
  </sheetViews>
  <sheetFormatPr baseColWidth="10" defaultRowHeight="16" x14ac:dyDescent="0.2"/>
  <cols>
    <col min="2" max="2" width="25.6640625" customWidth="1"/>
    <col min="3" max="3" width="12.6640625" customWidth="1"/>
    <col min="4" max="13" width="11.83203125" bestFit="1" customWidth="1"/>
    <col min="14" max="14" width="13.6640625" customWidth="1"/>
  </cols>
  <sheetData>
    <row r="5" spans="2:14" ht="19" x14ac:dyDescent="0.25">
      <c r="B5" s="57" t="s">
        <v>31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9" x14ac:dyDescent="0.25">
      <c r="B6" s="6" t="s">
        <v>23</v>
      </c>
      <c r="C6" s="7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ht="19" x14ac:dyDescent="0.25">
      <c r="B7" s="8" t="s">
        <v>0</v>
      </c>
      <c r="C7" s="8">
        <v>2018</v>
      </c>
      <c r="D7" s="8">
        <v>2019</v>
      </c>
      <c r="E7" s="8">
        <v>2020</v>
      </c>
      <c r="F7" s="8">
        <v>2021</v>
      </c>
      <c r="G7" s="8">
        <v>2022</v>
      </c>
      <c r="H7" s="8">
        <v>2023</v>
      </c>
      <c r="I7" s="8">
        <v>2024</v>
      </c>
      <c r="J7" s="8">
        <v>2025</v>
      </c>
      <c r="K7" s="8">
        <v>2026</v>
      </c>
      <c r="L7" s="8">
        <v>2027</v>
      </c>
      <c r="M7" s="8">
        <v>2028</v>
      </c>
      <c r="N7" s="8" t="s">
        <v>3</v>
      </c>
    </row>
    <row r="8" spans="2:14" ht="19" x14ac:dyDescent="0.25">
      <c r="B8" s="8" t="s">
        <v>2</v>
      </c>
      <c r="C8" s="9">
        <v>6692.5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1">
        <f>SUM(C8:M8)</f>
        <v>6692.5</v>
      </c>
    </row>
    <row r="9" spans="2:14" ht="19" x14ac:dyDescent="0.25">
      <c r="B9" s="8" t="s">
        <v>8</v>
      </c>
      <c r="C9" s="9">
        <f>(($C$25*(2808*C28/1000)^$C$26)*($C$8))/100</f>
        <v>98.725877399548409</v>
      </c>
      <c r="D9" s="9">
        <f>((($C$25*(2808*D28/1000)^$C$26)*($C$8))/100)-C9</f>
        <v>245.05759532877548</v>
      </c>
      <c r="E9" s="9">
        <f>((($C$25*(2808*E28/1000)^$C$26)*($C$8))/100)-D9-C9</f>
        <v>369.47881236043929</v>
      </c>
      <c r="F9" s="9">
        <f>((($C$25*(2808*F28/1000)^$C$26)*($C$8))/100)-E9-D9-C9</f>
        <v>483.86129825339674</v>
      </c>
      <c r="G9" s="9">
        <f>((($C$25*(2808*G28/1000)^$C$26)*($C$8))/100)-F9-E9-D9-C9</f>
        <v>591.73912210609262</v>
      </c>
      <c r="H9" s="9">
        <f>((($C$25*(2808*H28/1000)^$C$26)*($C$8))/100)-G9-F9-E9-D9-C9</f>
        <v>694.86083079936179</v>
      </c>
      <c r="I9" s="9">
        <f>((($C$25*(2808*I28/1000)^$C$26)*($C$8))/100)-H9-G9-F9-E9-D9-C9</f>
        <v>794.26532984000687</v>
      </c>
      <c r="J9" s="9">
        <f>((($C$25*(2808*J28/1000)^$C$26)*($C$8))/100)-I9-H9-G9-F9-E9-D9-C9</f>
        <v>890.63757316674673</v>
      </c>
      <c r="K9" s="9">
        <f>((($C$25*(2808*K28/1000)^$C$26)*($C$8))/100)-J9-I9-H9-G9-F9-E9-D9-C9</f>
        <v>984.46108683705552</v>
      </c>
      <c r="L9" s="9">
        <f>((($C$25*(2808*L28/1000)^$C$26)*($C$8))/100)-K9-J9-I9-H9-G9-F9-E9-D9-C9</f>
        <v>1076.094217458196</v>
      </c>
      <c r="M9" s="9">
        <f>((($C$25*(2808*M28/1000)^$C$26)*($C$8))/100)-L9-K9-J9-I9-H9-G9-F9-E9-D9-C9</f>
        <v>1165.8124168730455</v>
      </c>
      <c r="N9" s="11">
        <f>SUM(C9:M9)</f>
        <v>7394.9941604226651</v>
      </c>
    </row>
    <row r="10" spans="2:14" ht="19" x14ac:dyDescent="0.25">
      <c r="B10" s="12" t="s">
        <v>3</v>
      </c>
      <c r="C10" s="11">
        <f t="shared" ref="C10:M10" si="0">SUM(C8:C9)</f>
        <v>6791.2258773995482</v>
      </c>
      <c r="D10" s="11">
        <f t="shared" si="0"/>
        <v>245.05759532877548</v>
      </c>
      <c r="E10" s="11">
        <f t="shared" si="0"/>
        <v>369.47881236043929</v>
      </c>
      <c r="F10" s="11">
        <f t="shared" si="0"/>
        <v>483.86129825339674</v>
      </c>
      <c r="G10" s="11">
        <f t="shared" si="0"/>
        <v>591.73912210609262</v>
      </c>
      <c r="H10" s="11">
        <f t="shared" si="0"/>
        <v>694.86083079936179</v>
      </c>
      <c r="I10" s="11">
        <f t="shared" si="0"/>
        <v>794.26532984000687</v>
      </c>
      <c r="J10" s="11">
        <f t="shared" si="0"/>
        <v>890.63757316674673</v>
      </c>
      <c r="K10" s="11">
        <f t="shared" si="0"/>
        <v>984.46108683705552</v>
      </c>
      <c r="L10" s="11">
        <f t="shared" si="0"/>
        <v>1076.094217458196</v>
      </c>
      <c r="M10" s="11">
        <f t="shared" si="0"/>
        <v>1165.8124168730455</v>
      </c>
      <c r="N10" s="14">
        <f>SUM(N8:N9)</f>
        <v>14087.494160422666</v>
      </c>
    </row>
    <row r="11" spans="2:14" ht="19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14" ht="19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2:14" ht="19" x14ac:dyDescent="0.25">
      <c r="B13" s="8" t="s">
        <v>4</v>
      </c>
      <c r="C13" s="8">
        <v>2018</v>
      </c>
      <c r="D13" s="8">
        <v>2019</v>
      </c>
      <c r="E13" s="8">
        <v>2020</v>
      </c>
      <c r="F13" s="8">
        <v>2021</v>
      </c>
      <c r="G13" s="8">
        <v>2022</v>
      </c>
      <c r="H13" s="8">
        <v>2023</v>
      </c>
      <c r="I13" s="8">
        <v>2024</v>
      </c>
      <c r="J13" s="8">
        <v>2025</v>
      </c>
      <c r="K13" s="8">
        <v>2026</v>
      </c>
      <c r="L13" s="8">
        <v>2027</v>
      </c>
      <c r="M13" s="8">
        <v>2028</v>
      </c>
      <c r="N13" s="8" t="s">
        <v>3</v>
      </c>
    </row>
    <row r="14" spans="2:14" ht="19" x14ac:dyDescent="0.25">
      <c r="B14" s="8" t="s">
        <v>7</v>
      </c>
      <c r="C14" s="15">
        <f>C37</f>
        <v>10185.278382998818</v>
      </c>
      <c r="D14" s="15">
        <f>C14</f>
        <v>10185.278382998818</v>
      </c>
      <c r="E14" s="15">
        <f>D14</f>
        <v>10185.278382998818</v>
      </c>
      <c r="F14" s="15">
        <f>E14</f>
        <v>10185.278382998818</v>
      </c>
      <c r="G14" s="15">
        <f t="shared" ref="G14:M14" si="1">F14</f>
        <v>10185.278382998818</v>
      </c>
      <c r="H14" s="15">
        <f t="shared" si="1"/>
        <v>10185.278382998818</v>
      </c>
      <c r="I14" s="15">
        <f t="shared" si="1"/>
        <v>10185.278382998818</v>
      </c>
      <c r="J14" s="15">
        <f t="shared" si="1"/>
        <v>10185.278382998818</v>
      </c>
      <c r="K14" s="15">
        <f t="shared" si="1"/>
        <v>10185.278382998818</v>
      </c>
      <c r="L14" s="15">
        <f t="shared" si="1"/>
        <v>10185.278382998818</v>
      </c>
      <c r="M14" s="15">
        <f t="shared" si="1"/>
        <v>10185.278382998818</v>
      </c>
      <c r="N14" s="16">
        <f>SUM(C14:M14)</f>
        <v>112038.062212987</v>
      </c>
    </row>
    <row r="15" spans="2:14" ht="19" x14ac:dyDescent="0.25">
      <c r="B15" s="17" t="s">
        <v>3</v>
      </c>
      <c r="C15" s="18">
        <f>C14</f>
        <v>10185.278382998818</v>
      </c>
      <c r="D15" s="18">
        <f t="shared" ref="D15:M15" si="2">D14</f>
        <v>10185.278382998818</v>
      </c>
      <c r="E15" s="18">
        <f t="shared" si="2"/>
        <v>10185.278382998818</v>
      </c>
      <c r="F15" s="18">
        <f t="shared" si="2"/>
        <v>10185.278382998818</v>
      </c>
      <c r="G15" s="18">
        <f t="shared" si="2"/>
        <v>10185.278382998818</v>
      </c>
      <c r="H15" s="18">
        <f t="shared" si="2"/>
        <v>10185.278382998818</v>
      </c>
      <c r="I15" s="18">
        <f t="shared" si="2"/>
        <v>10185.278382998818</v>
      </c>
      <c r="J15" s="18">
        <f t="shared" si="2"/>
        <v>10185.278382998818</v>
      </c>
      <c r="K15" s="18">
        <f t="shared" si="2"/>
        <v>10185.278382998818</v>
      </c>
      <c r="L15" s="18">
        <f t="shared" si="2"/>
        <v>10185.278382998818</v>
      </c>
      <c r="M15" s="18">
        <f t="shared" si="2"/>
        <v>10185.278382998818</v>
      </c>
      <c r="N15" s="19">
        <f>SUM(C15:M15)</f>
        <v>112038.062212987</v>
      </c>
    </row>
    <row r="16" spans="2:14" ht="19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5" ht="19" x14ac:dyDescent="0.25">
      <c r="B17" s="8" t="s">
        <v>5</v>
      </c>
      <c r="C17" s="8">
        <v>2018</v>
      </c>
      <c r="D17" s="8">
        <v>2019</v>
      </c>
      <c r="E17" s="8">
        <v>2020</v>
      </c>
      <c r="F17" s="8">
        <v>2021</v>
      </c>
      <c r="G17" s="8">
        <v>2022</v>
      </c>
      <c r="H17" s="8">
        <v>2023</v>
      </c>
      <c r="I17" s="8">
        <v>2024</v>
      </c>
      <c r="J17" s="8">
        <v>2025</v>
      </c>
      <c r="K17" s="8">
        <v>2026</v>
      </c>
      <c r="L17" s="8">
        <v>2027</v>
      </c>
      <c r="M17" s="8">
        <v>2028</v>
      </c>
      <c r="N17" s="8" t="s">
        <v>3</v>
      </c>
    </row>
    <row r="18" spans="2:15" ht="19" x14ac:dyDescent="0.25">
      <c r="B18" s="20" t="s">
        <v>6</v>
      </c>
      <c r="C18" s="21">
        <f>C15/C10</f>
        <v>1.4997702280665268</v>
      </c>
      <c r="D18" s="22">
        <f>D15/D10</f>
        <v>41.562794123291674</v>
      </c>
      <c r="E18" s="22">
        <f>E15/E10</f>
        <v>27.566610160754575</v>
      </c>
      <c r="F18" s="22">
        <f t="shared" ref="F18:L18" si="3">F15/F10</f>
        <v>21.049995979766951</v>
      </c>
      <c r="G18" s="22">
        <f t="shared" si="3"/>
        <v>17.212447178999778</v>
      </c>
      <c r="H18" s="22">
        <f t="shared" si="3"/>
        <v>14.658011981020378</v>
      </c>
      <c r="I18" s="22">
        <f t="shared" si="3"/>
        <v>12.823521310001651</v>
      </c>
      <c r="J18" s="22">
        <f t="shared" si="3"/>
        <v>11.435940600152417</v>
      </c>
      <c r="K18" s="22">
        <f t="shared" si="3"/>
        <v>10.346044672748603</v>
      </c>
      <c r="L18" s="22">
        <f t="shared" si="3"/>
        <v>9.4650433184717819</v>
      </c>
      <c r="M18" s="22">
        <f>M15/M10</f>
        <v>8.7366357019235394</v>
      </c>
      <c r="N18" s="21">
        <f>N15/N10</f>
        <v>7.9530156986858715</v>
      </c>
      <c r="O18" s="3"/>
    </row>
    <row r="19" spans="2:15" ht="19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5" ht="19" x14ac:dyDescent="0.25">
      <c r="B20" s="8" t="s">
        <v>9</v>
      </c>
      <c r="C20" s="8">
        <v>2018</v>
      </c>
      <c r="D20" s="8">
        <v>2019</v>
      </c>
      <c r="E20" s="8">
        <v>2020</v>
      </c>
      <c r="F20" s="8">
        <v>2021</v>
      </c>
      <c r="G20" s="8">
        <v>2022</v>
      </c>
      <c r="H20" s="8">
        <v>2023</v>
      </c>
      <c r="I20" s="8">
        <v>2024</v>
      </c>
      <c r="J20" s="8">
        <v>2025</v>
      </c>
      <c r="K20" s="8">
        <v>2026</v>
      </c>
      <c r="L20" s="8">
        <v>2027</v>
      </c>
      <c r="M20" s="8">
        <v>2028</v>
      </c>
      <c r="N20" s="8" t="s">
        <v>20</v>
      </c>
    </row>
    <row r="21" spans="2:15" ht="19" x14ac:dyDescent="0.25">
      <c r="B21" s="8" t="s">
        <v>10</v>
      </c>
      <c r="C21" s="9">
        <f>(C15-C10)/30</f>
        <v>113.13508351997568</v>
      </c>
      <c r="D21" s="9">
        <f>(D15-D10)/30</f>
        <v>331.34069292233477</v>
      </c>
      <c r="E21" s="9">
        <f>(E15-E10)/30</f>
        <v>327.19331902127931</v>
      </c>
      <c r="F21" s="9">
        <f t="shared" ref="F21:L21" si="4">(F15-F10)/30</f>
        <v>323.38056949151411</v>
      </c>
      <c r="G21" s="9">
        <f t="shared" si="4"/>
        <v>319.78464202975749</v>
      </c>
      <c r="H21" s="9">
        <f t="shared" si="4"/>
        <v>316.34725173998191</v>
      </c>
      <c r="I21" s="9">
        <f t="shared" si="4"/>
        <v>313.03376843862702</v>
      </c>
      <c r="J21" s="9">
        <f t="shared" si="4"/>
        <v>309.8213603277357</v>
      </c>
      <c r="K21" s="9">
        <f t="shared" si="4"/>
        <v>306.69390987205878</v>
      </c>
      <c r="L21" s="9">
        <f t="shared" si="4"/>
        <v>303.63947218468741</v>
      </c>
      <c r="M21" s="9">
        <f>(M15-M10)/30</f>
        <v>300.64886553752575</v>
      </c>
      <c r="N21" s="23">
        <f>AVERAGE(C21:M21)</f>
        <v>296.81990318958884</v>
      </c>
    </row>
    <row r="22" spans="2:15" ht="19" x14ac:dyDescent="0.25">
      <c r="B22" s="24" t="s">
        <v>11</v>
      </c>
      <c r="C22" s="25">
        <f>C21/12</f>
        <v>9.42792362666464</v>
      </c>
      <c r="D22" s="23">
        <f>D21/12</f>
        <v>27.611724410194565</v>
      </c>
      <c r="E22" s="23">
        <f t="shared" ref="E22:M22" si="5">E21/12</f>
        <v>27.266109918439941</v>
      </c>
      <c r="F22" s="23">
        <f t="shared" si="5"/>
        <v>26.948380790959508</v>
      </c>
      <c r="G22" s="23">
        <f t="shared" si="5"/>
        <v>26.648720169146458</v>
      </c>
      <c r="H22" s="23">
        <f t="shared" si="5"/>
        <v>26.362270978331825</v>
      </c>
      <c r="I22" s="23">
        <f t="shared" si="5"/>
        <v>26.086147369885584</v>
      </c>
      <c r="J22" s="23">
        <f t="shared" si="5"/>
        <v>25.818446693977975</v>
      </c>
      <c r="K22" s="23">
        <f t="shared" si="5"/>
        <v>25.557825822671564</v>
      </c>
      <c r="L22" s="23">
        <f t="shared" si="5"/>
        <v>25.303289348723951</v>
      </c>
      <c r="M22" s="23">
        <f t="shared" si="5"/>
        <v>25.054072128127146</v>
      </c>
      <c r="N22" s="25">
        <f>AVERAGE(C22:M22)</f>
        <v>24.734991932465743</v>
      </c>
    </row>
    <row r="25" spans="2:15" x14ac:dyDescent="0.2">
      <c r="B25" s="58" t="s">
        <v>35</v>
      </c>
      <c r="C25" s="58">
        <v>0.23</v>
      </c>
    </row>
    <row r="26" spans="2:15" x14ac:dyDescent="0.2">
      <c r="B26" s="58"/>
      <c r="C26" s="58">
        <v>1.8</v>
      </c>
    </row>
    <row r="28" spans="2:15" x14ac:dyDescent="0.2">
      <c r="B28" s="58" t="s">
        <v>34</v>
      </c>
      <c r="C28" s="58">
        <v>1</v>
      </c>
      <c r="D28" s="58">
        <v>2</v>
      </c>
      <c r="E28" s="58">
        <v>3</v>
      </c>
      <c r="F28" s="58">
        <v>4</v>
      </c>
      <c r="G28" s="58">
        <v>5</v>
      </c>
      <c r="H28" s="58">
        <v>6</v>
      </c>
      <c r="I28" s="58">
        <v>7</v>
      </c>
      <c r="J28" s="58">
        <v>8</v>
      </c>
      <c r="K28" s="58">
        <v>9</v>
      </c>
      <c r="L28" s="58">
        <v>10</v>
      </c>
      <c r="M28" s="58">
        <v>11</v>
      </c>
    </row>
    <row r="30" spans="2:15" x14ac:dyDescent="0.2">
      <c r="B30" s="58" t="s">
        <v>37</v>
      </c>
      <c r="C30" s="58">
        <v>1.2E-2</v>
      </c>
    </row>
    <row r="31" spans="2:15" x14ac:dyDescent="0.2">
      <c r="B31" s="58" t="s">
        <v>24</v>
      </c>
      <c r="C31" s="58">
        <v>2.4E-2</v>
      </c>
    </row>
    <row r="32" spans="2:15" x14ac:dyDescent="0.2">
      <c r="B32" s="58" t="s">
        <v>25</v>
      </c>
      <c r="C32" s="58">
        <f>C31*60</f>
        <v>1.44</v>
      </c>
    </row>
    <row r="33" spans="2:3" x14ac:dyDescent="0.2">
      <c r="B33" s="58" t="s">
        <v>26</v>
      </c>
      <c r="C33" s="58">
        <f>C32*9</f>
        <v>12.959999999999999</v>
      </c>
    </row>
    <row r="34" spans="2:3" x14ac:dyDescent="0.2">
      <c r="B34" s="58" t="s">
        <v>27</v>
      </c>
      <c r="C34" s="58">
        <f>C33*6</f>
        <v>77.759999999999991</v>
      </c>
    </row>
    <row r="35" spans="2:3" x14ac:dyDescent="0.2">
      <c r="B35" s="58" t="s">
        <v>28</v>
      </c>
      <c r="C35" s="58">
        <v>4235</v>
      </c>
    </row>
    <row r="36" spans="2:3" x14ac:dyDescent="0.2">
      <c r="B36" s="58" t="s">
        <v>29</v>
      </c>
      <c r="C36" s="58">
        <f>C34/C35</f>
        <v>1.8361275088547815E-2</v>
      </c>
    </row>
    <row r="37" spans="2:3" x14ac:dyDescent="0.2">
      <c r="B37" s="58" t="s">
        <v>30</v>
      </c>
      <c r="C37" s="58">
        <f>554715.2*C36</f>
        <v>10185.278382998818</v>
      </c>
    </row>
  </sheetData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25"/>
  <sheetViews>
    <sheetView showGridLines="0" topLeftCell="A5" zoomScale="115" zoomScaleNormal="115" zoomScalePageLayoutView="115" workbookViewId="0">
      <selection activeCell="E3" sqref="E3"/>
    </sheetView>
  </sheetViews>
  <sheetFormatPr baseColWidth="10" defaultRowHeight="16" x14ac:dyDescent="0.2"/>
  <cols>
    <col min="2" max="2" width="25.33203125" customWidth="1"/>
  </cols>
  <sheetData>
    <row r="8" spans="2:14" ht="19" x14ac:dyDescent="0.25">
      <c r="B8" s="57" t="s">
        <v>21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ht="19" x14ac:dyDescent="0.25">
      <c r="B9" s="6" t="s">
        <v>22</v>
      </c>
      <c r="C9" s="7" t="s">
        <v>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19" x14ac:dyDescent="0.25">
      <c r="B10" s="8" t="s">
        <v>0</v>
      </c>
      <c r="C10" s="8">
        <v>2018</v>
      </c>
      <c r="D10" s="8">
        <v>2019</v>
      </c>
      <c r="E10" s="8">
        <v>2020</v>
      </c>
      <c r="F10" s="8">
        <v>2021</v>
      </c>
      <c r="G10" s="8">
        <v>2022</v>
      </c>
      <c r="H10" s="8">
        <v>2023</v>
      </c>
      <c r="I10" s="8">
        <v>2024</v>
      </c>
      <c r="J10" s="8">
        <v>2025</v>
      </c>
      <c r="K10" s="8">
        <v>2026</v>
      </c>
      <c r="L10" s="8">
        <v>2027</v>
      </c>
      <c r="M10" s="8">
        <v>2028</v>
      </c>
      <c r="N10" s="8" t="s">
        <v>3</v>
      </c>
    </row>
    <row r="11" spans="2:14" ht="19" x14ac:dyDescent="0.25">
      <c r="B11" s="8" t="s">
        <v>2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spans="2:14" ht="19" x14ac:dyDescent="0.25">
      <c r="B12" s="8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spans="2:14" ht="19" x14ac:dyDescent="0.25">
      <c r="B13" s="12" t="s">
        <v>3</v>
      </c>
      <c r="C13" s="1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</row>
    <row r="14" spans="2:14" ht="19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2:14" ht="19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4" ht="19" x14ac:dyDescent="0.25">
      <c r="B16" s="8" t="s">
        <v>4</v>
      </c>
      <c r="C16" s="8">
        <v>2018</v>
      </c>
      <c r="D16" s="8">
        <v>2019</v>
      </c>
      <c r="E16" s="8">
        <v>2020</v>
      </c>
      <c r="F16" s="8">
        <v>2021</v>
      </c>
      <c r="G16" s="8">
        <v>2022</v>
      </c>
      <c r="H16" s="8">
        <v>2023</v>
      </c>
      <c r="I16" s="8">
        <v>2024</v>
      </c>
      <c r="J16" s="8">
        <v>2025</v>
      </c>
      <c r="K16" s="8">
        <v>2026</v>
      </c>
      <c r="L16" s="8">
        <v>2027</v>
      </c>
      <c r="M16" s="8">
        <v>2028</v>
      </c>
      <c r="N16" s="8" t="s">
        <v>3</v>
      </c>
    </row>
    <row r="17" spans="2:14" ht="19" x14ac:dyDescent="0.25">
      <c r="B17" s="8" t="s">
        <v>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</row>
    <row r="18" spans="2:14" ht="19" x14ac:dyDescent="0.25">
      <c r="B18" s="17" t="s">
        <v>3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</row>
    <row r="19" spans="2:14" ht="19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ht="19" x14ac:dyDescent="0.25">
      <c r="B20" s="8" t="s">
        <v>5</v>
      </c>
      <c r="C20" s="8">
        <v>2018</v>
      </c>
      <c r="D20" s="8">
        <v>2019</v>
      </c>
      <c r="E20" s="8">
        <v>2020</v>
      </c>
      <c r="F20" s="8">
        <v>2021</v>
      </c>
      <c r="G20" s="8">
        <v>2022</v>
      </c>
      <c r="H20" s="8">
        <v>2023</v>
      </c>
      <c r="I20" s="8">
        <v>2024</v>
      </c>
      <c r="J20" s="8">
        <v>2025</v>
      </c>
      <c r="K20" s="8">
        <v>2026</v>
      </c>
      <c r="L20" s="8">
        <v>2027</v>
      </c>
      <c r="M20" s="8">
        <v>2028</v>
      </c>
      <c r="N20" s="8" t="s">
        <v>3</v>
      </c>
    </row>
    <row r="21" spans="2:14" ht="19" x14ac:dyDescent="0.25">
      <c r="B21" s="20" t="s">
        <v>6</v>
      </c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1"/>
    </row>
    <row r="22" spans="2:14" ht="19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ht="19" x14ac:dyDescent="0.25">
      <c r="B23" s="8" t="s">
        <v>9</v>
      </c>
      <c r="C23" s="8">
        <v>2018</v>
      </c>
      <c r="D23" s="8">
        <v>2019</v>
      </c>
      <c r="E23" s="8">
        <v>2020</v>
      </c>
      <c r="F23" s="8">
        <v>2021</v>
      </c>
      <c r="G23" s="8">
        <v>2022</v>
      </c>
      <c r="H23" s="8">
        <v>2023</v>
      </c>
      <c r="I23" s="8">
        <v>2024</v>
      </c>
      <c r="J23" s="8">
        <v>2025</v>
      </c>
      <c r="K23" s="8">
        <v>2026</v>
      </c>
      <c r="L23" s="8">
        <v>2027</v>
      </c>
      <c r="M23" s="8">
        <v>2028</v>
      </c>
      <c r="N23" s="8" t="s">
        <v>20</v>
      </c>
    </row>
    <row r="24" spans="2:14" ht="19" x14ac:dyDescent="0.25">
      <c r="B24" s="8" t="s">
        <v>10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23"/>
    </row>
    <row r="25" spans="2:14" ht="19" x14ac:dyDescent="0.25">
      <c r="B25" s="24" t="s">
        <v>11</v>
      </c>
      <c r="C25" s="25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5"/>
    </row>
  </sheetData>
  <pageMargins left="0.75" right="0.75" top="1" bottom="1" header="0.5" footer="0.5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I17" sqref="I17"/>
    </sheetView>
  </sheetViews>
  <sheetFormatPr baseColWidth="10" defaultRowHeight="16" x14ac:dyDescent="0.2"/>
  <cols>
    <col min="1" max="1" width="20.83203125" customWidth="1"/>
    <col min="2" max="2" width="22.83203125" customWidth="1"/>
    <col min="3" max="3" width="25.33203125" customWidth="1"/>
    <col min="4" max="4" width="24" customWidth="1"/>
    <col min="5" max="5" width="29" customWidth="1"/>
    <col min="6" max="6" width="31.1640625" customWidth="1"/>
    <col min="7" max="7" width="30.5" customWidth="1"/>
    <col min="8" max="8" width="33.5" customWidth="1"/>
    <col min="9" max="9" width="52.6640625" customWidth="1"/>
  </cols>
  <sheetData>
    <row r="1" spans="1:9" x14ac:dyDescent="0.2">
      <c r="A1" s="59" t="s">
        <v>21</v>
      </c>
      <c r="B1" s="62" t="s">
        <v>38</v>
      </c>
      <c r="C1" s="60" t="s">
        <v>49</v>
      </c>
      <c r="D1" s="60" t="s">
        <v>48</v>
      </c>
      <c r="E1" s="60" t="s">
        <v>45</v>
      </c>
      <c r="F1" s="61" t="s">
        <v>46</v>
      </c>
      <c r="G1" s="61" t="s">
        <v>47</v>
      </c>
      <c r="H1" s="61" t="s">
        <v>52</v>
      </c>
      <c r="I1" s="78" t="s">
        <v>60</v>
      </c>
    </row>
    <row r="2" spans="1:9" x14ac:dyDescent="0.2">
      <c r="A2" s="58" t="s">
        <v>39</v>
      </c>
      <c r="B2" s="58">
        <v>385</v>
      </c>
      <c r="C2" s="63">
        <v>5</v>
      </c>
      <c r="D2" s="63">
        <f t="shared" ref="D2:D7" si="0">C2*B2</f>
        <v>1925</v>
      </c>
      <c r="E2" s="65">
        <f t="shared" ref="E2:E7" si="1">D2*52</f>
        <v>100100</v>
      </c>
      <c r="F2" s="64">
        <v>13</v>
      </c>
      <c r="G2" s="64">
        <f>F2*B2</f>
        <v>5005</v>
      </c>
      <c r="H2" s="66">
        <f t="shared" ref="H2:H7" si="2">G2*52</f>
        <v>260260</v>
      </c>
      <c r="I2" s="2"/>
    </row>
    <row r="3" spans="1:9" x14ac:dyDescent="0.2">
      <c r="A3" s="58" t="s">
        <v>40</v>
      </c>
      <c r="B3" s="58">
        <v>202</v>
      </c>
      <c r="C3" s="63">
        <v>0.3</v>
      </c>
      <c r="D3" s="63">
        <f t="shared" si="0"/>
        <v>60.599999999999994</v>
      </c>
      <c r="E3" s="65">
        <f t="shared" si="1"/>
        <v>3151.2</v>
      </c>
      <c r="F3" s="64">
        <v>1</v>
      </c>
      <c r="G3" s="64">
        <f>B3*F3</f>
        <v>202</v>
      </c>
      <c r="H3" s="66">
        <f t="shared" si="2"/>
        <v>10504</v>
      </c>
      <c r="I3" s="70"/>
    </row>
    <row r="4" spans="1:9" x14ac:dyDescent="0.2">
      <c r="A4" s="58" t="s">
        <v>41</v>
      </c>
      <c r="B4" s="58">
        <v>475</v>
      </c>
      <c r="C4" s="63">
        <v>0.3</v>
      </c>
      <c r="D4" s="63">
        <f t="shared" si="0"/>
        <v>142.5</v>
      </c>
      <c r="E4" s="65">
        <f t="shared" si="1"/>
        <v>7410</v>
      </c>
      <c r="F4" s="64">
        <v>1</v>
      </c>
      <c r="G4" s="64">
        <f>B4*F4</f>
        <v>475</v>
      </c>
      <c r="H4" s="66">
        <f t="shared" si="2"/>
        <v>24700</v>
      </c>
      <c r="I4" s="69"/>
    </row>
    <row r="5" spans="1:9" x14ac:dyDescent="0.2">
      <c r="A5" s="58" t="s">
        <v>42</v>
      </c>
      <c r="B5" s="58">
        <v>578</v>
      </c>
      <c r="C5" s="63">
        <v>0.8</v>
      </c>
      <c r="D5" s="63">
        <f t="shared" si="0"/>
        <v>462.40000000000003</v>
      </c>
      <c r="E5" s="65">
        <f t="shared" si="1"/>
        <v>24044.800000000003</v>
      </c>
      <c r="F5" s="64">
        <v>3.5</v>
      </c>
      <c r="G5" s="64">
        <f>B5*F5</f>
        <v>2023</v>
      </c>
      <c r="H5" s="66">
        <f t="shared" si="2"/>
        <v>105196</v>
      </c>
      <c r="I5" s="69"/>
    </row>
    <row r="6" spans="1:9" x14ac:dyDescent="0.2">
      <c r="A6" s="58" t="s">
        <v>43</v>
      </c>
      <c r="B6" s="58">
        <v>2908</v>
      </c>
      <c r="C6" s="63">
        <v>0.8</v>
      </c>
      <c r="D6" s="63">
        <f t="shared" si="0"/>
        <v>2326.4</v>
      </c>
      <c r="E6" s="65">
        <f t="shared" si="1"/>
        <v>120972.8</v>
      </c>
      <c r="F6" s="64">
        <v>2.2000000000000002</v>
      </c>
      <c r="G6" s="64">
        <f>B6*F6</f>
        <v>6397.6</v>
      </c>
      <c r="H6" s="66">
        <f t="shared" si="2"/>
        <v>332675.20000000001</v>
      </c>
      <c r="I6" s="2"/>
    </row>
    <row r="7" spans="1:9" x14ac:dyDescent="0.2">
      <c r="A7" s="58" t="s">
        <v>44</v>
      </c>
      <c r="B7" s="58">
        <v>749</v>
      </c>
      <c r="C7" s="63">
        <v>0.8</v>
      </c>
      <c r="D7" s="76">
        <f t="shared" si="0"/>
        <v>599.20000000000005</v>
      </c>
      <c r="E7" s="65">
        <f t="shared" si="1"/>
        <v>31158.400000000001</v>
      </c>
      <c r="F7" s="64">
        <v>3</v>
      </c>
      <c r="G7" s="64">
        <f>B7*F7</f>
        <v>2247</v>
      </c>
      <c r="H7" s="66">
        <f t="shared" si="2"/>
        <v>116844</v>
      </c>
      <c r="I7" s="71"/>
    </row>
    <row r="8" spans="1:9" x14ac:dyDescent="0.2">
      <c r="D8" s="1"/>
      <c r="F8" s="72"/>
      <c r="G8" s="85" t="s">
        <v>50</v>
      </c>
      <c r="H8" s="67">
        <f>H7+H6+H5</f>
        <v>554715.19999999995</v>
      </c>
      <c r="I8" s="83">
        <f>H8/30/12</f>
        <v>1540.8755555555554</v>
      </c>
    </row>
    <row r="9" spans="1:9" x14ac:dyDescent="0.2">
      <c r="A9" s="2"/>
      <c r="D9" s="2"/>
      <c r="F9" s="72"/>
      <c r="G9" s="85" t="s">
        <v>51</v>
      </c>
      <c r="H9" s="67">
        <f>H8+H2</f>
        <v>814975.2</v>
      </c>
      <c r="I9" s="84">
        <f>H9/30/12</f>
        <v>2263.8200000000002</v>
      </c>
    </row>
    <row r="10" spans="1:9" x14ac:dyDescent="0.2">
      <c r="A10" s="59" t="s">
        <v>57</v>
      </c>
      <c r="B10" s="58"/>
      <c r="D10" s="2"/>
      <c r="F10" s="72"/>
      <c r="G10" s="73"/>
      <c r="H10" s="73"/>
      <c r="I10" s="73"/>
    </row>
    <row r="11" spans="1:9" x14ac:dyDescent="0.2">
      <c r="A11" s="79" t="s">
        <v>53</v>
      </c>
      <c r="B11" s="80">
        <v>11</v>
      </c>
      <c r="D11" s="2"/>
      <c r="F11" s="74"/>
      <c r="G11" s="69"/>
      <c r="H11" s="69"/>
      <c r="I11" s="69"/>
    </row>
    <row r="12" spans="1:9" x14ac:dyDescent="0.2">
      <c r="A12" s="79" t="s">
        <v>58</v>
      </c>
      <c r="B12" s="81">
        <v>3.028</v>
      </c>
      <c r="D12" s="2"/>
      <c r="F12" s="74"/>
      <c r="G12" s="69"/>
      <c r="H12" s="69"/>
      <c r="I12" s="69"/>
    </row>
    <row r="13" spans="1:9" x14ac:dyDescent="0.2">
      <c r="A13" s="79" t="s">
        <v>54</v>
      </c>
      <c r="B13" s="58">
        <v>9</v>
      </c>
      <c r="D13" s="2"/>
      <c r="F13" s="2"/>
      <c r="G13" s="69"/>
      <c r="H13" s="70"/>
      <c r="I13" s="69"/>
    </row>
    <row r="14" spans="1:9" x14ac:dyDescent="0.2">
      <c r="A14" s="79" t="s">
        <v>55</v>
      </c>
      <c r="B14" s="58">
        <v>6</v>
      </c>
      <c r="D14" s="2"/>
      <c r="F14" s="2"/>
      <c r="G14" s="69"/>
      <c r="H14" s="69"/>
      <c r="I14" s="69"/>
    </row>
    <row r="15" spans="1:9" x14ac:dyDescent="0.2">
      <c r="A15" s="79" t="s">
        <v>56</v>
      </c>
      <c r="B15" s="58">
        <v>52</v>
      </c>
      <c r="D15" s="2"/>
      <c r="F15" s="74"/>
      <c r="G15" s="69"/>
      <c r="H15" s="69"/>
      <c r="I15" s="75"/>
    </row>
    <row r="16" spans="1:9" x14ac:dyDescent="0.2">
      <c r="A16" s="79" t="s">
        <v>59</v>
      </c>
      <c r="B16" s="82">
        <f>B11*B12*B13*B14*B15</f>
        <v>93528.864000000001</v>
      </c>
      <c r="D16" s="1"/>
    </row>
    <row r="17" spans="1:7" x14ac:dyDescent="0.2">
      <c r="A17" s="2"/>
      <c r="D17" s="2"/>
    </row>
    <row r="18" spans="1:7" x14ac:dyDescent="0.2">
      <c r="A18" s="2"/>
      <c r="D18" s="2"/>
    </row>
    <row r="19" spans="1:7" x14ac:dyDescent="0.2">
      <c r="A19" s="2"/>
      <c r="D19" s="2"/>
    </row>
    <row r="20" spans="1:7" x14ac:dyDescent="0.2">
      <c r="A20" s="2"/>
      <c r="D20" s="2"/>
    </row>
    <row r="21" spans="1:7" x14ac:dyDescent="0.2">
      <c r="A21" s="2"/>
      <c r="D21" s="2"/>
      <c r="F21" s="4"/>
      <c r="G21" s="4"/>
    </row>
    <row r="22" spans="1:7" x14ac:dyDescent="0.2">
      <c r="A22" s="2"/>
      <c r="D22" s="2"/>
      <c r="F22" s="4"/>
    </row>
    <row r="23" spans="1:7" x14ac:dyDescent="0.2">
      <c r="A23" s="2"/>
      <c r="F23" s="4"/>
    </row>
    <row r="24" spans="1:7" x14ac:dyDescent="0.2">
      <c r="A24" s="2"/>
    </row>
    <row r="25" spans="1:7" x14ac:dyDescent="0.2">
      <c r="A25" s="77"/>
    </row>
    <row r="27" spans="1:7" x14ac:dyDescent="0.2">
      <c r="C27" s="4"/>
    </row>
    <row r="28" spans="1:7" x14ac:dyDescent="0.2">
      <c r="B28" s="1"/>
      <c r="C28" s="4"/>
    </row>
    <row r="29" spans="1:7" x14ac:dyDescent="0.2">
      <c r="B29" s="2"/>
    </row>
    <row r="30" spans="1:7" x14ac:dyDescent="0.2">
      <c r="B30" s="2"/>
    </row>
    <row r="31" spans="1:7" x14ac:dyDescent="0.2">
      <c r="B31" s="2"/>
    </row>
    <row r="34" spans="1:5" x14ac:dyDescent="0.2">
      <c r="E34" s="68"/>
    </row>
    <row r="35" spans="1:5" x14ac:dyDescent="0.2">
      <c r="A35" s="1"/>
      <c r="B35" s="1"/>
    </row>
    <row r="36" spans="1:5" x14ac:dyDescent="0.2">
      <c r="A36" s="2"/>
      <c r="B36" s="2"/>
    </row>
    <row r="37" spans="1:5" x14ac:dyDescent="0.2">
      <c r="A37" s="2"/>
      <c r="B37" s="2"/>
    </row>
    <row r="38" spans="1:5" x14ac:dyDescent="0.2">
      <c r="A38" s="2"/>
      <c r="B38" s="2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Gen Plastics Shredding</vt:lpstr>
      <vt:lpstr>Gen Alum Shredding</vt:lpstr>
      <vt:lpstr>Gen Alum &amp; Plastics Shredding</vt:lpstr>
      <vt:lpstr>Solar Plastics Shredding</vt:lpstr>
      <vt:lpstr>Solar Alum Shredding</vt:lpstr>
      <vt:lpstr>Solar Plastics &amp; Alum Shredding</vt:lpstr>
      <vt:lpstr>Mechanical Bike Shredding</vt:lpstr>
      <vt:lpstr>Blank CBA</vt:lpstr>
      <vt:lpstr>Other 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Microsoft Office User</cp:lastModifiedBy>
  <cp:lastPrinted>2017-02-26T18:27:17Z</cp:lastPrinted>
  <dcterms:created xsi:type="dcterms:W3CDTF">2017-02-15T16:04:51Z</dcterms:created>
  <dcterms:modified xsi:type="dcterms:W3CDTF">2017-05-01T18:37:57Z</dcterms:modified>
</cp:coreProperties>
</file>