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firstSheet="7" activeTab="7"/>
  </bookViews>
  <sheets>
    <sheet name="Summary" sheetId="1" r:id="rId1"/>
    <sheet name="Cash_Flow_Summary_Inflated" sheetId="2" r:id="rId2"/>
    <sheet name="Cash_Flow_Summary_NPW" sheetId="3" r:id="rId3"/>
    <sheet name="Summary_Detailed" sheetId="4" r:id="rId4"/>
    <sheet name="Trucking_Scenario" sheetId="5" r:id="rId5"/>
    <sheet name="T_S_Loadout_Cost_Worksheet" sheetId="6" r:id="rId6"/>
    <sheet name="T_S_Hauling_Cost_Worksheet" sheetId="7" r:id="rId7"/>
    <sheet name="Conveying_Scenario" sheetId="8" r:id="rId8"/>
    <sheet name="C_S_Loadout_Cost_Worksheet (1)" sheetId="9" r:id="rId9"/>
    <sheet name="C_S_Loadout_Cost_Worksheet (2)" sheetId="10" r:id="rId10"/>
    <sheet name="C_S_Hauling_Cost_Worksheet (2)" sheetId="11" r:id="rId11"/>
    <sheet name="Sluicing_Scenario" sheetId="12" r:id="rId12"/>
    <sheet name="S_S_Loadout_Cost_Worksheet" sheetId="13" r:id="rId13"/>
    <sheet name="S_S_Hauling_Cost_Worksheet" sheetId="14" r:id="rId14"/>
  </sheets>
  <definedNames>
    <definedName name="_xlnm.Print_Area" localSheetId="8">'C_S_Loadout_Cost_Worksheet (1)'!$A$1:$J$81</definedName>
    <definedName name="_xlnm.Print_Area" localSheetId="9">'C_S_Loadout_Cost_Worksheet (2)'!$A$1:$J$81</definedName>
    <definedName name="_xlnm.Print_Area" localSheetId="7">'Conveying_Scenario'!$A$1:$R$147</definedName>
    <definedName name="_xlnm.Print_Area" localSheetId="12">'S_S_Loadout_Cost_Worksheet'!$A$1:$J$81</definedName>
    <definedName name="_xlnm.Print_Area" localSheetId="11">'Sluicing_Scenario'!$A$1:$R$145</definedName>
    <definedName name="_xlnm.Print_Area" localSheetId="0">'Summary'!$A$1:$E$127</definedName>
    <definedName name="_xlnm.Print_Area" localSheetId="3">'Summary_Detailed'!$A$1:$BM$38</definedName>
    <definedName name="_xlnm.Print_Area" localSheetId="5">'T_S_Loadout_Cost_Worksheet'!$A$1:$J$81</definedName>
    <definedName name="_xlnm.Print_Area" localSheetId="4">'Trucking_Scenario'!$A$1:$R$110</definedName>
  </definedNames>
  <calcPr fullCalcOnLoad="1"/>
</workbook>
</file>

<file path=xl/sharedStrings.xml><?xml version="1.0" encoding="utf-8"?>
<sst xmlns="http://schemas.openxmlformats.org/spreadsheetml/2006/main" count="1422" uniqueCount="423">
  <si>
    <t>ITEM</t>
  </si>
  <si>
    <t>UNIT</t>
  </si>
  <si>
    <t>ESTIMATED QUANTITY</t>
  </si>
  <si>
    <t>LS</t>
  </si>
  <si>
    <t>A.</t>
  </si>
  <si>
    <t>C.</t>
  </si>
  <si>
    <t>D.</t>
  </si>
  <si>
    <t>CY</t>
  </si>
  <si>
    <t>AC</t>
  </si>
  <si>
    <t>B.</t>
  </si>
  <si>
    <t>Site Preparation and Development</t>
  </si>
  <si>
    <t>Year</t>
  </si>
  <si>
    <t>YR</t>
  </si>
  <si>
    <t>Land Acquisition and Permitting</t>
  </si>
  <si>
    <t>Contingency (25%)</t>
  </si>
  <si>
    <t>Coal Combustion By-Product Management Study</t>
  </si>
  <si>
    <t>Alcoa Warrick Power Plant</t>
  </si>
  <si>
    <t>Newburgh, Warrick County, Indiana</t>
  </si>
  <si>
    <t>Opinion of Coal Combustion By-Product Transportation Costs</t>
  </si>
  <si>
    <t xml:space="preserve"> </t>
  </si>
  <si>
    <t>Units Required</t>
  </si>
  <si>
    <t>Annual CCB Production Rates</t>
  </si>
  <si>
    <t>Cycle Time (sec.)</t>
  </si>
  <si>
    <t xml:space="preserve">10 percent moisture by weight </t>
  </si>
  <si>
    <t>calculated</t>
  </si>
  <si>
    <t xml:space="preserve">maintained by Contractor </t>
  </si>
  <si>
    <t>maintained by Contractor</t>
  </si>
  <si>
    <t>Truck Capacity</t>
  </si>
  <si>
    <t>Loader Production</t>
  </si>
  <si>
    <t xml:space="preserve">          Fill Factor</t>
  </si>
  <si>
    <t xml:space="preserve">          Swell Factor</t>
  </si>
  <si>
    <t xml:space="preserve">     to achieve</t>
  </si>
  <si>
    <t xml:space="preserve">     reduced by</t>
  </si>
  <si>
    <t xml:space="preserve">          Net Bucket Capacity (lcyd)</t>
  </si>
  <si>
    <t>Loader Capacity</t>
  </si>
  <si>
    <t xml:space="preserve">          Loader Utilization</t>
  </si>
  <si>
    <t xml:space="preserve">          Loader (Mechanical) Availability</t>
  </si>
  <si>
    <t>less 2 hours per shift for safety/lunch/breaks</t>
  </si>
  <si>
    <t>Schedule</t>
  </si>
  <si>
    <t xml:space="preserve">          Scheduled Days Per Year</t>
  </si>
  <si>
    <t xml:space="preserve">          Scheduled Hours Per Year </t>
  </si>
  <si>
    <t xml:space="preserve">     using net bucket capacity and considering</t>
  </si>
  <si>
    <t xml:space="preserve">          Observed Holidays</t>
  </si>
  <si>
    <t xml:space="preserve">          Weather Days</t>
  </si>
  <si>
    <t xml:space="preserve">          6th Days</t>
  </si>
  <si>
    <t xml:space="preserve">          7th Days</t>
  </si>
  <si>
    <t xml:space="preserve">          Idle Days</t>
  </si>
  <si>
    <t xml:space="preserve">     and considering</t>
  </si>
  <si>
    <t xml:space="preserve">     using annual production and considering</t>
  </si>
  <si>
    <t>Truck Production</t>
  </si>
  <si>
    <t>from loadout worksheet</t>
  </si>
  <si>
    <t>Loader Capacity and Production Summary</t>
  </si>
  <si>
    <t xml:space="preserve">     using truck capacity and cycle time to achieve </t>
  </si>
  <si>
    <t xml:space="preserve">          Scheduled Hours Per Day</t>
  </si>
  <si>
    <t xml:space="preserve">     using schedule and considering</t>
  </si>
  <si>
    <t>Trucking Scenario</t>
  </si>
  <si>
    <t>miles</t>
  </si>
  <si>
    <t>feet</t>
  </si>
  <si>
    <t>Length</t>
  </si>
  <si>
    <t>Width</t>
  </si>
  <si>
    <t>SY</t>
  </si>
  <si>
    <t>Estimated Net Present Worth (2007) - Capital Construction Costs</t>
  </si>
  <si>
    <t>ESTIMATED UNIT PRICE (2007 $)</t>
  </si>
  <si>
    <t>ESTIMATED COST           (2007 $)</t>
  </si>
  <si>
    <t>Estimated Net Present Worth (2007)</t>
  </si>
  <si>
    <t>1.</t>
  </si>
  <si>
    <t>2.</t>
  </si>
  <si>
    <t>5 percent of capital construction costs</t>
  </si>
  <si>
    <t>3.</t>
  </si>
  <si>
    <t>E.</t>
  </si>
  <si>
    <t xml:space="preserve">Erosion Control </t>
  </si>
  <si>
    <t xml:space="preserve">          Gross Bucket Capacity (lcyd)</t>
  </si>
  <si>
    <t xml:space="preserve">          Cycle Time (sec.)</t>
  </si>
  <si>
    <t>calculated using 5-day loadout period</t>
  </si>
  <si>
    <t>calculated using 7-day plant production period</t>
  </si>
  <si>
    <t xml:space="preserve">          Enter Load Area and Position (min.)</t>
  </si>
  <si>
    <t xml:space="preserve">     using truck capacity and loader capacity/production and considering</t>
  </si>
  <si>
    <t xml:space="preserve">          Total Cost per Year</t>
  </si>
  <si>
    <t xml:space="preserve">          Calendar Days Per Year</t>
  </si>
  <si>
    <t xml:space="preserve">          Unit Cost per Hour</t>
  </si>
  <si>
    <t>Alcoa</t>
  </si>
  <si>
    <t xml:space="preserve">Loadout </t>
  </si>
  <si>
    <t>Transportation</t>
  </si>
  <si>
    <t>Disposal Capacity (tons)</t>
  </si>
  <si>
    <t>LF</t>
  </si>
  <si>
    <t>RS Means Heavy Construction Cost Data (2006) - 02310-100-0200</t>
  </si>
  <si>
    <t>RS Means Heavy Construction Cost Data (2006) - 02230-500-0020</t>
  </si>
  <si>
    <t>Manchester LF</t>
  </si>
  <si>
    <t>RS Means Heavy Construction Cost Data (2006) - 02315-310-5000 and 02315-520-0020</t>
  </si>
  <si>
    <t>Conveying Scenario</t>
  </si>
  <si>
    <t xml:space="preserve">calculated </t>
  </si>
  <si>
    <t>Capital Costs (Inflated $)</t>
  </si>
  <si>
    <t>Capital Costs / ton (Inflated $ / ton)</t>
  </si>
  <si>
    <t>Life Cycle Costs / ton (Inflated $ / ton)</t>
  </si>
  <si>
    <t>Economic Evaluation (Net Present Worth - 2007 $)</t>
  </si>
  <si>
    <t>Economic Evaluation (Inflated $)</t>
  </si>
  <si>
    <t>Life Cycle Costs (Capital and Transportation/Maintenance Costs (Inflated $)</t>
  </si>
  <si>
    <t>Estimated Capital Construction Costs (2008)</t>
  </si>
  <si>
    <t>Subtotal - Capital Construction Costs (w/o Contingency)</t>
  </si>
  <si>
    <t>Subtotal - Capital Construction Costs (w/ Contingency)</t>
  </si>
  <si>
    <t>1.  Capital Construction Costs</t>
  </si>
  <si>
    <t xml:space="preserve">               a.  Haul road dimensions were assumed to be 3.3 miles long, 55 feet wide and 18 inches thick.</t>
  </si>
  <si>
    <t xml:space="preserve">               b.  Haul road materials were assumed to consist of Nos. 2 and 53 stone and geotextile fabric.</t>
  </si>
  <si>
    <t xml:space="preserve">               c.  Drainage features were assumed to consist of grass-lined ditches and other structures (culverts, etc.), where necessary.</t>
  </si>
  <si>
    <t>2.  Transportation and Maintenance Costs</t>
  </si>
  <si>
    <t>Sluicing Scenario</t>
  </si>
  <si>
    <t>2008-2027</t>
  </si>
  <si>
    <t>RS Means Heavy Construction Cost Data (2006) - 02510-760-0300</t>
  </si>
  <si>
    <t>RS Means Heavy Construction Cost Data (2006) - 02510-760-0500</t>
  </si>
  <si>
    <t>RS Means Heavy Construction Cost Data (2006) - 02510-760-0600</t>
  </si>
  <si>
    <t>RS Means Heavy Construction Cost Data (2006) - 15230-500-3220</t>
  </si>
  <si>
    <t>EA</t>
  </si>
  <si>
    <t>TVA</t>
  </si>
  <si>
    <t>AEP</t>
  </si>
  <si>
    <t>TVA (adapted)</t>
  </si>
  <si>
    <t>F.</t>
  </si>
  <si>
    <t>RS Means Heavy Construction Cost Data (2006) - 02370-700-1000 and 02370-700-1100</t>
  </si>
  <si>
    <t xml:space="preserve">a.  </t>
  </si>
  <si>
    <t>Strip Topsoil (No Haul)</t>
  </si>
  <si>
    <t xml:space="preserve">b.  </t>
  </si>
  <si>
    <t xml:space="preserve">Excavation and Embankment </t>
  </si>
  <si>
    <t xml:space="preserve">c.  </t>
  </si>
  <si>
    <t>Subbase Improvements</t>
  </si>
  <si>
    <t xml:space="preserve">d.  </t>
  </si>
  <si>
    <t xml:space="preserve">e.  </t>
  </si>
  <si>
    <t>Road Materials (18" Thick; Nos. 2 and 53 Stone)</t>
  </si>
  <si>
    <t xml:space="preserve">f.  </t>
  </si>
  <si>
    <t xml:space="preserve">g.  </t>
  </si>
  <si>
    <t>Road Ditch (Grass-Lined)</t>
  </si>
  <si>
    <t xml:space="preserve">h.  </t>
  </si>
  <si>
    <t>Drainage Structures (Culverts, etc.)</t>
  </si>
  <si>
    <t>Maintenance</t>
  </si>
  <si>
    <t>DAY</t>
  </si>
  <si>
    <t xml:space="preserve">Haul Road Dust Control and Maintenance </t>
  </si>
  <si>
    <t>Dust Control (Light, 5 days per week)</t>
  </si>
  <si>
    <t>RS Means Heavy Construction Cost Data (2006) - 02315-490-4500</t>
  </si>
  <si>
    <t>Clearing and Grubbing</t>
  </si>
  <si>
    <t>Haul Road Construction</t>
  </si>
  <si>
    <t>Land Acquisition</t>
  </si>
  <si>
    <t>Permitting</t>
  </si>
  <si>
    <t>Geotextile Fabric</t>
  </si>
  <si>
    <t>e.</t>
  </si>
  <si>
    <t>f.</t>
  </si>
  <si>
    <t>g.</t>
  </si>
  <si>
    <t>Conveying System Construction</t>
  </si>
  <si>
    <t>a.</t>
  </si>
  <si>
    <t>2 percent of conveying system construction costs</t>
  </si>
  <si>
    <t>Sluicing System Construction</t>
  </si>
  <si>
    <t>Pumps (90 HP)</t>
  </si>
  <si>
    <t>Pumps (55 HP)</t>
  </si>
  <si>
    <t>Pumps (45 HP)</t>
  </si>
  <si>
    <t>Pumps (35 HP)</t>
  </si>
  <si>
    <t>Pumps (25 HP)</t>
  </si>
  <si>
    <t xml:space="preserve">i.  </t>
  </si>
  <si>
    <t>Tank (Gypsum; 250,000 gallons, ~ 3-hour Storage)</t>
  </si>
  <si>
    <t>j.</t>
  </si>
  <si>
    <t>Tank (Ash; 100,000 gallons, ~ 3-hour Storage)</t>
  </si>
  <si>
    <t>Mixers (20 HP)</t>
  </si>
  <si>
    <t>k.</t>
  </si>
  <si>
    <t>Misc. Mechanical Costs (Piping, Valves, etc.)</t>
  </si>
  <si>
    <t>l.</t>
  </si>
  <si>
    <t>Misc. Electrical Costs (Wiring, Transformers, etc.)</t>
  </si>
  <si>
    <t>m.</t>
  </si>
  <si>
    <t>Misc. Structural Costs (Foundations, etc.)</t>
  </si>
  <si>
    <t>n.</t>
  </si>
  <si>
    <t>Instrumentation and Control</t>
  </si>
  <si>
    <t>o.</t>
  </si>
  <si>
    <t>Dewatering Facility</t>
  </si>
  <si>
    <t>p.</t>
  </si>
  <si>
    <t>RS Means Heavy Construction Cost Data (2006) - 13201-200-3300</t>
  </si>
  <si>
    <t>RS Means Heavy Construction Cost Data (2006) - 13201-200-3400</t>
  </si>
  <si>
    <t>CCB Loadout and Transportation (1,500-foot Haul from Dewatering Facility)</t>
  </si>
  <si>
    <t>Sluicing System Maintenance and Piping Replacement</t>
  </si>
  <si>
    <t>Sluicing System Maintenance</t>
  </si>
  <si>
    <t>5 percent of haul road construction costs</t>
  </si>
  <si>
    <t>d.</t>
  </si>
  <si>
    <t>Estimated Piping Replacement Costs (2018)</t>
  </si>
  <si>
    <t xml:space="preserve">Radial Stacker </t>
  </si>
  <si>
    <t>q.</t>
  </si>
  <si>
    <t>Piping Replacement (Year 2018)</t>
  </si>
  <si>
    <t>Subtotal - Piping Replacement Costs (w/o Contingency)</t>
  </si>
  <si>
    <t>Subtotal - Piping Replacement Costs (w/ Contingency)</t>
  </si>
  <si>
    <t>Disposal Capacity (lcyd)</t>
  </si>
  <si>
    <t>Capital Costs (Net Present Worth - 2007 $)</t>
  </si>
  <si>
    <t>Capital Costs / ton (Net Present Worth - 2007 $ / ton)</t>
  </si>
  <si>
    <t>Life Cycle Costs (Capital and Transportation/Maintenance Costs (Net Present Worth - 2007 $)</t>
  </si>
  <si>
    <t>Life Cycle Costs / ton (Net Present Worth - 2007 $ / ton)</t>
  </si>
  <si>
    <t>Trucking Notes:</t>
  </si>
  <si>
    <t>Capital Costs / lcyd (Inflated $ / lcyd)</t>
  </si>
  <si>
    <t>Life Cycle Costs / lcyd (Inflated $ / lcyd)</t>
  </si>
  <si>
    <t>Capital Costs / lcyd (Net Present Worth - 2007 $ / lcyd)</t>
  </si>
  <si>
    <t>Life Cycle Costs / lcyd (Net Present Worth - 2007 $ / lcyd)</t>
  </si>
  <si>
    <t>Sluicing Notes:</t>
  </si>
  <si>
    <t xml:space="preserve">               a.  Ash line was assumed to consist of 8-inch HDPE, SDR 11 pipe.</t>
  </si>
  <si>
    <t xml:space="preserve">               b.  Gypsum line was assumed to consist of 12-inch HDPE, SDR 11 pipe.</t>
  </si>
  <si>
    <t xml:space="preserve">               c.  Return line was assumed to consist of 14-inch HDPE, SDR 11 pipe.</t>
  </si>
  <si>
    <t>15 percent of piping, pumps, tanks and mixers</t>
  </si>
  <si>
    <t>Loadout Base Year (2007) Cost</t>
  </si>
  <si>
    <t xml:space="preserve">          Loaded Travel (min.)</t>
  </si>
  <si>
    <t xml:space="preserve">          Empty Travel (min.)</t>
  </si>
  <si>
    <t xml:space="preserve">          Enter Dump Area, Position and Dump (min.)</t>
  </si>
  <si>
    <t>calculated using 3.3 miles @ avg. speed of 25 mi./hr. + 1.5 minute delay (typ.)</t>
  </si>
  <si>
    <t>calculated using 3.3 miles @ avg. speed of 25 mi./hr. + 3.0 minute delay (typ.)</t>
  </si>
  <si>
    <t>Piping (Ash Line; 8" HDPE, SDR 11)</t>
  </si>
  <si>
    <t>Piping (Gypsum Line; 12" HDPE, SDR 11)</t>
  </si>
  <si>
    <t>Piping (Return Line; 14" HDPE, SDR 11)</t>
  </si>
  <si>
    <t>b.</t>
  </si>
  <si>
    <t>c.</t>
  </si>
  <si>
    <t>Belt (24"; 3 ply 440, Goodyear or Scandura)</t>
  </si>
  <si>
    <t>Drives (150 HP)</t>
  </si>
  <si>
    <t>CCB Conveying Operations</t>
  </si>
  <si>
    <t>Materials (Includes FOB Estimates from WV)</t>
  </si>
  <si>
    <t>Labor</t>
  </si>
  <si>
    <t>HR</t>
  </si>
  <si>
    <t>Belt (2-Person Crew)</t>
  </si>
  <si>
    <t>belt production = 1,000 linear feet per day</t>
  </si>
  <si>
    <t>h.</t>
  </si>
  <si>
    <t>i.</t>
  </si>
  <si>
    <t xml:space="preserve">Additional Structure(s) </t>
  </si>
  <si>
    <t>Support Foundation(s)</t>
  </si>
  <si>
    <t>Conveying System Maintenance and Belt Replacement</t>
  </si>
  <si>
    <t>1 percent of sluicing system construction costs</t>
  </si>
  <si>
    <t>Belt Replacement (Year 2018)</t>
  </si>
  <si>
    <t>Conveying Notes:</t>
  </si>
  <si>
    <t xml:space="preserve">               a.  Materials were assumed FOB West Virginia.</t>
  </si>
  <si>
    <t>15' Centers)</t>
  </si>
  <si>
    <t xml:space="preserve">               j.  A radial stacker (to stockpile discrete CCB streams) was included.</t>
  </si>
  <si>
    <t>Capital Construction Costs for Trucking Scenario</t>
  </si>
  <si>
    <t>Transportation and Maintenance Costs for Trucking Scenario</t>
  </si>
  <si>
    <t>Loadout Cost Worksheet for Trucking Scenario</t>
  </si>
  <si>
    <t>Hauling Cost Worksheet for Trucking Scenario</t>
  </si>
  <si>
    <t>Capital Construction Costs for Conveying Scenario</t>
  </si>
  <si>
    <t>Operation, Transportation and Maintenance Costs for Conveying Scenario</t>
  </si>
  <si>
    <t>Operation, Transportation and Maintenance Costs for Sluicing Scenario</t>
  </si>
  <si>
    <t>Estimated Net Present Worth (2007) - Transportation and Maintenance Costs</t>
  </si>
  <si>
    <t xml:space="preserve">          Truck Accessibility </t>
  </si>
  <si>
    <t>Capital Construction Costs for Sluicing Scenario</t>
  </si>
  <si>
    <t>Life Cycle Costs (Capital and Operation/Transportation/Maintenance Costs (Inflated $)</t>
  </si>
  <si>
    <t xml:space="preserve">               h.  Instrumentation and control elements were included.</t>
  </si>
  <si>
    <t xml:space="preserve">               g.  Miscellaneous mechanical, electrical and structural costs were assumed to be 15 percent of piping, pumps, tanks and mixers costs.</t>
  </si>
  <si>
    <t>Mobilization/Demobilization</t>
  </si>
  <si>
    <t>5 percent of site preparation/development costs</t>
  </si>
  <si>
    <t>CCB Loadout and Transportation (3.3-mile Haul from Plant)</t>
  </si>
  <si>
    <t>Estimated 
CCB 
Loadout 
and 
Transportation 
Costs</t>
  </si>
  <si>
    <t>Estimated 
Haul Road 
Dust Control 
and 
Maintenance
Costs</t>
  </si>
  <si>
    <t>Hauling Base Year (2007) Cost</t>
  </si>
  <si>
    <t>Additional Miscellaneous Elements</t>
  </si>
  <si>
    <t>Subtotal - Belt Replacement Costs (w/o Contingency)</t>
  </si>
  <si>
    <t>Subtotal - Belt Replacement Costs (w/ Contingency)</t>
  </si>
  <si>
    <t>Estimated Belt Replacement Costs (2018)</t>
  </si>
  <si>
    <t>Estimated 
Conveying System 
Maintenance 
and 
Belt Replacement 
Costs</t>
  </si>
  <si>
    <t>Estimated 
CCB
Conveying
Operations,
Loadout 
and 
Transportation 
Costs</t>
  </si>
  <si>
    <t>Estimated 
CCB
Sluicing
Operations,
Loadout 
and 
Transportation 
Costs</t>
  </si>
  <si>
    <t>Estimated 
Sluicing System 
Maintenance 
and 
Piping Replacement 
Costs</t>
  </si>
  <si>
    <t xml:space="preserve">     A.  It was assumed that CCBs will be conveyed 5 days per week (12 hours per day).</t>
  </si>
  <si>
    <t xml:space="preserve">     F.  Belt was assumed to be replaced in year 2018.</t>
  </si>
  <si>
    <t xml:space="preserve">     A.  It was assumed that CCBs will be sluiced 7 days per week (24 hours per day).</t>
  </si>
  <si>
    <t xml:space="preserve">     F.  Piping was assumed to be replaced in year 2018.</t>
  </si>
  <si>
    <t>General Notes:</t>
  </si>
  <si>
    <t xml:space="preserve">               i.  A dewatering facility was included.</t>
  </si>
  <si>
    <t>trucking scenario loadout cost worksheet</t>
  </si>
  <si>
    <t>trucking scenario hauling cost worksheet</t>
  </si>
  <si>
    <t>Hood (5-Person Crew, two 10-ton Cranes)</t>
  </si>
  <si>
    <t>hood production = 1,000 linear feet per day</t>
  </si>
  <si>
    <t>Access Road (6" thick; Nos. 2 and 53 Stone)</t>
  </si>
  <si>
    <t>Scrapers</t>
  </si>
  <si>
    <t>Electricity</t>
  </si>
  <si>
    <t>Operators</t>
  </si>
  <si>
    <t>electricity (5 days/week @ 12 hours/day)</t>
  </si>
  <si>
    <t>2 operators (5 days/week @ 12 hours/day)</t>
  </si>
  <si>
    <t>Belt Structure (24" Structure; on 5' Centers w/ Return on</t>
  </si>
  <si>
    <t>Metal Hood (w/o Side Panels)</t>
  </si>
  <si>
    <t>Belt Structure (5-Person Crew, 2 10-ton Cranes, 1 Dozer)</t>
  </si>
  <si>
    <t>belt structure production = 1,000 linear feet per day</t>
  </si>
  <si>
    <t xml:space="preserve">               d.  A metal hood (without side panels) was included.  Side panels may be required to control dust during dry and/or windy periods.</t>
  </si>
  <si>
    <t>electricity (7 days/week @ 24 hours/day)</t>
  </si>
  <si>
    <t>2 operators (7 days/week @ 24 hours/day)</t>
  </si>
  <si>
    <t>Conveying System Maintenance</t>
  </si>
  <si>
    <t>Maintenance Personnel (Inspections, Light Repairs, etc.)</t>
  </si>
  <si>
    <t xml:space="preserve">               d.  Excavation and embankment costs were not estimated.</t>
  </si>
  <si>
    <t xml:space="preserve">     E.  Dust control was assumed to consist of "light" watering during hauling activities.</t>
  </si>
  <si>
    <t xml:space="preserve">     F.  Haul road maintenance was estimated to be 5 percent of haul road construction costs.</t>
  </si>
  <si>
    <t xml:space="preserve">               e.  Belt was assumed to consist of a 24-inch, 3-ply 440 belt manufactured by Goodyear or Scandura.</t>
  </si>
  <si>
    <t xml:space="preserve">               f.  A total of 4 drives (150 HP each) were included.  </t>
  </si>
  <si>
    <t xml:space="preserve">               g.  A total of 4 scrapers (to clean the belt) were included.  </t>
  </si>
  <si>
    <t xml:space="preserve">               h.  A radial stacker (to stockpile discrete CCB streams) was included.</t>
  </si>
  <si>
    <t xml:space="preserve">               k.  A belt crew was estimated to consist of 2 persons ($250 per hour).  Production rate was assumed to be 1,000 linear feet per day.</t>
  </si>
  <si>
    <t xml:space="preserve">               d.  A total of 10 pumps (redundant system with pumps ranging from 25 to 90 HP) were included.</t>
  </si>
  <si>
    <t xml:space="preserve">               e.  A total of 2 tanks (roughly 3 hours of temporary storage per CCB stream) were included.</t>
  </si>
  <si>
    <t>Economic Evaluation (Net Present Worth (NPW) - 2007 $)</t>
  </si>
  <si>
    <t>Capital Costs (NPW - 2007 $)</t>
  </si>
  <si>
    <t>Capital Costs / ton (NPW - 2007 $ / ton)</t>
  </si>
  <si>
    <t>Capital Costs / lcyd (NPW - 2007 $ / lcyd)</t>
  </si>
  <si>
    <t>Life Cycle Costs (Capital and Operation/Transportation/Maintenance Costs (NPW - 2007 $)</t>
  </si>
  <si>
    <t>Life Cycle Costs / ton (NPW - 2007 $ / ton)</t>
  </si>
  <si>
    <t>Life Cycle Costs / lcyd (NPW - 2007 $ / lcyd)</t>
  </si>
  <si>
    <t xml:space="preserve">     discounted to net worth (2007 $). </t>
  </si>
  <si>
    <t xml:space="preserve">     rate of 8 percent. </t>
  </si>
  <si>
    <t xml:space="preserve">               b.  Belt structure was assumed to consist of a 24-inch, 35 degree V-shaped trough with 3-inch side rails, 5-inch cans, 7 gauge on 5-foot centers with </t>
  </si>
  <si>
    <t xml:space="preserve">                    return on 15-foot centers.</t>
  </si>
  <si>
    <t xml:space="preserve">                    to clear plant infrastructure and/or road crossing(s) were not estimated.</t>
  </si>
  <si>
    <t xml:space="preserve">               i.  A belt structure crew was estimated to consist of 5 persons, two 10-ton cranes and 1 dozer ($645 per hour).  Production rate was assumed to be </t>
  </si>
  <si>
    <t xml:space="preserve">                    1,000 linear feet per day.</t>
  </si>
  <si>
    <t xml:space="preserve">               j.  A hood crew was estimated to consist of 5 persons and two 10-ton cranes ($550 per hour).  Production rate was assumed to be 1,000 linear feet </t>
  </si>
  <si>
    <t xml:space="preserve">                    per day.</t>
  </si>
  <si>
    <t xml:space="preserve">     B.  Conveying operations costs were based on 2 full-time operators ($50 per operator per hour ) during conveying periods with an electricity cost of $50 </t>
  </si>
  <si>
    <t xml:space="preserve">          per MW-hour.</t>
  </si>
  <si>
    <t xml:space="preserve">     E.  Conveying system maintenance was estimated to be 2 percent of conveying system construction costs.  Additional personnel (2 persons ($40 per </t>
  </si>
  <si>
    <t xml:space="preserve">          MW-hour.</t>
  </si>
  <si>
    <t>(cont.)</t>
  </si>
  <si>
    <r>
      <t xml:space="preserve">     </t>
    </r>
    <r>
      <rPr>
        <i/>
        <sz val="11"/>
        <rFont val="Arial"/>
        <family val="2"/>
      </rPr>
      <t>using</t>
    </r>
  </si>
  <si>
    <r>
      <t xml:space="preserve">          </t>
    </r>
    <r>
      <rPr>
        <sz val="11"/>
        <rFont val="Arial"/>
        <family val="2"/>
      </rPr>
      <t>Truck (Mechanical) Availability</t>
    </r>
  </si>
  <si>
    <r>
      <t xml:space="preserve">          </t>
    </r>
    <r>
      <rPr>
        <sz val="11"/>
        <rFont val="Arial"/>
        <family val="2"/>
      </rPr>
      <t>Truck Utilization</t>
    </r>
  </si>
  <si>
    <r>
      <t xml:space="preserve">          </t>
    </r>
    <r>
      <rPr>
        <sz val="11"/>
        <rFont val="Arial"/>
        <family val="2"/>
      </rPr>
      <t>Loader Accessibility</t>
    </r>
  </si>
  <si>
    <t xml:space="preserve">5 percent of belt replacement costs </t>
  </si>
  <si>
    <t>5 percent of piping replacement costs</t>
  </si>
  <si>
    <t xml:space="preserve">          1.  Haul Road Construction </t>
  </si>
  <si>
    <t xml:space="preserve">          2.  Erosion control was assumed to consist of silt fencing.</t>
  </si>
  <si>
    <t xml:space="preserve">     A.  Site Preparation and Development</t>
  </si>
  <si>
    <t xml:space="preserve">          1.  Conveying System Construction </t>
  </si>
  <si>
    <t xml:space="preserve">          1.  Sluicing System Construction </t>
  </si>
  <si>
    <t xml:space="preserve">               c.  Belt structure was assumed to be supported with roughly three-foot long legs supported by 10-inch diameter base plates.  Elevated belt structure </t>
  </si>
  <si>
    <t xml:space="preserve">     D.  An additional 4.5 minutes of travel time during hauling was included to account for potential delays at road crossing(s) and/or plant gate(s).</t>
  </si>
  <si>
    <t xml:space="preserve">               f.  A total of 2 mixers (20 HP each) were included.</t>
  </si>
  <si>
    <t>Gypsum Annual Production (tons)</t>
  </si>
  <si>
    <t>Fly Ash Annual Production (tons)</t>
  </si>
  <si>
    <t>Bottom Ash Annual Production (tons)</t>
  </si>
  <si>
    <t>calculated using 0.88 tons per lcyd</t>
  </si>
  <si>
    <t xml:space="preserve">          Truck Capacity (fly ash) (tons)</t>
  </si>
  <si>
    <t xml:space="preserve">          Truck Production (fly ash) (tons/op.hr.)</t>
  </si>
  <si>
    <r>
      <t xml:space="preserve">          </t>
    </r>
    <r>
      <rPr>
        <sz val="11"/>
        <rFont val="Arial"/>
        <family val="2"/>
      </rPr>
      <t>Adjusted Truck Production (fly ash) (tons/sch.hr.)</t>
    </r>
  </si>
  <si>
    <t>r.</t>
  </si>
  <si>
    <t xml:space="preserve">          Truck Capacity (lycd)</t>
  </si>
  <si>
    <t xml:space="preserve">calculated using 0.88 tons per lcyd </t>
  </si>
  <si>
    <t xml:space="preserve">calculated using 0.61 tons per lycd </t>
  </si>
  <si>
    <t xml:space="preserve">          Net Bucket Capacity (fly ash) (tons)</t>
  </si>
  <si>
    <t>calculated using 0.61 tons per lcyd</t>
  </si>
  <si>
    <t xml:space="preserve">          Loader Production (fly ash) (tons/op.hr.)</t>
  </si>
  <si>
    <t xml:space="preserve">          Adjusted Loader Production (fly ash) (tons/sch.hr.)</t>
  </si>
  <si>
    <t xml:space="preserve">          Net Bucket Capacity (gypsum) (tons)</t>
  </si>
  <si>
    <t xml:space="preserve">          Net Bucket Capacity (bottom ash) (tons)</t>
  </si>
  <si>
    <t xml:space="preserve">          Loader Production (gypsum) (tons/op.hr.)</t>
  </si>
  <si>
    <t xml:space="preserve">          Loader Production (bottom ash) (tons/op.hr.)</t>
  </si>
  <si>
    <t xml:space="preserve">          Adjusted Loader Production (gypsum) (tons/sch.hr.)</t>
  </si>
  <si>
    <t xml:space="preserve">          Adjusted Loader Production (bottom ash) (tons/sch.hr.)</t>
  </si>
  <si>
    <t>Net Bucket Capacity (lcyd)</t>
  </si>
  <si>
    <t>Net Bucket Capacity (gypsum) (tons)</t>
  </si>
  <si>
    <t>Net Bucket Capacity (fly ash) (tons)</t>
  </si>
  <si>
    <t>Net Bucket Capacity (bottom ash) (tons)</t>
  </si>
  <si>
    <t>Adjusted Loader Production (gypsum) (tons/sch.hr.)</t>
  </si>
  <si>
    <t>Adjusted Loader Production (fly ash) (tons/sch.hr.)</t>
  </si>
  <si>
    <t>Adjusted Loader Production (bottom ash) (tons/sch.hr.)</t>
  </si>
  <si>
    <t xml:space="preserve">          Truck Capacity (gypsum) (tons)</t>
  </si>
  <si>
    <t xml:space="preserve">          Truck Capacity (bottom ash) (tons)</t>
  </si>
  <si>
    <t xml:space="preserve">calculated using 0.88 tons per lycd </t>
  </si>
  <si>
    <t xml:space="preserve">          Truck Production (gypsum) (tons/op.hr.)</t>
  </si>
  <si>
    <t xml:space="preserve">          Truck Production (bottom ash) (tons/op.hr.)</t>
  </si>
  <si>
    <r>
      <t xml:space="preserve">          </t>
    </r>
    <r>
      <rPr>
        <sz val="11"/>
        <rFont val="Arial"/>
        <family val="2"/>
      </rPr>
      <t>Adjusted Truck Production (gypsum) (tons/sch.hr.)</t>
    </r>
  </si>
  <si>
    <r>
      <t xml:space="preserve">          </t>
    </r>
    <r>
      <rPr>
        <sz val="11"/>
        <rFont val="Arial"/>
        <family val="2"/>
      </rPr>
      <t>Adjusted Truck Production (bottom ash) (tons/sch.hr.)</t>
    </r>
  </si>
  <si>
    <t xml:space="preserve">Units Required </t>
  </si>
  <si>
    <t xml:space="preserve">          Plant Production (gypsum) (tons/wk.)</t>
  </si>
  <si>
    <t xml:space="preserve">          Loadout Requirement (gypsum) (tons/day)</t>
  </si>
  <si>
    <t xml:space="preserve">          Plant Production (fly ash) (tons/wk.)</t>
  </si>
  <si>
    <t xml:space="preserve">          Loadout Requirement (fly ash) (tons/day)</t>
  </si>
  <si>
    <t xml:space="preserve">          Plant Production (bottom ash) (tons/wk.)</t>
  </si>
  <si>
    <t xml:space="preserve">          Loadout Requirement (bottom ash) (tons/day)</t>
  </si>
  <si>
    <t xml:space="preserve">          Adjusted Loader Production (gypsum) (tons/day)</t>
  </si>
  <si>
    <t xml:space="preserve">          Adjusted Loader Production (fly ash) (tons/day)</t>
  </si>
  <si>
    <t xml:space="preserve">          Adjusted Loader Production (bottom ash) (tons/day)</t>
  </si>
  <si>
    <t xml:space="preserve">          Units Required per Day (gypsum)</t>
  </si>
  <si>
    <t xml:space="preserve">          Units Required per Day (fly ash)</t>
  </si>
  <si>
    <t xml:space="preserve">          Units Required per Day (bottom ash)</t>
  </si>
  <si>
    <t xml:space="preserve">          Adjusted Truck Production (gypsum) (tons/day)</t>
  </si>
  <si>
    <t xml:space="preserve">          Adjusted Truck Production (fly ash) (tons/day)</t>
  </si>
  <si>
    <t xml:space="preserve">          Adjusted Truck Production (bottom ash) (tons/day)</t>
  </si>
  <si>
    <t xml:space="preserve">1.  Disposal capacity based on current "dry" gypsum (600,000 tons per year), fly ash (233,432 tons per year) and bottom ash (58,358 tons per year) production </t>
  </si>
  <si>
    <t xml:space="preserve">     rates and assuming a 20-year life.</t>
  </si>
  <si>
    <t>2.  A conversion factor of 0.88 tons per loose cubic yard (based on a unit weight of 65 pounds per cubic foot) was used for gypsum.</t>
  </si>
  <si>
    <t>4.  A conversion factor of 0.88 tons per loose cubic yard (based on a unit weight of 65 pounds per cubic foot) was used for bottom ash.</t>
  </si>
  <si>
    <t xml:space="preserve">5.  Non-discounted costs are presented for informational purposes only.  These costs were inflated using an annual inflation rate of 2.5 percent but were not </t>
  </si>
  <si>
    <t xml:space="preserve">6. Remaining costs were inflated using an annual inflation rate of 2.5 percent and were discounted to net present worth (2007 $) using an annual discount </t>
  </si>
  <si>
    <t>7.  Land acquisition and permitting costs were not estimated.  It is noted, however, that regulatory permitting is anticipated.</t>
  </si>
  <si>
    <t>8.  Mobilization/demobilization was estimated to be 5 percent of capital construction costs.</t>
  </si>
  <si>
    <t>9.  Clearing and grubbing costs associated with site preparation and development were not estimated.</t>
  </si>
  <si>
    <t xml:space="preserve">          Units Required per Day (total)</t>
  </si>
  <si>
    <t>rounded</t>
  </si>
  <si>
    <t xml:space="preserve">calculated using 1,500 feet @ avg. speed of 15 mi./hr. </t>
  </si>
  <si>
    <t>conveying scenario loadout cost worksheet (2)</t>
  </si>
  <si>
    <t>conveying scenario loadout cost worksheet (1)</t>
  </si>
  <si>
    <t>Hauling Cost Worksheet for Sluicing Scenario</t>
  </si>
  <si>
    <t>Loadout Cost Worksheet for Sluicing Scenario</t>
  </si>
  <si>
    <t xml:space="preserve">10.Salvage value of infrastructure and/or equipment was not considered.  </t>
  </si>
  <si>
    <t>Loadout Cost Worksheet for Conveying Scenario (1)</t>
  </si>
  <si>
    <t>Loadout Cost Worksheet for Conveying Scenario (2)</t>
  </si>
  <si>
    <t>calculated using adjusted loader production for 12-hour loadout period per day</t>
  </si>
  <si>
    <t>calculated using adjusted truck production for 12-hour loadout period per day</t>
  </si>
  <si>
    <t xml:space="preserve">     A.  It was assumed that CCBs will be trucked 5 days per week (12 hours per day).</t>
  </si>
  <si>
    <t>conveying scenario hauling cost worksheet (2)</t>
  </si>
  <si>
    <t>3.  A conversion factor of 0.61 tons per loose cubic yard (based on a unit weight of 45 pounds per cubic foot) was used for fly ash.</t>
  </si>
  <si>
    <t xml:space="preserve">          Load (min.)</t>
  </si>
  <si>
    <t xml:space="preserve">          Cycle Time (min.)</t>
  </si>
  <si>
    <t xml:space="preserve">          Cycle Time (hr.)</t>
  </si>
  <si>
    <t>Pole Lines (to Drives and Stacker)</t>
  </si>
  <si>
    <t>Pole Lines (to Pumps, Dewatering Facility and Stacker)</t>
  </si>
  <si>
    <t>CCB Loadout (at Plant)</t>
  </si>
  <si>
    <t>Hauling Cost Worksheet for Conveying Scenario (2)</t>
  </si>
  <si>
    <t>2 persons (263 scheduled days/year @ 12 hours/day)</t>
  </si>
  <si>
    <t>Estimated Net Present Worth (2007) - Operation, Transportation and Maintenance Costs</t>
  </si>
  <si>
    <t xml:space="preserve">          person per hour) working 12 hours per day) costs were added to inspect system during operations and perform light repairs.  </t>
  </si>
  <si>
    <t>G.</t>
  </si>
  <si>
    <t xml:space="preserve">sluicing scenario loadout cost worksheet </t>
  </si>
  <si>
    <t>sluicing scenario hauling cost worksheet</t>
  </si>
  <si>
    <t xml:space="preserve">     B.  Sluicing operations costs were based on 2 full-time operators ($50 per operator per hour ) during sluicing periods with an electricity cost of $50 per </t>
  </si>
  <si>
    <t xml:space="preserve">          hour) working 12 hours per day) costs were added to inspect system during operations and perform light repairs.  </t>
  </si>
  <si>
    <t>CCB Sluicing and Dewatering Operations</t>
  </si>
  <si>
    <t xml:space="preserve">     E.  Sluicing system maintenance was estimated to be 1 percent of sluicing system construction costs.  Additional personnel (2 persons ($40 per person per</t>
  </si>
  <si>
    <r>
      <t xml:space="preserve">     B.  Loadout costs (using CAT 988 coal loaders)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</si>
  <si>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     C.  Hauling costs (using CAT 769 off-road trucks)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</si>
  <si>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     C.  Loadout costs (using CAT 988 coal loaders)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</si>
  <si>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     D.  Hauling costs (using CAT 769 off-road trucks)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</si>
  <si>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(Based on 988 Coal Loader Capacity and Production Estimates Provided by </t>
    </r>
    <r>
      <rPr>
        <b/>
        <i/>
        <sz val="14"/>
        <color indexed="9"/>
        <rFont val="Arial"/>
        <family val="2"/>
      </rPr>
      <t>Alcoa)</t>
    </r>
  </si>
  <si>
    <r>
      <t xml:space="preserve">(Based on 769 Off-Road Truck Capacity and Production Estimates Provided by </t>
    </r>
    <r>
      <rPr>
        <b/>
        <i/>
        <sz val="14"/>
        <color indexed="9"/>
        <rFont val="Arial"/>
        <family val="2"/>
      </rPr>
      <t>Alcoa)</t>
    </r>
  </si>
  <si>
    <t>Belt Length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</si>
</sst>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00"/>
    <numFmt numFmtId="168" formatCode="0.0"/>
    <numFmt numFmtId="169" formatCode="0.0000"/>
    <numFmt numFmtId="170" formatCode="0.00000"/>
    <numFmt numFmtId="171" formatCode="_(&quot;$&quot;* #,##0_);_(&quot;$&quot;* \(#,##0\);_(&quot;$&quot;* &quot;-&quot;??_);_(@_)"/>
    <numFmt numFmtId="172" formatCode="#,##0.0\ \A\c."/>
    <numFmt numFmtId="173" formatCode="#,##0.0"/>
    <numFmt numFmtId="174" formatCode="_(&quot;$&quot;* #,##0.0_);_(&quot;$&quot;* \(#,##0.0\);_(&quot;$&quot;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_(&quot;$&quot;* #,##0.0_);_(&quot;$&quot;* \(#,##0.0\);_(&quot;$&quot;* &quot;-&quot;_);_(@_)"/>
    <numFmt numFmtId="181" formatCode="_(&quot;$&quot;* #,##0.00_);_(&quot;$&quot;* \(#,##0.00\);_(&quot;$&quot;* &quot;-&quot;_);_(@_)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0000_);_(&quot;$&quot;* \(#,##0.00000\);_(&quot;$&quot;* &quot;-&quot;??_);_(@_)"/>
    <numFmt numFmtId="186" formatCode="_(* #,##0.0_);_(* \(#,##0.0\);_(* &quot;-&quot;?_);_(@_)"/>
    <numFmt numFmtId="187" formatCode="#,##0.000"/>
    <numFmt numFmtId="188" formatCode="0_);\(0\)"/>
    <numFmt numFmtId="189" formatCode="_(* #,##0_);_(* \(#,##0\);_(* &quot;-&quot;??_);_(@_)"/>
    <numFmt numFmtId="190" formatCode="_(* #,##0.0_);_(* \(#,##0.0\);_(* &quot;-&quot;??_);_(@_)"/>
    <numFmt numFmtId="191" formatCode="#,##0.0_);\(#,##0.0\)"/>
  </numFmts>
  <fonts count="6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10"/>
      <name val="Arial"/>
      <family val="2"/>
    </font>
    <font>
      <b/>
      <sz val="14"/>
      <color indexed="9"/>
      <name val="Arial"/>
      <family val="2"/>
    </font>
    <font>
      <i/>
      <sz val="11"/>
      <color indexed="9"/>
      <name val="Arial"/>
      <family val="2"/>
    </font>
    <font>
      <b/>
      <i/>
      <sz val="14"/>
      <color indexed="9"/>
      <name val="Arial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0"/>
    </font>
    <font>
      <b/>
      <sz val="14.75"/>
      <color indexed="8"/>
      <name val="Arial"/>
      <family val="0"/>
    </font>
    <font>
      <b/>
      <sz val="14.7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10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179" fontId="0" fillId="0" borderId="0" xfId="0" applyNumberFormat="1" applyAlignment="1">
      <alignment/>
    </xf>
    <xf numFmtId="42" fontId="0" fillId="0" borderId="0" xfId="0" applyNumberFormat="1" applyAlignment="1">
      <alignment/>
    </xf>
    <xf numFmtId="44" fontId="1" fillId="0" borderId="0" xfId="0" applyNumberFormat="1" applyFont="1" applyFill="1" applyAlignment="1">
      <alignment/>
    </xf>
    <xf numFmtId="44" fontId="1" fillId="0" borderId="0" xfId="0" applyNumberFormat="1" applyFont="1" applyAlignment="1">
      <alignment/>
    </xf>
    <xf numFmtId="44" fontId="1" fillId="0" borderId="10" xfId="0" applyNumberFormat="1" applyFont="1" applyFill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Alignment="1">
      <alignment horizontal="right"/>
    </xf>
    <xf numFmtId="44" fontId="1" fillId="0" borderId="0" xfId="0" applyNumberFormat="1" applyFont="1" applyFill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42" fontId="1" fillId="0" borderId="11" xfId="0" applyNumberFormat="1" applyFont="1" applyBorder="1" applyAlignment="1">
      <alignment/>
    </xf>
    <xf numFmtId="42" fontId="2" fillId="0" borderId="12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 horizontal="center" wrapText="1"/>
    </xf>
    <xf numFmtId="181" fontId="0" fillId="0" borderId="0" xfId="0" applyNumberFormat="1" applyAlignment="1">
      <alignment/>
    </xf>
    <xf numFmtId="44" fontId="1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 horizontal="center"/>
    </xf>
    <xf numFmtId="42" fontId="2" fillId="0" borderId="12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 horizontal="center" wrapText="1"/>
    </xf>
    <xf numFmtId="187" fontId="2" fillId="0" borderId="12" xfId="0" applyNumberFormat="1" applyFont="1" applyBorder="1" applyAlignment="1">
      <alignment horizontal="center" wrapText="1"/>
    </xf>
    <xf numFmtId="188" fontId="1" fillId="0" borderId="0" xfId="0" applyNumberFormat="1" applyFont="1" applyBorder="1" applyAlignment="1">
      <alignment horizontal="center"/>
    </xf>
    <xf numFmtId="171" fontId="2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44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44" fontId="0" fillId="0" borderId="0" xfId="0" applyNumberFormat="1" applyAlignment="1">
      <alignment horizontal="left"/>
    </xf>
    <xf numFmtId="191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2" fontId="1" fillId="0" borderId="13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1" fillId="0" borderId="13" xfId="0" applyNumberFormat="1" applyFont="1" applyFill="1" applyBorder="1" applyAlignment="1">
      <alignment horizontal="center" wrapText="1"/>
    </xf>
    <xf numFmtId="42" fontId="1" fillId="0" borderId="13" xfId="0" applyNumberFormat="1" applyFont="1" applyBorder="1" applyAlignment="1">
      <alignment/>
    </xf>
    <xf numFmtId="42" fontId="1" fillId="0" borderId="13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/>
    </xf>
    <xf numFmtId="44" fontId="1" fillId="0" borderId="13" xfId="0" applyNumberFormat="1" applyFont="1" applyBorder="1" applyAlignment="1">
      <alignment horizontal="center"/>
    </xf>
    <xf numFmtId="42" fontId="2" fillId="0" borderId="10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42" fontId="14" fillId="0" borderId="13" xfId="0" applyNumberFormat="1" applyFont="1" applyFill="1" applyBorder="1" applyAlignment="1">
      <alignment horizontal="center" wrapText="1"/>
    </xf>
    <xf numFmtId="42" fontId="14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42" fontId="15" fillId="0" borderId="0" xfId="0" applyNumberFormat="1" applyFont="1" applyBorder="1" applyAlignment="1">
      <alignment/>
    </xf>
    <xf numFmtId="42" fontId="1" fillId="33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quotePrefix="1">
      <alignment/>
    </xf>
    <xf numFmtId="42" fontId="1" fillId="0" borderId="10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4" fontId="1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8" fillId="33" borderId="13" xfId="0" applyFont="1" applyFill="1" applyBorder="1" applyAlignment="1">
      <alignment/>
    </xf>
    <xf numFmtId="37" fontId="1" fillId="33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42" fontId="1" fillId="0" borderId="13" xfId="0" applyNumberFormat="1" applyFont="1" applyBorder="1" applyAlignment="1">
      <alignment/>
    </xf>
    <xf numFmtId="44" fontId="1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7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37" fontId="1" fillId="0" borderId="13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horizontal="center" wrapText="1"/>
    </xf>
    <xf numFmtId="4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Combustion By-Product Management Study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Alcoa Warrick Power Plant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Newburgh, Warrick County, Indiana 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Opinion of Coal Combustion By-Product Transportation Costs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45"/>
          <c:w val="0.879"/>
          <c:h val="0.6805"/>
        </c:manualLayout>
      </c:layout>
      <c:scatterChart>
        <c:scatterStyle val="lineMarker"/>
        <c:varyColors val="0"/>
        <c:ser>
          <c:idx val="1"/>
          <c:order val="0"/>
          <c:tx>
            <c:v>Trucking Scenario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Summary_Detailed!$C$10:$V$10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Summary_Detailed!$C$23:$V$23</c:f>
              <c:numCache>
                <c:ptCount val="20"/>
                <c:pt idx="0">
                  <c:v>5141118.6375</c:v>
                </c:pt>
                <c:pt idx="1">
                  <c:v>7851497.89875</c:v>
                </c:pt>
                <c:pt idx="2">
                  <c:v>10629636.64153125</c:v>
                </c:pt>
                <c:pt idx="3">
                  <c:v>13477228.85288203</c:v>
                </c:pt>
                <c:pt idx="4">
                  <c:v>16396010.86951658</c:v>
                </c:pt>
                <c:pt idx="5">
                  <c:v>19387762.436566994</c:v>
                </c:pt>
                <c:pt idx="6">
                  <c:v>22454307.792793665</c:v>
                </c:pt>
                <c:pt idx="7">
                  <c:v>25597516.782926004</c:v>
                </c:pt>
                <c:pt idx="8">
                  <c:v>28819305.997811653</c:v>
                </c:pt>
                <c:pt idx="9">
                  <c:v>32121639.943069443</c:v>
                </c:pt>
                <c:pt idx="10">
                  <c:v>35506532.236958675</c:v>
                </c:pt>
                <c:pt idx="11">
                  <c:v>38976046.83819514</c:v>
                </c:pt>
                <c:pt idx="12">
                  <c:v>42532299.304462515</c:v>
                </c:pt>
                <c:pt idx="13">
                  <c:v>46177458.082386576</c:v>
                </c:pt>
                <c:pt idx="14">
                  <c:v>49913745.82975873</c:v>
                </c:pt>
                <c:pt idx="15">
                  <c:v>53743440.77081519</c:v>
                </c:pt>
                <c:pt idx="16">
                  <c:v>57668878.08539807</c:v>
                </c:pt>
                <c:pt idx="17">
                  <c:v>61692451.33284552</c:v>
                </c:pt>
                <c:pt idx="18">
                  <c:v>65816613.911479145</c:v>
                </c:pt>
                <c:pt idx="19">
                  <c:v>70043880.55457862</c:v>
                </c:pt>
              </c:numCache>
            </c:numRef>
          </c:yVal>
          <c:smooth val="0"/>
        </c:ser>
        <c:ser>
          <c:idx val="0"/>
          <c:order val="1"/>
          <c:tx>
            <c:v>Conveying Scenario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Summary_Detailed!$X$10:$AQ$10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Summary_Detailed!$X$23:$AQ$23</c:f>
              <c:numCache>
                <c:ptCount val="20"/>
                <c:pt idx="0">
                  <c:v>4643569.660394999</c:v>
                </c:pt>
                <c:pt idx="1">
                  <c:v>7027999.280159249</c:v>
                </c:pt>
                <c:pt idx="2">
                  <c:v>9472039.640417606</c:v>
                </c:pt>
                <c:pt idx="3">
                  <c:v>11977181.00968242</c:v>
                </c:pt>
                <c:pt idx="4">
                  <c:v>14544950.913178856</c:v>
                </c:pt>
                <c:pt idx="5">
                  <c:v>17176915.0642627</c:v>
                </c:pt>
                <c:pt idx="6">
                  <c:v>19874678.31912364</c:v>
                </c:pt>
                <c:pt idx="7">
                  <c:v>22639885.655356105</c:v>
                </c:pt>
                <c:pt idx="8">
                  <c:v>25474223.17499438</c:v>
                </c:pt>
                <c:pt idx="9">
                  <c:v>28379419.132623613</c:v>
                </c:pt>
                <c:pt idx="10">
                  <c:v>32101151.62709596</c:v>
                </c:pt>
                <c:pt idx="11">
                  <c:v>35153423.13008017</c:v>
                </c:pt>
                <c:pt idx="12">
                  <c:v>38282001.420638986</c:v>
                </c:pt>
                <c:pt idx="13">
                  <c:v>41488794.16846177</c:v>
                </c:pt>
                <c:pt idx="14">
                  <c:v>44775756.73498013</c:v>
                </c:pt>
                <c:pt idx="15">
                  <c:v>48144893.36566144</c:v>
                </c:pt>
                <c:pt idx="16">
                  <c:v>51598258.41210979</c:v>
                </c:pt>
                <c:pt idx="17">
                  <c:v>55137957.584719345</c:v>
                </c:pt>
                <c:pt idx="18">
                  <c:v>58766149.23664414</c:v>
                </c:pt>
                <c:pt idx="19">
                  <c:v>62485045.67986706</c:v>
                </c:pt>
              </c:numCache>
            </c:numRef>
          </c:yVal>
          <c:smooth val="0"/>
        </c:ser>
        <c:ser>
          <c:idx val="2"/>
          <c:order val="2"/>
          <c:tx>
            <c:v>Sluicing Scenario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Summary_Detailed!$AS$10:$BL$10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Summary_Detailed!$AS$23:$BL$23</c:f>
              <c:numCache>
                <c:ptCount val="20"/>
                <c:pt idx="0">
                  <c:v>24743743.406749997</c:v>
                </c:pt>
                <c:pt idx="1">
                  <c:v>27803774.576324996</c:v>
                </c:pt>
                <c:pt idx="2">
                  <c:v>30940306.52513937</c:v>
                </c:pt>
                <c:pt idx="3">
                  <c:v>34155251.7726741</c:v>
                </c:pt>
                <c:pt idx="4">
                  <c:v>37450570.6513972</c:v>
                </c:pt>
                <c:pt idx="5">
                  <c:v>40828272.502088375</c:v>
                </c:pt>
                <c:pt idx="6">
                  <c:v>44290416.89904683</c:v>
                </c:pt>
                <c:pt idx="7">
                  <c:v>47839114.90592925</c:v>
                </c:pt>
                <c:pt idx="8">
                  <c:v>51476530.36298373</c:v>
                </c:pt>
                <c:pt idx="9">
                  <c:v>55204881.206464574</c:v>
                </c:pt>
                <c:pt idx="10">
                  <c:v>62477143.44541701</c:v>
                </c:pt>
                <c:pt idx="11">
                  <c:v>66394242.050349064</c:v>
                </c:pt>
                <c:pt idx="12">
                  <c:v>70409268.12040442</c:v>
                </c:pt>
                <c:pt idx="13">
                  <c:v>74524669.84221117</c:v>
                </c:pt>
                <c:pt idx="14">
                  <c:v>78742956.60706308</c:v>
                </c:pt>
                <c:pt idx="15">
                  <c:v>83066700.5410363</c:v>
                </c:pt>
                <c:pt idx="16">
                  <c:v>87498538.07335883</c:v>
                </c:pt>
                <c:pt idx="17">
                  <c:v>92041171.54398943</c:v>
                </c:pt>
                <c:pt idx="18">
                  <c:v>96697370.8513858</c:v>
                </c:pt>
                <c:pt idx="19">
                  <c:v>101469975.14146708</c:v>
                </c:pt>
              </c:numCache>
            </c:numRef>
          </c:yVal>
          <c:smooth val="0"/>
        </c:ser>
        <c:axId val="63504238"/>
        <c:axId val="34667231"/>
      </c:scatterChart>
      <c:valAx>
        <c:axId val="63504238"/>
        <c:scaling>
          <c:orientation val="minMax"/>
          <c:max val="2027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231"/>
        <c:crosses val="autoZero"/>
        <c:crossBetween val="midCat"/>
        <c:dispUnits/>
        <c:majorUnit val="1"/>
        <c:minorUnit val="1"/>
      </c:valAx>
      <c:valAx>
        <c:axId val="34667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Cycle Costs (Inflated $)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423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65"/>
          <c:y val="0.963"/>
          <c:w val="0.39525"/>
          <c:h val="0.0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Combustion By-Product Management Study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Alcoa Warrick Power Plant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Newburgh, Warrick County, Indiana 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Opinion of Coal Combustion By-Product Transportation Costs 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45"/>
          <c:w val="0.879"/>
          <c:h val="0.68125"/>
        </c:manualLayout>
      </c:layout>
      <c:scatterChart>
        <c:scatterStyle val="lineMarker"/>
        <c:varyColors val="0"/>
        <c:ser>
          <c:idx val="1"/>
          <c:order val="0"/>
          <c:tx>
            <c:v>Trucking Scenario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Summary_Detailed!$C$10:$V$10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Summary_Detailed!$C$35:$V$35</c:f>
              <c:numCache>
                <c:ptCount val="20"/>
                <c:pt idx="0">
                  <c:v>4760295.034722222</c:v>
                </c:pt>
                <c:pt idx="1">
                  <c:v>7084008.3931327155</c:v>
                </c:pt>
                <c:pt idx="2">
                  <c:v>9289384.497179711</c:v>
                </c:pt>
                <c:pt idx="3">
                  <c:v>11382449.781113202</c:v>
                </c:pt>
                <c:pt idx="4">
                  <c:v>13368923.777438968</c:v>
                </c:pt>
                <c:pt idx="5">
                  <c:v>15254234.746174071</c:v>
                </c:pt>
                <c:pt idx="6">
                  <c:v>17043534.508168034</c:v>
                </c:pt>
                <c:pt idx="7">
                  <c:v>18741712.523023415</c:v>
                </c:pt>
                <c:pt idx="8">
                  <c:v>20353409.250085235</c:v>
                </c:pt>
                <c:pt idx="9">
                  <c:v>21883028.829009645</c:v>
                </c:pt>
                <c:pt idx="10">
                  <c:v>23334751.114562906</c:v>
                </c:pt>
                <c:pt idx="11">
                  <c:v>24712543.098537065</c:v>
                </c:pt>
                <c:pt idx="12">
                  <c:v>26020169.74999402</c:v>
                </c:pt>
                <c:pt idx="13">
                  <c:v>27261204.303460114</c:v>
                </c:pt>
                <c:pt idx="14">
                  <c:v>28439038.023184877</c:v>
                </c:pt>
                <c:pt idx="15">
                  <c:v>29556889.47014588</c:v>
                </c:pt>
                <c:pt idx="16">
                  <c:v>30617813.297122758</c:v>
                </c:pt>
                <c:pt idx="17">
                  <c:v>31624708.59587396</c:v>
                </c:pt>
                <c:pt idx="18">
                  <c:v>32580326.819225796</c:v>
                </c:pt>
                <c:pt idx="19">
                  <c:v>33487279.29972175</c:v>
                </c:pt>
              </c:numCache>
            </c:numRef>
          </c:yVal>
          <c:smooth val="0"/>
        </c:ser>
        <c:ser>
          <c:idx val="0"/>
          <c:order val="1"/>
          <c:tx>
            <c:v>Conveying Scenario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Summary_Detailed!$X$10:$AQ$10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Summary_Detailed!$X$35:$AQ$35</c:f>
              <c:numCache>
                <c:ptCount val="20"/>
                <c:pt idx="0">
                  <c:v>4299601.537402777</c:v>
                </c:pt>
                <c:pt idx="1">
                  <c:v>6343865.614704088</c:v>
                </c:pt>
                <c:pt idx="2">
                  <c:v>8284023.651031721</c:v>
                </c:pt>
                <c:pt idx="3">
                  <c:v>10125377.342916744</c:v>
                </c:pt>
                <c:pt idx="4">
                  <c:v>11872958.393085398</c:v>
                </c:pt>
                <c:pt idx="5">
                  <c:v>13531542.260143612</c:v>
                </c:pt>
                <c:pt idx="6">
                  <c:v>15105661.208046082</c:v>
                </c:pt>
                <c:pt idx="7">
                  <c:v>16599616.691009076</c:v>
                </c:pt>
                <c:pt idx="8">
                  <c:v>18017491.107710063</c:v>
                </c:pt>
                <c:pt idx="9">
                  <c:v>19363158.956893872</c:v>
                </c:pt>
                <c:pt idx="10">
                  <c:v>20959346.230813093</c:v>
                </c:pt>
                <c:pt idx="11">
                  <c:v>22171445.239771202</c:v>
                </c:pt>
                <c:pt idx="12">
                  <c:v>23321816.984384224</c:v>
                </c:pt>
                <c:pt idx="13">
                  <c:v>24413604.982743803</c:v>
                </c:pt>
                <c:pt idx="14">
                  <c:v>25449792.66637211</c:v>
                </c:pt>
                <c:pt idx="15">
                  <c:v>26433211.532778602</c:v>
                </c:pt>
                <c:pt idx="16">
                  <c:v>27366548.88284032</c:v>
                </c:pt>
                <c:pt idx="17">
                  <c:v>28252355.164148893</c:v>
                </c:pt>
                <c:pt idx="18">
                  <c:v>29093050.940390825</c:v>
                </c:pt>
                <c:pt idx="19">
                  <c:v>29890933.505805623</c:v>
                </c:pt>
              </c:numCache>
            </c:numRef>
          </c:yVal>
          <c:smooth val="0"/>
        </c:ser>
        <c:ser>
          <c:idx val="2"/>
          <c:order val="2"/>
          <c:tx>
            <c:v>Sluicing Scenario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Summary_Detailed!$AS$10:$BL$10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Summary_Detailed!$AS$35:$BL$35</c:f>
              <c:numCache>
                <c:ptCount val="20"/>
                <c:pt idx="0">
                  <c:v>22910873.524768513</c:v>
                </c:pt>
                <c:pt idx="1">
                  <c:v>25534357.037778627</c:v>
                </c:pt>
                <c:pt idx="2">
                  <c:v>28024237.223737303</c:v>
                </c:pt>
                <c:pt idx="3">
                  <c:v>30387317.955781415</c:v>
                </c:pt>
                <c:pt idx="4">
                  <c:v>32630056.613508467</c:v>
                </c:pt>
                <c:pt idx="5">
                  <c:v>34758581.7284809</c:v>
                </c:pt>
                <c:pt idx="6">
                  <c:v>36778709.73111677</c:v>
                </c:pt>
                <c:pt idx="7">
                  <c:v>38695960.84472952</c:v>
                </c:pt>
                <c:pt idx="8">
                  <c:v>40515574.17014903</c:v>
                </c:pt>
                <c:pt idx="9">
                  <c:v>42242522.0021444</c:v>
                </c:pt>
                <c:pt idx="10">
                  <c:v>45361470.62503969</c:v>
                </c:pt>
                <c:pt idx="11">
                  <c:v>46917004.375031225</c:v>
                </c:pt>
                <c:pt idx="12">
                  <c:v>48393321.12849542</c:v>
                </c:pt>
                <c:pt idx="13">
                  <c:v>49794455.084329486</c:v>
                </c:pt>
                <c:pt idx="14">
                  <c:v>51124234.99611645</c:v>
                </c:pt>
                <c:pt idx="15">
                  <c:v>52386294.63461797</c:v>
                </c:pt>
                <c:pt idx="16">
                  <c:v>53584082.71745506</c:v>
                </c:pt>
                <c:pt idx="17">
                  <c:v>54720872.33311063</c:v>
                </c:pt>
                <c:pt idx="18">
                  <c:v>55799769.885005966</c:v>
                </c:pt>
                <c:pt idx="19">
                  <c:v>56823723.58009181</c:v>
                </c:pt>
              </c:numCache>
            </c:numRef>
          </c:yVal>
          <c:smooth val="0"/>
        </c:ser>
        <c:axId val="43569624"/>
        <c:axId val="56582297"/>
      </c:scatterChart>
      <c:valAx>
        <c:axId val="43569624"/>
        <c:scaling>
          <c:orientation val="minMax"/>
          <c:max val="2027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2297"/>
        <c:crosses val="autoZero"/>
        <c:crossBetween val="midCat"/>
        <c:dispUnits/>
        <c:majorUnit val="1"/>
        <c:minorUnit val="1"/>
      </c:valAx>
      <c:valAx>
        <c:axId val="5658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Cycle Costs (Net Present Worth - 2007  $)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63"/>
          <c:w val="0.39525"/>
          <c:h val="0.0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0.75" header="0.5" footer="0.5"/>
  <pageSetup horizontalDpi="600" verticalDpi="600" orientation="landscape"/>
  <headerFooter>
    <oddFooter>&amp;L&amp;8&amp;Z&amp;F&amp;R&amp;8&amp;D
&amp;P of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0.75" header="0.5" footer="0.5"/>
  <pageSetup horizontalDpi="600" verticalDpi="600" orientation="landscape"/>
  <headerFooter>
    <oddFooter>&amp;L&amp;8&amp;Z&amp;F&amp;R&amp;8&amp;D
&amp;P of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16.28125" style="62" customWidth="1"/>
    <col min="2" max="2" width="86.28125" style="62" customWidth="1"/>
    <col min="3" max="4" width="19.8515625" style="5" customWidth="1"/>
    <col min="5" max="5" width="19.7109375" style="5" customWidth="1"/>
    <col min="6" max="16384" width="9.140625" style="62" customWidth="1"/>
  </cols>
  <sheetData>
    <row r="1" spans="1:5" ht="18">
      <c r="A1" s="180" t="s">
        <v>15</v>
      </c>
      <c r="B1" s="180"/>
      <c r="C1" s="180"/>
      <c r="D1" s="180"/>
      <c r="E1" s="180"/>
    </row>
    <row r="2" spans="1:5" ht="18">
      <c r="A2" s="181" t="s">
        <v>16</v>
      </c>
      <c r="B2" s="181"/>
      <c r="C2" s="181"/>
      <c r="D2" s="181"/>
      <c r="E2" s="181"/>
    </row>
    <row r="3" spans="1:5" ht="18">
      <c r="A3" s="181" t="s">
        <v>17</v>
      </c>
      <c r="B3" s="181"/>
      <c r="C3" s="181"/>
      <c r="D3" s="181"/>
      <c r="E3" s="181"/>
    </row>
    <row r="4" ht="18">
      <c r="A4" s="101"/>
    </row>
    <row r="5" spans="1:5" ht="18">
      <c r="A5" s="180" t="s">
        <v>18</v>
      </c>
      <c r="B5" s="180"/>
      <c r="C5" s="180"/>
      <c r="D5" s="180"/>
      <c r="E5" s="180"/>
    </row>
    <row r="6" spans="1:5" ht="18">
      <c r="A6" s="179"/>
      <c r="B6" s="179"/>
      <c r="C6" s="179"/>
      <c r="D6" s="179"/>
      <c r="E6" s="179"/>
    </row>
    <row r="7" ht="18" customHeight="1">
      <c r="B7" s="102"/>
    </row>
    <row r="8" spans="2:5" ht="18" customHeight="1">
      <c r="B8" s="123"/>
      <c r="C8" s="138" t="s">
        <v>55</v>
      </c>
      <c r="D8" s="138" t="s">
        <v>89</v>
      </c>
      <c r="E8" s="138" t="s">
        <v>105</v>
      </c>
    </row>
    <row r="9" spans="2:5" ht="18" customHeight="1">
      <c r="B9" s="123"/>
      <c r="C9" s="123"/>
      <c r="D9" s="123"/>
      <c r="E9" s="123"/>
    </row>
    <row r="10" spans="2:5" ht="14.25" customHeight="1">
      <c r="B10" s="123"/>
      <c r="C10" s="139" t="s">
        <v>106</v>
      </c>
      <c r="D10" s="139" t="s">
        <v>106</v>
      </c>
      <c r="E10" s="139" t="s">
        <v>106</v>
      </c>
    </row>
    <row r="11" spans="2:5" ht="14.25" customHeight="1">
      <c r="B11" s="140"/>
      <c r="C11" s="123"/>
      <c r="D11" s="123"/>
      <c r="E11" s="123"/>
    </row>
    <row r="12" spans="2:5" ht="14.25" customHeight="1">
      <c r="B12" s="140" t="s">
        <v>83</v>
      </c>
      <c r="C12" s="141">
        <f>Summary_Detailed!W12</f>
        <v>17835800</v>
      </c>
      <c r="D12" s="141">
        <f>Summary_Detailed!AR12</f>
        <v>17835800</v>
      </c>
      <c r="E12" s="141">
        <f>Summary_Detailed!BM12</f>
        <v>17835800</v>
      </c>
    </row>
    <row r="13" spans="2:5" ht="14.25" customHeight="1">
      <c r="B13" s="140" t="s">
        <v>182</v>
      </c>
      <c r="C13" s="141">
        <f>Summary_Detailed!W13</f>
        <v>22616190.014903124</v>
      </c>
      <c r="D13" s="141">
        <f>Summary_Detailed!AR13</f>
        <v>22616190.014903124</v>
      </c>
      <c r="E13" s="141">
        <f>Summary_Detailed!BM13</f>
        <v>22616190.014903124</v>
      </c>
    </row>
    <row r="14" spans="2:5" ht="14.25" customHeight="1">
      <c r="B14" s="140"/>
      <c r="C14" s="141"/>
      <c r="D14" s="141"/>
      <c r="E14" s="141"/>
    </row>
    <row r="15" spans="2:5" ht="14.25" customHeight="1">
      <c r="B15" s="142" t="s">
        <v>95</v>
      </c>
      <c r="C15" s="143"/>
      <c r="D15" s="143"/>
      <c r="E15" s="143"/>
    </row>
    <row r="16" spans="2:5" ht="14.25" customHeight="1">
      <c r="B16" s="144"/>
      <c r="C16" s="141"/>
      <c r="D16" s="141"/>
      <c r="E16" s="141"/>
    </row>
    <row r="17" spans="2:5" ht="14.25" customHeight="1">
      <c r="B17" s="140" t="s">
        <v>91</v>
      </c>
      <c r="C17" s="145">
        <f>Summary_Detailed!W17</f>
        <v>2496846.1875</v>
      </c>
      <c r="D17" s="145">
        <f>Summary_Detailed!AR17</f>
        <v>2317296.860625</v>
      </c>
      <c r="E17" s="145">
        <f>Summary_Detailed!BM17</f>
        <v>21758347.143749997</v>
      </c>
    </row>
    <row r="18" spans="2:5" ht="14.25" customHeight="1">
      <c r="B18" s="140"/>
      <c r="C18" s="141"/>
      <c r="D18" s="141"/>
      <c r="E18" s="141"/>
    </row>
    <row r="19" spans="2:5" ht="14.25" customHeight="1">
      <c r="B19" s="140" t="s">
        <v>92</v>
      </c>
      <c r="C19" s="146">
        <f>Summary_Detailed!W19</f>
        <v>0.13999070338869016</v>
      </c>
      <c r="D19" s="146">
        <f>Summary_Detailed!AR19</f>
        <v>0.1299239092513372</v>
      </c>
      <c r="E19" s="146">
        <f>Summary_Detailed!BM19</f>
        <v>1.2199254950016258</v>
      </c>
    </row>
    <row r="20" spans="2:5" ht="14.25" customHeight="1">
      <c r="B20" s="140" t="s">
        <v>188</v>
      </c>
      <c r="C20" s="146">
        <f>Summary_Detailed!W20</f>
        <v>0.11040083169864963</v>
      </c>
      <c r="D20" s="146">
        <f>Summary_Detailed!AR20</f>
        <v>0.10246185847828473</v>
      </c>
      <c r="E20" s="146">
        <f>Summary_Detailed!BM20</f>
        <v>0.9620695231784026</v>
      </c>
    </row>
    <row r="21" spans="2:5" ht="14.25" customHeight="1">
      <c r="B21" s="140"/>
      <c r="C21" s="141"/>
      <c r="D21" s="141"/>
      <c r="E21" s="141"/>
    </row>
    <row r="22" spans="2:5" ht="14.25" customHeight="1">
      <c r="B22" s="140" t="s">
        <v>237</v>
      </c>
      <c r="C22" s="145">
        <f>Summary_Detailed!W22</f>
        <v>70043880.55457862</v>
      </c>
      <c r="D22" s="145">
        <f>Summary_Detailed!AR22</f>
        <v>62485045.67986706</v>
      </c>
      <c r="E22" s="145">
        <f>Summary_Detailed!BM22</f>
        <v>101469975.14146708</v>
      </c>
    </row>
    <row r="23" spans="2:5" ht="14.25" customHeight="1">
      <c r="B23" s="140"/>
      <c r="C23" s="141"/>
      <c r="D23" s="141"/>
      <c r="E23" s="141"/>
    </row>
    <row r="24" spans="2:5" ht="14.25" customHeight="1">
      <c r="B24" s="140" t="s">
        <v>93</v>
      </c>
      <c r="C24" s="146">
        <f>Summary_Detailed!W24</f>
        <v>3.9271510419817792</v>
      </c>
      <c r="D24" s="146">
        <f>Summary_Detailed!AR24</f>
        <v>3.5033497617077485</v>
      </c>
      <c r="E24" s="146">
        <f>Summary_Detailed!BM24</f>
        <v>5.689118242045049</v>
      </c>
    </row>
    <row r="25" spans="2:5" ht="14.25" customHeight="1">
      <c r="B25" s="140" t="s">
        <v>189</v>
      </c>
      <c r="C25" s="146">
        <f>Summary_Detailed!W25</f>
        <v>3.097068096280701</v>
      </c>
      <c r="D25" s="146">
        <f>Summary_Detailed!AR25</f>
        <v>2.762845803766772</v>
      </c>
      <c r="E25" s="146">
        <f>Summary_Detailed!BM25</f>
        <v>4.486607827162869</v>
      </c>
    </row>
    <row r="26" spans="2:5" ht="14.25" customHeight="1">
      <c r="B26" s="140"/>
      <c r="C26" s="141"/>
      <c r="D26" s="141"/>
      <c r="E26" s="141"/>
    </row>
    <row r="27" spans="2:5" ht="14.25" customHeight="1">
      <c r="B27" s="142" t="s">
        <v>289</v>
      </c>
      <c r="C27" s="143"/>
      <c r="D27" s="143"/>
      <c r="E27" s="143"/>
    </row>
    <row r="28" spans="2:5" ht="14.25" customHeight="1">
      <c r="B28" s="140"/>
      <c r="C28" s="141"/>
      <c r="D28" s="141"/>
      <c r="E28" s="141"/>
    </row>
    <row r="29" spans="2:5" ht="14.25" customHeight="1">
      <c r="B29" s="140" t="s">
        <v>290</v>
      </c>
      <c r="C29" s="145">
        <f>Summary_Detailed!W29</f>
        <v>2311894.6180555555</v>
      </c>
      <c r="D29" s="145">
        <f>Summary_Detailed!AR29</f>
        <v>2145645.2413194445</v>
      </c>
      <c r="E29" s="145">
        <f>Summary_Detailed!BM29</f>
        <v>20146617.72569444</v>
      </c>
    </row>
    <row r="30" spans="2:5" ht="14.25" customHeight="1">
      <c r="B30" s="140"/>
      <c r="C30" s="141"/>
      <c r="D30" s="141"/>
      <c r="E30" s="141"/>
    </row>
    <row r="31" spans="2:5" ht="14.25" customHeight="1">
      <c r="B31" s="140" t="s">
        <v>291</v>
      </c>
      <c r="C31" s="146">
        <f>Summary_Detailed!W31</f>
        <v>0.1296210216561946</v>
      </c>
      <c r="D31" s="146">
        <f>Summary_Detailed!AR31</f>
        <v>0.12029991597346038</v>
      </c>
      <c r="E31" s="146">
        <f>Summary_Detailed!BM31</f>
        <v>1.1295606435200238</v>
      </c>
    </row>
    <row r="32" spans="2:5" ht="14.25" customHeight="1">
      <c r="B32" s="140" t="s">
        <v>292</v>
      </c>
      <c r="C32" s="146">
        <f>Summary_Detailed!W32</f>
        <v>0.10222299231356446</v>
      </c>
      <c r="D32" s="146">
        <f>Summary_Detailed!AR32</f>
        <v>0.09487209118359696</v>
      </c>
      <c r="E32" s="146">
        <f>Summary_Detailed!BM32</f>
        <v>0.8908051140540764</v>
      </c>
    </row>
    <row r="33" spans="2:5" ht="14.25" customHeight="1">
      <c r="B33" s="140"/>
      <c r="C33" s="141"/>
      <c r="D33" s="141"/>
      <c r="E33" s="141"/>
    </row>
    <row r="34" spans="2:5" ht="14.25" customHeight="1">
      <c r="B34" s="140" t="s">
        <v>293</v>
      </c>
      <c r="C34" s="145">
        <f>Summary_Detailed!W34</f>
        <v>33487279.29972175</v>
      </c>
      <c r="D34" s="145">
        <f>Summary_Detailed!AR34</f>
        <v>29890933.505805623</v>
      </c>
      <c r="E34" s="145">
        <f>Summary_Detailed!BM34</f>
        <v>56823723.58009181</v>
      </c>
    </row>
    <row r="35" spans="2:5" ht="14.25" customHeight="1">
      <c r="B35" s="140"/>
      <c r="C35" s="141"/>
      <c r="D35" s="141"/>
      <c r="E35" s="141"/>
    </row>
    <row r="36" spans="2:5" ht="14.25" customHeight="1">
      <c r="B36" s="140" t="s">
        <v>294</v>
      </c>
      <c r="C36" s="146">
        <f>Summary_Detailed!W36</f>
        <v>1.8775316666323771</v>
      </c>
      <c r="D36" s="146">
        <f>Summary_Detailed!AR36</f>
        <v>1.6758953063953186</v>
      </c>
      <c r="E36" s="146">
        <f>Summary_Detailed!BM36</f>
        <v>3.1859363516125887</v>
      </c>
    </row>
    <row r="37" spans="2:5" ht="14.25" customHeight="1">
      <c r="B37" s="140" t="s">
        <v>295</v>
      </c>
      <c r="C37" s="146">
        <f>Summary_Detailed!W37</f>
        <v>1.4806773058439566</v>
      </c>
      <c r="D37" s="146">
        <f>Summary_Detailed!AR37</f>
        <v>1.3216608759525255</v>
      </c>
      <c r="E37" s="146">
        <f>Summary_Detailed!BM37</f>
        <v>2.5125241494101065</v>
      </c>
    </row>
    <row r="38" spans="3:5" ht="14.25" customHeight="1">
      <c r="C38" s="62"/>
      <c r="D38" s="62"/>
      <c r="E38" s="62"/>
    </row>
    <row r="39" spans="1:5" ht="14.25" customHeight="1">
      <c r="A39" s="147" t="s">
        <v>258</v>
      </c>
      <c r="B39" s="147" t="s">
        <v>375</v>
      </c>
      <c r="C39" s="62"/>
      <c r="D39" s="62"/>
      <c r="E39" s="62"/>
    </row>
    <row r="40" spans="1:5" ht="14.25" customHeight="1">
      <c r="A40" s="147"/>
      <c r="B40" s="147" t="s">
        <v>376</v>
      </c>
      <c r="C40" s="62"/>
      <c r="D40" s="62"/>
      <c r="E40" s="62"/>
    </row>
    <row r="41" spans="1:5" ht="14.25" customHeight="1">
      <c r="A41" s="147"/>
      <c r="B41" s="147" t="s">
        <v>377</v>
      </c>
      <c r="C41" s="62"/>
      <c r="D41" s="62"/>
      <c r="E41" s="62"/>
    </row>
    <row r="42" spans="1:5" ht="14.25" customHeight="1">
      <c r="A42" s="147"/>
      <c r="B42" s="147" t="s">
        <v>398</v>
      </c>
      <c r="C42" s="62"/>
      <c r="D42" s="62"/>
      <c r="E42" s="62"/>
    </row>
    <row r="43" spans="1:5" ht="14.25" customHeight="1">
      <c r="A43" s="147"/>
      <c r="B43" s="147" t="s">
        <v>378</v>
      </c>
      <c r="C43" s="62"/>
      <c r="D43" s="62"/>
      <c r="E43" s="62"/>
    </row>
    <row r="44" spans="1:5" ht="14.25" customHeight="1">
      <c r="A44" s="147"/>
      <c r="B44" s="147" t="s">
        <v>379</v>
      </c>
      <c r="C44" s="62"/>
      <c r="D44" s="62"/>
      <c r="E44" s="62"/>
    </row>
    <row r="45" spans="1:5" ht="14.25" customHeight="1">
      <c r="A45" s="147"/>
      <c r="B45" s="147" t="s">
        <v>296</v>
      </c>
      <c r="C45" s="62"/>
      <c r="D45" s="62"/>
      <c r="E45" s="62"/>
    </row>
    <row r="46" spans="2:5" ht="14.25">
      <c r="B46" s="147" t="s">
        <v>380</v>
      </c>
      <c r="C46" s="62"/>
      <c r="D46" s="62"/>
      <c r="E46" s="62"/>
    </row>
    <row r="47" spans="2:5" ht="14.25">
      <c r="B47" s="147" t="s">
        <v>297</v>
      </c>
      <c r="C47" s="62"/>
      <c r="D47" s="62"/>
      <c r="E47" s="62"/>
    </row>
    <row r="48" spans="1:5" ht="14.25" customHeight="1">
      <c r="A48" s="147"/>
      <c r="B48" s="148" t="s">
        <v>381</v>
      </c>
      <c r="C48" s="62"/>
      <c r="D48" s="62"/>
      <c r="E48" s="62"/>
    </row>
    <row r="49" spans="1:5" ht="14.25" customHeight="1">
      <c r="A49" s="147"/>
      <c r="B49" s="148" t="s">
        <v>382</v>
      </c>
      <c r="C49" s="62"/>
      <c r="D49" s="62"/>
      <c r="E49" s="62"/>
    </row>
    <row r="50" spans="1:5" ht="14.25" customHeight="1">
      <c r="A50" s="147"/>
      <c r="B50" s="148" t="s">
        <v>383</v>
      </c>
      <c r="C50" s="62"/>
      <c r="D50" s="62"/>
      <c r="E50" s="62"/>
    </row>
    <row r="51" spans="1:5" ht="14.25" customHeight="1">
      <c r="A51" s="147"/>
      <c r="B51" s="148" t="s">
        <v>391</v>
      </c>
      <c r="C51" s="62"/>
      <c r="D51" s="62"/>
      <c r="E51" s="62"/>
    </row>
    <row r="52" spans="2:5" ht="14.25">
      <c r="B52" s="147"/>
      <c r="C52" s="62"/>
      <c r="D52" s="62"/>
      <c r="E52" s="62"/>
    </row>
    <row r="53" spans="1:5" ht="14.25" customHeight="1">
      <c r="A53" s="147" t="s">
        <v>187</v>
      </c>
      <c r="B53" s="148" t="s">
        <v>100</v>
      </c>
      <c r="C53" s="62"/>
      <c r="D53" s="62"/>
      <c r="E53" s="62"/>
    </row>
    <row r="54" spans="1:5" ht="14.25" customHeight="1">
      <c r="A54" s="147"/>
      <c r="B54" s="148" t="s">
        <v>318</v>
      </c>
      <c r="C54" s="62"/>
      <c r="D54" s="62"/>
      <c r="E54" s="62"/>
    </row>
    <row r="55" spans="1:5" ht="14.25" customHeight="1">
      <c r="A55" s="147"/>
      <c r="B55" s="148" t="s">
        <v>316</v>
      </c>
      <c r="C55" s="62"/>
      <c r="D55" s="62"/>
      <c r="E55" s="62"/>
    </row>
    <row r="56" spans="1:5" ht="14.25" customHeight="1">
      <c r="A56" s="147"/>
      <c r="B56" s="149" t="s">
        <v>101</v>
      </c>
      <c r="C56" s="62"/>
      <c r="D56" s="62"/>
      <c r="E56" s="62"/>
    </row>
    <row r="57" spans="1:5" ht="14.25" customHeight="1">
      <c r="A57" s="147"/>
      <c r="B57" s="149" t="s">
        <v>102</v>
      </c>
      <c r="C57" s="62"/>
      <c r="D57" s="62"/>
      <c r="E57" s="62"/>
    </row>
    <row r="58" spans="1:5" ht="14.25" customHeight="1">
      <c r="A58" s="147"/>
      <c r="B58" s="149" t="s">
        <v>103</v>
      </c>
      <c r="C58" s="62"/>
      <c r="D58" s="62"/>
      <c r="E58" s="62"/>
    </row>
    <row r="59" spans="1:5" ht="14.25" customHeight="1">
      <c r="A59" s="147"/>
      <c r="B59" s="149" t="s">
        <v>279</v>
      </c>
      <c r="C59" s="62"/>
      <c r="D59" s="62"/>
      <c r="E59" s="62"/>
    </row>
    <row r="60" spans="1:5" ht="14.25" customHeight="1">
      <c r="A60" s="147"/>
      <c r="B60" s="148" t="s">
        <v>317</v>
      </c>
      <c r="C60" s="62"/>
      <c r="D60" s="62"/>
      <c r="E60" s="62"/>
    </row>
    <row r="61" spans="1:5" ht="14.25" customHeight="1">
      <c r="A61" s="147"/>
      <c r="C61" s="62"/>
      <c r="D61" s="62"/>
      <c r="E61" s="62"/>
    </row>
    <row r="62" spans="1:5" ht="14.25" customHeight="1">
      <c r="A62" s="147"/>
      <c r="B62" s="148" t="s">
        <v>104</v>
      </c>
      <c r="C62" s="62"/>
      <c r="D62" s="62"/>
      <c r="E62" s="62"/>
    </row>
    <row r="63" spans="1:5" ht="14.25" customHeight="1">
      <c r="A63" s="147"/>
      <c r="B63" s="148" t="s">
        <v>396</v>
      </c>
      <c r="C63" s="62"/>
      <c r="D63" s="62"/>
      <c r="E63" s="62"/>
    </row>
    <row r="64" spans="1:5" ht="14.25" customHeight="1">
      <c r="A64" s="147"/>
      <c r="B64" s="148" t="s">
        <v>416</v>
      </c>
      <c r="C64" s="62"/>
      <c r="D64" s="62"/>
      <c r="E64" s="62"/>
    </row>
    <row r="65" spans="1:5" ht="14.25" customHeight="1">
      <c r="A65" s="147"/>
      <c r="B65" s="148" t="s">
        <v>417</v>
      </c>
      <c r="C65" s="62"/>
      <c r="D65" s="62"/>
      <c r="E65" s="62"/>
    </row>
    <row r="66" spans="1:5" ht="14.25" customHeight="1">
      <c r="A66" s="147"/>
      <c r="B66" s="148" t="s">
        <v>322</v>
      </c>
      <c r="C66" s="62"/>
      <c r="D66" s="62"/>
      <c r="E66" s="62"/>
    </row>
    <row r="67" spans="1:5" ht="14.25" customHeight="1">
      <c r="A67" s="147"/>
      <c r="B67" s="148" t="s">
        <v>280</v>
      </c>
      <c r="C67" s="62"/>
      <c r="D67" s="62"/>
      <c r="E67" s="62"/>
    </row>
    <row r="68" spans="1:5" ht="14.25" customHeight="1">
      <c r="A68" s="147"/>
      <c r="B68" s="148" t="s">
        <v>281</v>
      </c>
      <c r="C68" s="62"/>
      <c r="D68" s="62"/>
      <c r="E68" s="62"/>
    </row>
    <row r="69" spans="3:5" ht="14.25">
      <c r="C69" s="62"/>
      <c r="D69" s="62"/>
      <c r="E69" s="62"/>
    </row>
    <row r="70" spans="1:5" ht="14.25" customHeight="1">
      <c r="A70" s="147" t="s">
        <v>223</v>
      </c>
      <c r="B70" s="148" t="s">
        <v>100</v>
      </c>
      <c r="C70" s="62"/>
      <c r="D70" s="62"/>
      <c r="E70" s="62"/>
    </row>
    <row r="71" spans="1:5" ht="14.25" customHeight="1">
      <c r="A71" s="147"/>
      <c r="B71" s="148" t="s">
        <v>318</v>
      </c>
      <c r="C71" s="62"/>
      <c r="D71" s="62"/>
      <c r="E71" s="62"/>
    </row>
    <row r="72" spans="1:5" ht="14.25" customHeight="1">
      <c r="A72" s="147"/>
      <c r="B72" s="148" t="s">
        <v>319</v>
      </c>
      <c r="C72" s="62"/>
      <c r="D72" s="62"/>
      <c r="E72" s="62"/>
    </row>
    <row r="73" spans="1:5" ht="14.25" customHeight="1">
      <c r="A73" s="147"/>
      <c r="B73" s="149" t="s">
        <v>224</v>
      </c>
      <c r="C73" s="62"/>
      <c r="D73" s="62"/>
      <c r="E73" s="62"/>
    </row>
    <row r="74" spans="1:5" ht="14.25" customHeight="1">
      <c r="A74" s="147"/>
      <c r="B74" s="149" t="s">
        <v>298</v>
      </c>
      <c r="C74" s="62"/>
      <c r="D74" s="62"/>
      <c r="E74" s="62"/>
    </row>
    <row r="75" spans="1:5" ht="14.25" customHeight="1">
      <c r="A75" s="147"/>
      <c r="B75" s="149" t="s">
        <v>299</v>
      </c>
      <c r="C75" s="62"/>
      <c r="D75" s="62"/>
      <c r="E75" s="62"/>
    </row>
    <row r="76" spans="1:2" s="137" customFormat="1" ht="14.25" customHeight="1">
      <c r="A76" s="150"/>
      <c r="B76" s="151" t="s">
        <v>321</v>
      </c>
    </row>
    <row r="77" spans="1:2" s="137" customFormat="1" ht="14.25" customHeight="1">
      <c r="A77" s="150"/>
      <c r="B77" s="151" t="s">
        <v>300</v>
      </c>
    </row>
    <row r="78" spans="1:5" ht="14.25" customHeight="1">
      <c r="A78" s="147"/>
      <c r="B78" s="149" t="s">
        <v>274</v>
      </c>
      <c r="C78" s="62"/>
      <c r="D78" s="62"/>
      <c r="E78" s="62"/>
    </row>
    <row r="79" spans="1:5" ht="14.25" customHeight="1">
      <c r="A79" s="147"/>
      <c r="B79" s="149" t="s">
        <v>282</v>
      </c>
      <c r="C79" s="62"/>
      <c r="D79" s="62"/>
      <c r="E79" s="62"/>
    </row>
    <row r="80" spans="1:5" ht="14.25" customHeight="1">
      <c r="A80" s="147"/>
      <c r="B80" s="149" t="s">
        <v>283</v>
      </c>
      <c r="C80" s="62"/>
      <c r="D80" s="62"/>
      <c r="E80" s="62"/>
    </row>
    <row r="81" spans="1:5" ht="14.25" customHeight="1">
      <c r="A81" s="147"/>
      <c r="B81" s="149" t="s">
        <v>284</v>
      </c>
      <c r="C81" s="62"/>
      <c r="D81" s="62"/>
      <c r="E81" s="62"/>
    </row>
    <row r="82" spans="1:5" ht="14.25" customHeight="1">
      <c r="A82" s="147"/>
      <c r="B82" s="149" t="s">
        <v>285</v>
      </c>
      <c r="C82" s="62"/>
      <c r="D82" s="62"/>
      <c r="E82" s="62"/>
    </row>
    <row r="83" spans="1:5" ht="18">
      <c r="A83" s="180" t="s">
        <v>15</v>
      </c>
      <c r="B83" s="180"/>
      <c r="C83" s="180"/>
      <c r="D83" s="180"/>
      <c r="E83" s="180"/>
    </row>
    <row r="84" spans="1:5" ht="18">
      <c r="A84" s="181" t="s">
        <v>16</v>
      </c>
      <c r="B84" s="181"/>
      <c r="C84" s="181"/>
      <c r="D84" s="181"/>
      <c r="E84" s="181"/>
    </row>
    <row r="85" spans="1:5" ht="18">
      <c r="A85" s="181" t="s">
        <v>17</v>
      </c>
      <c r="B85" s="181"/>
      <c r="C85" s="181"/>
      <c r="D85" s="181"/>
      <c r="E85" s="181"/>
    </row>
    <row r="86" ht="18">
      <c r="A86" s="101"/>
    </row>
    <row r="87" spans="1:5" ht="18">
      <c r="A87" s="180" t="s">
        <v>18</v>
      </c>
      <c r="B87" s="180"/>
      <c r="C87" s="180"/>
      <c r="D87" s="180"/>
      <c r="E87" s="180"/>
    </row>
    <row r="88" spans="1:5" ht="18">
      <c r="A88" s="179"/>
      <c r="B88" s="179"/>
      <c r="C88" s="179"/>
      <c r="D88" s="179"/>
      <c r="E88" s="179"/>
    </row>
    <row r="89" spans="1:5" ht="14.25" customHeight="1">
      <c r="A89" s="147" t="s">
        <v>223</v>
      </c>
      <c r="B89" s="149" t="s">
        <v>301</v>
      </c>
      <c r="C89" s="62"/>
      <c r="D89" s="62"/>
      <c r="E89" s="62"/>
    </row>
    <row r="90" spans="1:5" ht="14.25" customHeight="1">
      <c r="A90" s="147" t="s">
        <v>309</v>
      </c>
      <c r="B90" s="149" t="s">
        <v>302</v>
      </c>
      <c r="C90" s="62"/>
      <c r="D90" s="62"/>
      <c r="E90" s="62"/>
    </row>
    <row r="91" spans="2:5" ht="14.25" customHeight="1">
      <c r="B91" s="149" t="s">
        <v>303</v>
      </c>
      <c r="C91" s="62"/>
      <c r="D91" s="62"/>
      <c r="E91" s="62"/>
    </row>
    <row r="92" spans="2:5" ht="14.25" customHeight="1">
      <c r="B92" s="149" t="s">
        <v>304</v>
      </c>
      <c r="C92" s="62"/>
      <c r="D92" s="62"/>
      <c r="E92" s="62"/>
    </row>
    <row r="93" spans="1:5" ht="14.25" customHeight="1">
      <c r="A93" s="147"/>
      <c r="B93" s="149" t="s">
        <v>286</v>
      </c>
      <c r="C93" s="62"/>
      <c r="D93" s="62"/>
      <c r="E93" s="62"/>
    </row>
    <row r="94" spans="2:5" ht="14.25" customHeight="1">
      <c r="B94" s="102"/>
      <c r="C94" s="62"/>
      <c r="D94" s="62"/>
      <c r="E94" s="62"/>
    </row>
    <row r="95" spans="1:5" ht="14.25" customHeight="1">
      <c r="A95" s="147"/>
      <c r="B95" s="148" t="s">
        <v>104</v>
      </c>
      <c r="C95" s="62"/>
      <c r="D95" s="62"/>
      <c r="E95" s="62"/>
    </row>
    <row r="96" spans="1:5" ht="14.25" customHeight="1">
      <c r="A96" s="147"/>
      <c r="B96" s="148" t="s">
        <v>254</v>
      </c>
      <c r="C96" s="62"/>
      <c r="D96" s="62"/>
      <c r="E96" s="62"/>
    </row>
    <row r="97" spans="1:5" ht="14.25" customHeight="1">
      <c r="A97" s="147"/>
      <c r="B97" s="148" t="s">
        <v>305</v>
      </c>
      <c r="C97" s="62"/>
      <c r="D97" s="62"/>
      <c r="E97" s="62"/>
    </row>
    <row r="98" spans="1:5" ht="14.25" customHeight="1">
      <c r="A98" s="147"/>
      <c r="B98" s="148" t="s">
        <v>306</v>
      </c>
      <c r="C98" s="62"/>
      <c r="D98" s="62"/>
      <c r="E98" s="62"/>
    </row>
    <row r="99" spans="1:5" ht="14.25" customHeight="1">
      <c r="A99" s="147"/>
      <c r="B99" s="148" t="s">
        <v>418</v>
      </c>
      <c r="C99" s="62"/>
      <c r="D99" s="62"/>
      <c r="E99" s="62"/>
    </row>
    <row r="100" spans="1:5" ht="14.25" customHeight="1">
      <c r="A100" s="147"/>
      <c r="B100" s="148" t="s">
        <v>419</v>
      </c>
      <c r="C100" s="62"/>
      <c r="D100" s="62"/>
      <c r="E100" s="62"/>
    </row>
    <row r="101" spans="1:5" ht="14.25" customHeight="1">
      <c r="A101" s="147"/>
      <c r="B101" s="152" t="s">
        <v>307</v>
      </c>
      <c r="C101" s="62"/>
      <c r="D101" s="62"/>
      <c r="E101" s="62"/>
    </row>
    <row r="102" spans="1:5" ht="14.25" customHeight="1">
      <c r="A102" s="147"/>
      <c r="B102" s="152" t="s">
        <v>408</v>
      </c>
      <c r="C102" s="62"/>
      <c r="D102" s="62"/>
      <c r="E102" s="62"/>
    </row>
    <row r="103" spans="1:5" ht="14.25" customHeight="1">
      <c r="A103" s="147"/>
      <c r="B103" s="148" t="s">
        <v>255</v>
      </c>
      <c r="C103" s="62"/>
      <c r="D103" s="62"/>
      <c r="E103" s="62"/>
    </row>
    <row r="104" spans="1:5" ht="14.25" customHeight="1">
      <c r="A104" s="147"/>
      <c r="B104" s="148"/>
      <c r="C104" s="62"/>
      <c r="D104" s="62"/>
      <c r="E104" s="62"/>
    </row>
    <row r="105" spans="1:5" ht="14.25" customHeight="1">
      <c r="A105" s="147" t="s">
        <v>192</v>
      </c>
      <c r="B105" s="148" t="s">
        <v>100</v>
      </c>
      <c r="C105" s="62"/>
      <c r="D105" s="62"/>
      <c r="E105" s="62"/>
    </row>
    <row r="106" spans="1:5" ht="14.25" customHeight="1">
      <c r="A106" s="147"/>
      <c r="B106" s="148" t="s">
        <v>318</v>
      </c>
      <c r="C106" s="62"/>
      <c r="D106" s="62"/>
      <c r="E106" s="62"/>
    </row>
    <row r="107" spans="1:5" ht="14.25" customHeight="1">
      <c r="A107" s="147"/>
      <c r="B107" s="148" t="s">
        <v>320</v>
      </c>
      <c r="C107" s="62"/>
      <c r="D107" s="62"/>
      <c r="E107" s="62"/>
    </row>
    <row r="108" spans="1:5" ht="14.25" customHeight="1">
      <c r="A108" s="147"/>
      <c r="B108" s="149" t="s">
        <v>193</v>
      </c>
      <c r="C108" s="62"/>
      <c r="D108" s="62"/>
      <c r="E108" s="62"/>
    </row>
    <row r="109" spans="1:5" ht="14.25" customHeight="1">
      <c r="A109" s="147"/>
      <c r="B109" s="149" t="s">
        <v>194</v>
      </c>
      <c r="C109" s="62"/>
      <c r="D109" s="62"/>
      <c r="E109" s="62"/>
    </row>
    <row r="110" spans="1:5" ht="14.25" customHeight="1">
      <c r="A110" s="147"/>
      <c r="B110" s="149" t="s">
        <v>195</v>
      </c>
      <c r="C110" s="62"/>
      <c r="D110" s="62"/>
      <c r="E110" s="62"/>
    </row>
    <row r="111" spans="1:5" ht="14.25" customHeight="1">
      <c r="A111" s="147"/>
      <c r="B111" s="149" t="s">
        <v>287</v>
      </c>
      <c r="C111" s="62"/>
      <c r="D111" s="62"/>
      <c r="E111" s="62"/>
    </row>
    <row r="112" spans="1:5" ht="14.25" customHeight="1">
      <c r="A112" s="147"/>
      <c r="B112" s="149" t="s">
        <v>288</v>
      </c>
      <c r="C112" s="62"/>
      <c r="D112" s="62"/>
      <c r="E112" s="62"/>
    </row>
    <row r="113" spans="1:5" ht="14.25" customHeight="1">
      <c r="A113" s="147"/>
      <c r="B113" s="149" t="s">
        <v>323</v>
      </c>
      <c r="C113" s="62"/>
      <c r="D113" s="62"/>
      <c r="E113" s="62"/>
    </row>
    <row r="114" spans="1:5" ht="14.25" customHeight="1">
      <c r="A114" s="147"/>
      <c r="B114" s="149" t="s">
        <v>239</v>
      </c>
      <c r="C114" s="62"/>
      <c r="D114" s="62"/>
      <c r="E114" s="62"/>
    </row>
    <row r="115" spans="1:5" ht="14.25" customHeight="1">
      <c r="A115" s="147"/>
      <c r="B115" s="149" t="s">
        <v>238</v>
      </c>
      <c r="C115" s="62"/>
      <c r="D115" s="62"/>
      <c r="E115" s="62"/>
    </row>
    <row r="116" spans="1:5" ht="14.25" customHeight="1">
      <c r="A116" s="147"/>
      <c r="B116" s="149" t="s">
        <v>259</v>
      </c>
      <c r="C116" s="62"/>
      <c r="D116" s="62"/>
      <c r="E116" s="62"/>
    </row>
    <row r="117" spans="1:5" ht="14.25" customHeight="1">
      <c r="A117" s="147"/>
      <c r="B117" s="149" t="s">
        <v>226</v>
      </c>
      <c r="C117" s="62"/>
      <c r="D117" s="62"/>
      <c r="E117" s="62"/>
    </row>
    <row r="118" spans="1:5" ht="14.25" customHeight="1">
      <c r="A118" s="147"/>
      <c r="C118" s="62"/>
      <c r="D118" s="62"/>
      <c r="E118" s="62"/>
    </row>
    <row r="119" spans="1:5" ht="14.25" customHeight="1">
      <c r="A119" s="147"/>
      <c r="B119" s="148" t="s">
        <v>104</v>
      </c>
      <c r="C119" s="62"/>
      <c r="D119" s="62"/>
      <c r="E119" s="62"/>
    </row>
    <row r="120" spans="1:5" ht="14.25" customHeight="1">
      <c r="A120" s="147"/>
      <c r="B120" s="148" t="s">
        <v>256</v>
      </c>
      <c r="C120" s="62"/>
      <c r="D120" s="62"/>
      <c r="E120" s="62"/>
    </row>
    <row r="121" spans="1:5" ht="14.25" customHeight="1">
      <c r="A121" s="147"/>
      <c r="B121" s="148" t="s">
        <v>412</v>
      </c>
      <c r="C121" s="62"/>
      <c r="D121" s="62"/>
      <c r="E121" s="62"/>
    </row>
    <row r="122" spans="1:5" ht="14.25" customHeight="1">
      <c r="A122" s="147"/>
      <c r="B122" s="148" t="s">
        <v>308</v>
      </c>
      <c r="C122" s="62"/>
      <c r="D122" s="62"/>
      <c r="E122" s="62"/>
    </row>
    <row r="123" spans="1:5" ht="14.25" customHeight="1">
      <c r="A123" s="147"/>
      <c r="B123" s="148" t="s">
        <v>418</v>
      </c>
      <c r="C123" s="62"/>
      <c r="D123" s="62"/>
      <c r="E123" s="62"/>
    </row>
    <row r="124" spans="1:5" ht="14.25" customHeight="1">
      <c r="A124" s="147"/>
      <c r="B124" s="148" t="s">
        <v>419</v>
      </c>
      <c r="C124" s="62"/>
      <c r="D124" s="62"/>
      <c r="E124" s="62"/>
    </row>
    <row r="125" spans="1:5" ht="14.25" customHeight="1">
      <c r="A125" s="147"/>
      <c r="B125" s="152" t="s">
        <v>415</v>
      </c>
      <c r="C125" s="62"/>
      <c r="D125" s="62"/>
      <c r="E125" s="62"/>
    </row>
    <row r="126" spans="1:5" ht="14.25" customHeight="1">
      <c r="A126" s="147"/>
      <c r="B126" s="152" t="s">
        <v>413</v>
      </c>
      <c r="C126" s="62"/>
      <c r="D126" s="62"/>
      <c r="E126" s="62"/>
    </row>
    <row r="127" spans="1:5" ht="14.25" customHeight="1">
      <c r="A127" s="147"/>
      <c r="B127" s="148" t="s">
        <v>257</v>
      </c>
      <c r="C127" s="62"/>
      <c r="D127" s="62"/>
      <c r="E127" s="62"/>
    </row>
  </sheetData>
  <sheetProtection/>
  <mergeCells count="10">
    <mergeCell ref="A88:E88"/>
    <mergeCell ref="A83:E83"/>
    <mergeCell ref="A84:E84"/>
    <mergeCell ref="A85:E85"/>
    <mergeCell ref="A6:E6"/>
    <mergeCell ref="A1:E1"/>
    <mergeCell ref="A2:E2"/>
    <mergeCell ref="A3:E3"/>
    <mergeCell ref="A5:E5"/>
    <mergeCell ref="A87:E87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8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7"/>
  <sheetViews>
    <sheetView zoomScale="75" zoomScaleNormal="75" zoomScaleSheetLayoutView="85" zoomScalePageLayoutView="0" workbookViewId="0" topLeftCell="A118">
      <selection activeCell="F26" sqref="F26"/>
    </sheetView>
  </sheetViews>
  <sheetFormatPr defaultColWidth="9.140625" defaultRowHeight="12.75"/>
  <cols>
    <col min="1" max="1" width="2.7109375" style="6" customWidth="1"/>
    <col min="2" max="3" width="2.7109375" style="0" customWidth="1"/>
    <col min="4" max="7" width="12.7109375" style="0" customWidth="1"/>
    <col min="8" max="8" width="5.7109375" style="4" customWidth="1"/>
    <col min="9" max="9" width="1.28515625" style="4" customWidth="1"/>
    <col min="10" max="10" width="14.00390625" style="18" customWidth="1"/>
    <col min="11" max="11" width="1.28515625" style="17" customWidth="1"/>
    <col min="12" max="12" width="16.7109375" style="38" customWidth="1"/>
    <col min="13" max="13" width="1.28515625" style="6" customWidth="1"/>
    <col min="14" max="14" width="15.7109375" style="6" customWidth="1"/>
    <col min="15" max="15" width="1.7109375" style="6" customWidth="1"/>
    <col min="16" max="16" width="20.7109375" style="0" customWidth="1"/>
    <col min="17" max="17" width="1.7109375" style="0" customWidth="1"/>
    <col min="18" max="19" width="20.7109375" style="0" customWidth="1"/>
    <col min="20" max="23" width="12.7109375" style="0" customWidth="1"/>
    <col min="26" max="26" width="9.28125" style="0" bestFit="1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2:5" s="62" customFormat="1" ht="18" customHeight="1">
      <c r="B7" s="102"/>
      <c r="C7" s="5"/>
      <c r="D7" s="5"/>
      <c r="E7" s="5"/>
    </row>
    <row r="8" spans="1:18" ht="18" customHeight="1">
      <c r="A8" s="191" t="s">
        <v>236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6:17" ht="14.25">
      <c r="P9" s="1"/>
      <c r="Q9" s="1"/>
    </row>
    <row r="10" spans="1:17" ht="14.25" customHeight="1">
      <c r="A10" s="4"/>
      <c r="B10" s="5"/>
      <c r="C10" s="5"/>
      <c r="D10" s="5"/>
      <c r="E10" s="5"/>
      <c r="F10" s="5"/>
      <c r="G10" s="5"/>
      <c r="J10" s="185" t="s">
        <v>2</v>
      </c>
      <c r="L10" s="187" t="s">
        <v>62</v>
      </c>
      <c r="N10" s="189" t="s">
        <v>63</v>
      </c>
      <c r="O10" s="7"/>
      <c r="P10" s="36"/>
      <c r="Q10" s="36"/>
    </row>
    <row r="11" spans="2:17" ht="14.25">
      <c r="B11" s="5"/>
      <c r="C11" s="5"/>
      <c r="D11" s="5"/>
      <c r="E11" s="5"/>
      <c r="F11" s="5"/>
      <c r="G11" s="5"/>
      <c r="H11" s="189" t="s">
        <v>1</v>
      </c>
      <c r="I11" s="7"/>
      <c r="J11" s="185"/>
      <c r="K11" s="25"/>
      <c r="L11" s="187"/>
      <c r="M11" s="7"/>
      <c r="N11" s="189"/>
      <c r="O11" s="7"/>
      <c r="P11" s="36"/>
      <c r="Q11" s="36"/>
    </row>
    <row r="12" spans="1:15" ht="14.25">
      <c r="A12" s="13"/>
      <c r="B12" s="184" t="s">
        <v>0</v>
      </c>
      <c r="C12" s="184"/>
      <c r="D12" s="184"/>
      <c r="E12" s="184"/>
      <c r="F12" s="184"/>
      <c r="G12" s="184"/>
      <c r="H12" s="190"/>
      <c r="I12" s="8"/>
      <c r="J12" s="186"/>
      <c r="K12" s="26"/>
      <c r="L12" s="188"/>
      <c r="M12" s="8"/>
      <c r="N12" s="190"/>
      <c r="O12" s="7"/>
    </row>
    <row r="13" spans="2:15" ht="14.25">
      <c r="B13" s="6"/>
      <c r="C13" s="6"/>
      <c r="D13" s="6"/>
      <c r="E13" s="6"/>
      <c r="F13" s="6"/>
      <c r="G13" s="6"/>
      <c r="J13" s="23"/>
      <c r="K13" s="20"/>
      <c r="M13" s="3"/>
      <c r="N13" s="3"/>
      <c r="O13" s="3"/>
    </row>
    <row r="14" spans="1:15" ht="14.25">
      <c r="A14" s="6" t="s">
        <v>4</v>
      </c>
      <c r="B14" s="6" t="s">
        <v>13</v>
      </c>
      <c r="C14" s="6"/>
      <c r="D14" s="6"/>
      <c r="E14" s="6"/>
      <c r="F14" s="6"/>
      <c r="G14" s="6"/>
      <c r="J14" s="23"/>
      <c r="K14" s="20"/>
      <c r="M14" s="3"/>
      <c r="N14" s="3"/>
      <c r="O14" s="3"/>
    </row>
    <row r="15" spans="2:23" ht="14.25">
      <c r="B15" s="84" t="s">
        <v>65</v>
      </c>
      <c r="C15" s="6" t="s">
        <v>138</v>
      </c>
      <c r="D15" s="6"/>
      <c r="E15" s="6"/>
      <c r="F15" s="6"/>
      <c r="G15" s="6"/>
      <c r="H15" s="4" t="s">
        <v>8</v>
      </c>
      <c r="J15" s="21">
        <v>0</v>
      </c>
      <c r="K15" s="20"/>
      <c r="L15" s="41">
        <v>5000</v>
      </c>
      <c r="M15" s="39"/>
      <c r="N15" s="32">
        <f>J15*L15</f>
        <v>0</v>
      </c>
      <c r="O15" s="51"/>
      <c r="P15" s="35"/>
      <c r="Q15" s="35"/>
      <c r="R15" s="35"/>
      <c r="S15" s="35"/>
      <c r="T15" s="35"/>
      <c r="U15" s="35"/>
      <c r="V15" s="35"/>
      <c r="W15" s="50"/>
    </row>
    <row r="16" spans="2:23" ht="14.25">
      <c r="B16" s="84" t="s">
        <v>66</v>
      </c>
      <c r="C16" s="6" t="s">
        <v>139</v>
      </c>
      <c r="D16" s="6"/>
      <c r="E16" s="6"/>
      <c r="F16" s="6"/>
      <c r="G16" s="6"/>
      <c r="H16" s="4" t="s">
        <v>3</v>
      </c>
      <c r="J16" s="29"/>
      <c r="K16" s="20"/>
      <c r="L16" s="41"/>
      <c r="M16" s="39"/>
      <c r="N16" s="32">
        <f>J16*L16</f>
        <v>0</v>
      </c>
      <c r="O16" s="51"/>
      <c r="P16" s="35"/>
      <c r="Q16" s="35"/>
      <c r="R16" s="35"/>
      <c r="S16" s="35"/>
      <c r="T16" s="35"/>
      <c r="U16" s="35"/>
      <c r="V16" s="35"/>
      <c r="W16" s="50"/>
    </row>
    <row r="17" spans="2:23" ht="14.25">
      <c r="B17" s="6"/>
      <c r="C17" s="6"/>
      <c r="D17" s="6"/>
      <c r="E17" s="6"/>
      <c r="F17" s="6"/>
      <c r="G17" s="6"/>
      <c r="J17" s="23"/>
      <c r="K17" s="20"/>
      <c r="M17" s="3"/>
      <c r="N17" s="3"/>
      <c r="O17" s="3"/>
      <c r="W17" s="50"/>
    </row>
    <row r="18" spans="1:23" ht="14.25">
      <c r="A18" s="6" t="s">
        <v>9</v>
      </c>
      <c r="B18" s="6" t="s">
        <v>240</v>
      </c>
      <c r="C18" s="6"/>
      <c r="D18" s="6"/>
      <c r="E18" s="6"/>
      <c r="F18" s="6"/>
      <c r="G18" s="6"/>
      <c r="H18" s="4" t="s">
        <v>3</v>
      </c>
      <c r="J18" s="21">
        <v>1</v>
      </c>
      <c r="K18" s="20"/>
      <c r="L18" s="40">
        <f>S18</f>
        <v>808672.6000000001</v>
      </c>
      <c r="M18" s="31"/>
      <c r="N18" s="32">
        <f>J18*L18</f>
        <v>808672.6000000001</v>
      </c>
      <c r="O18" s="33"/>
      <c r="P18" s="88" t="s">
        <v>67</v>
      </c>
      <c r="Q18" s="10"/>
      <c r="S18" s="10">
        <f>0.05*(SUM(N21:N40))</f>
        <v>808672.6000000001</v>
      </c>
      <c r="T18" s="15"/>
      <c r="W18" s="50"/>
    </row>
    <row r="19" spans="2:23" ht="14.25">
      <c r="B19" s="6"/>
      <c r="C19" s="6"/>
      <c r="D19" s="6"/>
      <c r="E19" s="6"/>
      <c r="F19" s="6"/>
      <c r="G19" s="6"/>
      <c r="J19" s="23"/>
      <c r="K19" s="20"/>
      <c r="M19" s="31"/>
      <c r="N19" s="31"/>
      <c r="O19" s="31"/>
      <c r="S19" s="16"/>
      <c r="T19" s="15"/>
      <c r="W19" s="50"/>
    </row>
    <row r="20" spans="1:23" ht="14.25">
      <c r="A20" s="6" t="s">
        <v>5</v>
      </c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39"/>
      <c r="M20" s="31"/>
      <c r="N20" s="31"/>
      <c r="O20" s="31"/>
      <c r="S20" s="15"/>
      <c r="T20" s="15"/>
      <c r="W20" s="50"/>
    </row>
    <row r="21" spans="2:23" ht="14.25">
      <c r="B21" s="84" t="s">
        <v>65</v>
      </c>
      <c r="C21" s="6" t="s">
        <v>136</v>
      </c>
      <c r="D21" s="6"/>
      <c r="E21" s="6"/>
      <c r="F21" s="6"/>
      <c r="G21" s="6"/>
      <c r="H21" s="4" t="s">
        <v>8</v>
      </c>
      <c r="J21" s="28">
        <v>0</v>
      </c>
      <c r="K21" s="20"/>
      <c r="L21" s="41">
        <v>5500</v>
      </c>
      <c r="M21" s="31"/>
      <c r="N21" s="32">
        <f>J21*L21</f>
        <v>0</v>
      </c>
      <c r="O21" s="33"/>
      <c r="P21" s="35"/>
      <c r="Q21" s="35"/>
      <c r="R21" s="35"/>
      <c r="S21" s="35"/>
      <c r="T21" s="35"/>
      <c r="U21" s="35"/>
      <c r="V21" s="35"/>
      <c r="W21" s="50"/>
    </row>
    <row r="22" spans="2:27" ht="14.25">
      <c r="B22" s="84" t="s">
        <v>66</v>
      </c>
      <c r="C22" s="6" t="s">
        <v>147</v>
      </c>
      <c r="D22" s="6"/>
      <c r="E22" s="6"/>
      <c r="F22" s="6"/>
      <c r="G22" s="6"/>
      <c r="H22" s="12"/>
      <c r="I22" s="12"/>
      <c r="J22" s="22"/>
      <c r="K22" s="19"/>
      <c r="L22" s="51"/>
      <c r="M22" s="33"/>
      <c r="N22" s="33"/>
      <c r="O22" s="33"/>
      <c r="R22" s="79"/>
      <c r="U22" s="35"/>
      <c r="Z22" s="182" t="s">
        <v>58</v>
      </c>
      <c r="AA22" s="182"/>
    </row>
    <row r="23" spans="2:27" ht="14.25">
      <c r="B23" s="6"/>
      <c r="C23" s="6" t="s">
        <v>117</v>
      </c>
      <c r="D23" s="6" t="s">
        <v>203</v>
      </c>
      <c r="E23" s="6"/>
      <c r="F23" s="6"/>
      <c r="G23" s="6"/>
      <c r="H23" s="12" t="s">
        <v>84</v>
      </c>
      <c r="I23" s="12"/>
      <c r="J23" s="21">
        <f>3.3*5280</f>
        <v>17424</v>
      </c>
      <c r="K23" s="19"/>
      <c r="L23" s="41">
        <v>25</v>
      </c>
      <c r="M23" s="31"/>
      <c r="N23" s="32">
        <f aca="true" t="shared" si="0" ref="N23:N39">J23*L23</f>
        <v>435600</v>
      </c>
      <c r="O23" s="33"/>
      <c r="R23" s="79"/>
      <c r="S23" s="89" t="s">
        <v>107</v>
      </c>
      <c r="U23" s="35"/>
      <c r="Z23" s="81">
        <v>3.3</v>
      </c>
      <c r="AA23" s="80" t="s">
        <v>56</v>
      </c>
    </row>
    <row r="24" spans="2:27" ht="14.25">
      <c r="B24" s="6"/>
      <c r="C24" s="6" t="s">
        <v>119</v>
      </c>
      <c r="D24" s="6" t="s">
        <v>204</v>
      </c>
      <c r="E24" s="6"/>
      <c r="F24" s="6"/>
      <c r="G24" s="6"/>
      <c r="H24" s="12" t="s">
        <v>84</v>
      </c>
      <c r="I24" s="12"/>
      <c r="J24" s="21">
        <f>3.3*5280</f>
        <v>17424</v>
      </c>
      <c r="K24" s="19"/>
      <c r="L24" s="41">
        <v>40</v>
      </c>
      <c r="M24" s="31"/>
      <c r="N24" s="32">
        <f t="shared" si="0"/>
        <v>696960</v>
      </c>
      <c r="O24" s="33"/>
      <c r="R24" s="79"/>
      <c r="S24" s="89" t="s">
        <v>108</v>
      </c>
      <c r="U24" s="35"/>
      <c r="Z24" s="81">
        <v>3.3</v>
      </c>
      <c r="AA24" s="80" t="s">
        <v>56</v>
      </c>
    </row>
    <row r="25" spans="2:27" ht="14.25">
      <c r="B25" s="6"/>
      <c r="C25" s="6" t="s">
        <v>121</v>
      </c>
      <c r="D25" s="6" t="s">
        <v>205</v>
      </c>
      <c r="E25" s="6"/>
      <c r="F25" s="6"/>
      <c r="G25" s="6"/>
      <c r="H25" s="12" t="s">
        <v>84</v>
      </c>
      <c r="I25" s="12"/>
      <c r="J25" s="21">
        <f>3.3*5280</f>
        <v>17424</v>
      </c>
      <c r="K25" s="19"/>
      <c r="L25" s="41">
        <v>50</v>
      </c>
      <c r="M25" s="31"/>
      <c r="N25" s="32">
        <f t="shared" si="0"/>
        <v>871200</v>
      </c>
      <c r="O25" s="33"/>
      <c r="R25" s="79"/>
      <c r="S25" s="89" t="s">
        <v>109</v>
      </c>
      <c r="U25" s="35"/>
      <c r="Z25" s="81">
        <v>3.3</v>
      </c>
      <c r="AA25" s="80" t="s">
        <v>56</v>
      </c>
    </row>
    <row r="26" spans="2:27" ht="14.25">
      <c r="B26" s="6"/>
      <c r="C26" s="6" t="s">
        <v>123</v>
      </c>
      <c r="D26" s="6" t="s">
        <v>148</v>
      </c>
      <c r="E26" s="6"/>
      <c r="F26" s="6"/>
      <c r="G26" s="6"/>
      <c r="H26" s="12" t="s">
        <v>111</v>
      </c>
      <c r="I26" s="12"/>
      <c r="J26" s="29">
        <v>2</v>
      </c>
      <c r="K26" s="19"/>
      <c r="L26" s="66">
        <v>25000</v>
      </c>
      <c r="M26" s="31"/>
      <c r="N26" s="47">
        <f t="shared" si="0"/>
        <v>50000</v>
      </c>
      <c r="O26" s="33"/>
      <c r="R26" s="79"/>
      <c r="S26" s="89" t="s">
        <v>110</v>
      </c>
      <c r="U26" s="35"/>
      <c r="Z26" s="81"/>
      <c r="AA26" s="80"/>
    </row>
    <row r="27" spans="2:27" ht="14.25">
      <c r="B27" s="6"/>
      <c r="C27" s="6" t="s">
        <v>124</v>
      </c>
      <c r="D27" s="6" t="s">
        <v>149</v>
      </c>
      <c r="E27" s="6"/>
      <c r="F27" s="6"/>
      <c r="G27" s="6"/>
      <c r="H27" s="12" t="s">
        <v>111</v>
      </c>
      <c r="I27" s="12"/>
      <c r="J27" s="29">
        <v>2</v>
      </c>
      <c r="K27" s="19"/>
      <c r="L27" s="66">
        <v>15000</v>
      </c>
      <c r="M27" s="31"/>
      <c r="N27" s="47">
        <f t="shared" si="0"/>
        <v>30000</v>
      </c>
      <c r="O27" s="33"/>
      <c r="R27" s="79"/>
      <c r="S27" s="89" t="s">
        <v>110</v>
      </c>
      <c r="U27" s="35"/>
      <c r="Z27" s="81"/>
      <c r="AA27" s="80"/>
    </row>
    <row r="28" spans="2:27" ht="14.25">
      <c r="B28" s="6"/>
      <c r="C28" s="6" t="s">
        <v>126</v>
      </c>
      <c r="D28" s="6" t="s">
        <v>150</v>
      </c>
      <c r="E28" s="6"/>
      <c r="F28" s="6"/>
      <c r="G28" s="6"/>
      <c r="H28" s="12" t="s">
        <v>111</v>
      </c>
      <c r="I28" s="12"/>
      <c r="J28" s="29">
        <v>2</v>
      </c>
      <c r="K28" s="19"/>
      <c r="L28" s="66">
        <v>12500</v>
      </c>
      <c r="M28" s="31"/>
      <c r="N28" s="47">
        <f t="shared" si="0"/>
        <v>25000</v>
      </c>
      <c r="O28" s="33"/>
      <c r="R28" s="79"/>
      <c r="S28" s="89" t="s">
        <v>110</v>
      </c>
      <c r="U28" s="35"/>
      <c r="Z28" s="81"/>
      <c r="AA28" s="80"/>
    </row>
    <row r="29" spans="2:27" ht="14.25">
      <c r="B29" s="6"/>
      <c r="C29" s="6" t="s">
        <v>127</v>
      </c>
      <c r="D29" s="6" t="s">
        <v>151</v>
      </c>
      <c r="E29" s="6"/>
      <c r="F29" s="6"/>
      <c r="G29" s="6"/>
      <c r="H29" s="12" t="s">
        <v>111</v>
      </c>
      <c r="I29" s="12"/>
      <c r="J29" s="29">
        <v>2</v>
      </c>
      <c r="K29" s="19"/>
      <c r="L29" s="66">
        <v>10000</v>
      </c>
      <c r="M29" s="31"/>
      <c r="N29" s="47">
        <f t="shared" si="0"/>
        <v>20000</v>
      </c>
      <c r="O29" s="33"/>
      <c r="R29" s="79"/>
      <c r="S29" s="89" t="s">
        <v>110</v>
      </c>
      <c r="U29" s="35"/>
      <c r="Z29" s="81"/>
      <c r="AA29" s="80"/>
    </row>
    <row r="30" spans="2:27" ht="14.25">
      <c r="B30" s="6"/>
      <c r="C30" s="6" t="s">
        <v>129</v>
      </c>
      <c r="D30" s="6" t="s">
        <v>152</v>
      </c>
      <c r="E30" s="6"/>
      <c r="F30" s="6"/>
      <c r="G30" s="6"/>
      <c r="H30" s="12" t="s">
        <v>111</v>
      </c>
      <c r="I30" s="12"/>
      <c r="J30" s="29">
        <v>2</v>
      </c>
      <c r="K30" s="19"/>
      <c r="L30" s="66">
        <v>7500</v>
      </c>
      <c r="M30" s="31"/>
      <c r="N30" s="47">
        <f t="shared" si="0"/>
        <v>15000</v>
      </c>
      <c r="O30" s="33"/>
      <c r="R30" s="79"/>
      <c r="S30" s="89" t="s">
        <v>110</v>
      </c>
      <c r="U30" s="35"/>
      <c r="Z30" s="81"/>
      <c r="AA30" s="80"/>
    </row>
    <row r="31" spans="2:27" ht="14.25">
      <c r="B31" s="6"/>
      <c r="C31" s="6" t="s">
        <v>153</v>
      </c>
      <c r="D31" s="6" t="s">
        <v>156</v>
      </c>
      <c r="E31" s="6"/>
      <c r="F31" s="6"/>
      <c r="G31" s="6"/>
      <c r="H31" s="12" t="s">
        <v>111</v>
      </c>
      <c r="I31" s="12"/>
      <c r="J31" s="21">
        <v>1</v>
      </c>
      <c r="K31" s="19"/>
      <c r="L31" s="41">
        <v>300000</v>
      </c>
      <c r="M31" s="31"/>
      <c r="N31" s="32">
        <f t="shared" si="0"/>
        <v>300000</v>
      </c>
      <c r="O31" s="33"/>
      <c r="R31" s="79"/>
      <c r="S31" s="89" t="s">
        <v>169</v>
      </c>
      <c r="U31" s="35"/>
      <c r="Z31" s="81"/>
      <c r="AA31" s="80"/>
    </row>
    <row r="32" spans="2:27" ht="14.25">
      <c r="B32" s="6"/>
      <c r="C32" s="6" t="s">
        <v>155</v>
      </c>
      <c r="D32" s="6" t="s">
        <v>154</v>
      </c>
      <c r="E32" s="6"/>
      <c r="F32" s="6"/>
      <c r="G32" s="6"/>
      <c r="H32" s="12" t="s">
        <v>111</v>
      </c>
      <c r="I32" s="12"/>
      <c r="J32" s="21">
        <v>1</v>
      </c>
      <c r="K32" s="19"/>
      <c r="L32" s="41">
        <v>400000</v>
      </c>
      <c r="M32" s="31"/>
      <c r="N32" s="32">
        <f t="shared" si="0"/>
        <v>400000</v>
      </c>
      <c r="O32" s="33"/>
      <c r="R32" s="79"/>
      <c r="S32" s="89" t="s">
        <v>170</v>
      </c>
      <c r="U32" s="35"/>
      <c r="Z32" s="81"/>
      <c r="AA32" s="80"/>
    </row>
    <row r="33" spans="2:27" ht="14.25">
      <c r="B33" s="6"/>
      <c r="C33" s="6" t="s">
        <v>158</v>
      </c>
      <c r="D33" s="6" t="s">
        <v>157</v>
      </c>
      <c r="E33" s="6"/>
      <c r="F33" s="6"/>
      <c r="G33" s="6"/>
      <c r="H33" s="12" t="s">
        <v>111</v>
      </c>
      <c r="I33" s="12"/>
      <c r="J33" s="21">
        <v>2</v>
      </c>
      <c r="K33" s="19"/>
      <c r="L33" s="41">
        <v>50000</v>
      </c>
      <c r="M33" s="31"/>
      <c r="N33" s="32">
        <f t="shared" si="0"/>
        <v>100000</v>
      </c>
      <c r="O33" s="33"/>
      <c r="R33" s="79"/>
      <c r="S33" s="89" t="s">
        <v>112</v>
      </c>
      <c r="U33" s="35"/>
      <c r="Z33" s="81"/>
      <c r="AA33" s="80"/>
    </row>
    <row r="34" spans="2:27" ht="14.25">
      <c r="B34" s="6"/>
      <c r="C34" s="6" t="s">
        <v>160</v>
      </c>
      <c r="D34" s="6" t="s">
        <v>159</v>
      </c>
      <c r="E34" s="6"/>
      <c r="F34" s="6"/>
      <c r="G34" s="6"/>
      <c r="H34" s="12" t="s">
        <v>3</v>
      </c>
      <c r="I34" s="12"/>
      <c r="J34" s="21">
        <v>1</v>
      </c>
      <c r="K34" s="19"/>
      <c r="L34" s="41">
        <f>0.15*(SUM(N23:N33))</f>
        <v>441564</v>
      </c>
      <c r="M34" s="31"/>
      <c r="N34" s="32">
        <f t="shared" si="0"/>
        <v>441564</v>
      </c>
      <c r="O34" s="33"/>
      <c r="P34" s="89" t="s">
        <v>196</v>
      </c>
      <c r="R34" s="79"/>
      <c r="S34" s="89" t="s">
        <v>114</v>
      </c>
      <c r="U34" s="35"/>
      <c r="Z34" s="81"/>
      <c r="AA34" s="80"/>
    </row>
    <row r="35" spans="2:27" ht="14.25">
      <c r="B35" s="6"/>
      <c r="C35" s="6" t="s">
        <v>162</v>
      </c>
      <c r="D35" s="6" t="s">
        <v>161</v>
      </c>
      <c r="E35" s="6"/>
      <c r="F35" s="6"/>
      <c r="G35" s="6"/>
      <c r="H35" s="12" t="s">
        <v>3</v>
      </c>
      <c r="I35" s="12"/>
      <c r="J35" s="21">
        <v>1</v>
      </c>
      <c r="K35" s="19"/>
      <c r="L35" s="41">
        <f>0.15*(SUM(N23:N33))</f>
        <v>441564</v>
      </c>
      <c r="M35" s="31"/>
      <c r="N35" s="32">
        <f t="shared" si="0"/>
        <v>441564</v>
      </c>
      <c r="O35" s="33"/>
      <c r="P35" s="89" t="s">
        <v>196</v>
      </c>
      <c r="R35" s="79"/>
      <c r="S35" s="89" t="s">
        <v>114</v>
      </c>
      <c r="U35" s="35"/>
      <c r="Z35" s="81"/>
      <c r="AA35" s="80"/>
    </row>
    <row r="36" spans="2:27" ht="14.25">
      <c r="B36" s="6"/>
      <c r="C36" s="6" t="s">
        <v>164</v>
      </c>
      <c r="D36" s="6" t="s">
        <v>163</v>
      </c>
      <c r="E36" s="6"/>
      <c r="F36" s="6"/>
      <c r="G36" s="6"/>
      <c r="H36" s="12" t="s">
        <v>3</v>
      </c>
      <c r="I36" s="12"/>
      <c r="J36" s="21">
        <v>1</v>
      </c>
      <c r="K36" s="19"/>
      <c r="L36" s="41">
        <f>0.15*(SUM(N23:N33))</f>
        <v>441564</v>
      </c>
      <c r="M36" s="31"/>
      <c r="N36" s="32">
        <f t="shared" si="0"/>
        <v>441564</v>
      </c>
      <c r="O36" s="33"/>
      <c r="P36" s="89" t="s">
        <v>196</v>
      </c>
      <c r="R36" s="79"/>
      <c r="S36" s="89" t="s">
        <v>114</v>
      </c>
      <c r="U36" s="35"/>
      <c r="Z36" s="81"/>
      <c r="AA36" s="80"/>
    </row>
    <row r="37" spans="2:27" ht="14.25">
      <c r="B37" s="6"/>
      <c r="C37" s="6" t="s">
        <v>166</v>
      </c>
      <c r="D37" s="6" t="s">
        <v>165</v>
      </c>
      <c r="E37" s="6"/>
      <c r="F37" s="6"/>
      <c r="G37" s="6"/>
      <c r="H37" s="12" t="s">
        <v>3</v>
      </c>
      <c r="I37" s="12"/>
      <c r="J37" s="21">
        <v>1</v>
      </c>
      <c r="K37" s="19"/>
      <c r="L37" s="41">
        <v>500000</v>
      </c>
      <c r="M37" s="31"/>
      <c r="N37" s="32">
        <f t="shared" si="0"/>
        <v>500000</v>
      </c>
      <c r="O37" s="33"/>
      <c r="R37" s="79"/>
      <c r="S37" s="89" t="s">
        <v>114</v>
      </c>
      <c r="U37" s="35"/>
      <c r="Z37" s="81"/>
      <c r="AA37" s="80"/>
    </row>
    <row r="38" spans="2:27" ht="14.25">
      <c r="B38" s="6"/>
      <c r="C38" s="6" t="s">
        <v>168</v>
      </c>
      <c r="D38" s="6" t="s">
        <v>167</v>
      </c>
      <c r="E38" s="6"/>
      <c r="F38" s="6"/>
      <c r="G38" s="6"/>
      <c r="H38" s="12" t="s">
        <v>3</v>
      </c>
      <c r="I38" s="12"/>
      <c r="J38" s="21">
        <v>1</v>
      </c>
      <c r="K38" s="19"/>
      <c r="L38" s="41">
        <v>11000000</v>
      </c>
      <c r="M38" s="31"/>
      <c r="N38" s="32">
        <f t="shared" si="0"/>
        <v>11000000</v>
      </c>
      <c r="O38" s="33"/>
      <c r="R38" s="79"/>
      <c r="S38" s="89" t="s">
        <v>113</v>
      </c>
      <c r="U38" s="35"/>
      <c r="Z38" s="81"/>
      <c r="AA38" s="80"/>
    </row>
    <row r="39" spans="2:27" ht="14.25">
      <c r="B39" s="6"/>
      <c r="C39" s="6" t="s">
        <v>178</v>
      </c>
      <c r="D39" s="6" t="s">
        <v>177</v>
      </c>
      <c r="E39" s="6"/>
      <c r="F39" s="6"/>
      <c r="G39" s="6"/>
      <c r="H39" s="12" t="s">
        <v>111</v>
      </c>
      <c r="I39" s="12"/>
      <c r="J39" s="21">
        <v>1</v>
      </c>
      <c r="K39" s="19"/>
      <c r="L39" s="41">
        <v>125000</v>
      </c>
      <c r="M39" s="31"/>
      <c r="N39" s="32">
        <f t="shared" si="0"/>
        <v>125000</v>
      </c>
      <c r="O39" s="33"/>
      <c r="R39" s="79"/>
      <c r="S39" s="89"/>
      <c r="U39" s="35"/>
      <c r="Z39" s="81">
        <v>3.3</v>
      </c>
      <c r="AA39" s="80" t="s">
        <v>56</v>
      </c>
    </row>
    <row r="40" spans="2:27" ht="14.25">
      <c r="B40" s="84"/>
      <c r="C40" s="6" t="s">
        <v>331</v>
      </c>
      <c r="D40" s="6" t="s">
        <v>403</v>
      </c>
      <c r="E40" s="6"/>
      <c r="F40" s="6"/>
      <c r="G40" s="6"/>
      <c r="H40" s="12" t="s">
        <v>111</v>
      </c>
      <c r="I40" s="12"/>
      <c r="J40" s="21">
        <f>J26/2+J27/2+J28/2+J29/2+J30/2+J38+J39</f>
        <v>7</v>
      </c>
      <c r="K40" s="19"/>
      <c r="L40" s="41">
        <v>40000</v>
      </c>
      <c r="M40" s="31"/>
      <c r="N40" s="32">
        <f>J40*L40</f>
        <v>280000</v>
      </c>
      <c r="O40" s="33"/>
      <c r="R40" s="79"/>
      <c r="U40" s="35"/>
      <c r="Z40" s="112"/>
      <c r="AA40" s="112"/>
    </row>
    <row r="41" spans="2:23" ht="14.25">
      <c r="B41" s="84"/>
      <c r="C41" s="6"/>
      <c r="D41" s="6"/>
      <c r="E41" s="6"/>
      <c r="F41" s="6"/>
      <c r="G41" s="6"/>
      <c r="J41" s="22"/>
      <c r="K41" s="20"/>
      <c r="L41" s="51"/>
      <c r="M41" s="31"/>
      <c r="N41" s="33"/>
      <c r="O41" s="33"/>
      <c r="P41" s="35"/>
      <c r="Q41" s="35"/>
      <c r="R41" s="35"/>
      <c r="S41" s="35"/>
      <c r="T41" s="35"/>
      <c r="U41" s="35"/>
      <c r="V41" s="35"/>
      <c r="W41" s="50"/>
    </row>
    <row r="42" spans="5:18" ht="15">
      <c r="E42" s="6"/>
      <c r="F42" s="6"/>
      <c r="G42" s="6"/>
      <c r="J42" s="23"/>
      <c r="K42" s="20"/>
      <c r="L42" s="44" t="s">
        <v>98</v>
      </c>
      <c r="M42" s="14"/>
      <c r="N42" s="34">
        <f>SUM(N15:N40)</f>
        <v>16982124.6</v>
      </c>
      <c r="O42" s="34"/>
      <c r="P42" s="11"/>
      <c r="Q42" s="11"/>
      <c r="R42" s="11"/>
    </row>
    <row r="43" spans="5:19" ht="15">
      <c r="E43" s="6"/>
      <c r="F43" s="6"/>
      <c r="G43" s="6"/>
      <c r="J43" s="23"/>
      <c r="K43" s="20"/>
      <c r="L43" s="44"/>
      <c r="M43" s="14"/>
      <c r="N43" s="34"/>
      <c r="O43" s="34"/>
      <c r="P43" s="11"/>
      <c r="Q43" s="11"/>
      <c r="R43" s="11"/>
      <c r="S43" s="37"/>
    </row>
    <row r="44" spans="2:18" ht="15.75" thickBot="1">
      <c r="B44" s="5"/>
      <c r="C44" s="5"/>
      <c r="D44" s="5"/>
      <c r="E44" s="5"/>
      <c r="F44" s="5"/>
      <c r="G44" s="5"/>
      <c r="J44" s="22"/>
      <c r="K44" s="19"/>
      <c r="L44" s="46" t="s">
        <v>14</v>
      </c>
      <c r="M44" s="30"/>
      <c r="N44" s="48">
        <f>N42*0.25</f>
        <v>4245531.15</v>
      </c>
      <c r="O44" s="34"/>
      <c r="P44" s="11"/>
      <c r="Q44" s="11"/>
      <c r="R44" s="11"/>
    </row>
    <row r="45" spans="2:18" ht="14.25">
      <c r="B45" s="5"/>
      <c r="C45" s="5"/>
      <c r="D45" s="5"/>
      <c r="E45" s="5"/>
      <c r="F45" s="5"/>
      <c r="G45" s="5"/>
      <c r="J45" s="22"/>
      <c r="K45" s="19"/>
      <c r="L45" s="43"/>
      <c r="M45" s="9"/>
      <c r="N45" s="33"/>
      <c r="O45" s="33"/>
      <c r="P45" s="11"/>
      <c r="Q45" s="11"/>
      <c r="R45" s="11"/>
    </row>
    <row r="46" spans="2:19" ht="15">
      <c r="B46" s="5"/>
      <c r="C46" s="5"/>
      <c r="D46" s="5"/>
      <c r="E46" s="5"/>
      <c r="F46" s="5"/>
      <c r="G46" s="5"/>
      <c r="J46" s="22"/>
      <c r="K46" s="19"/>
      <c r="L46" s="44" t="s">
        <v>99</v>
      </c>
      <c r="M46" s="9"/>
      <c r="N46" s="34">
        <f>SUM(N42:N44)</f>
        <v>21227655.75</v>
      </c>
      <c r="O46" s="34"/>
      <c r="P46" s="11"/>
      <c r="Q46" s="11"/>
      <c r="R46" s="11"/>
      <c r="S46" s="37"/>
    </row>
    <row r="47" spans="2:19" ht="15">
      <c r="B47" s="5"/>
      <c r="C47" s="5"/>
      <c r="D47" s="5"/>
      <c r="E47" s="5"/>
      <c r="F47" s="5"/>
      <c r="G47" s="5"/>
      <c r="J47" s="22"/>
      <c r="K47" s="19"/>
      <c r="L47" s="44"/>
      <c r="M47" s="9"/>
      <c r="N47" s="34"/>
      <c r="O47" s="34"/>
      <c r="P47" s="11"/>
      <c r="Q47" s="11"/>
      <c r="R47" s="11"/>
      <c r="S47" s="37"/>
    </row>
    <row r="48" spans="2:19" ht="15">
      <c r="B48" s="5"/>
      <c r="C48" s="5"/>
      <c r="D48" s="5"/>
      <c r="E48" s="5"/>
      <c r="F48" s="5"/>
      <c r="G48" s="5"/>
      <c r="J48" s="22"/>
      <c r="K48" s="19"/>
      <c r="M48" s="9"/>
      <c r="N48" s="44" t="s">
        <v>97</v>
      </c>
      <c r="O48" s="44"/>
      <c r="P48" s="34">
        <f>N46*(1+2.5/100)^(2008-2007)</f>
        <v>21758347.143749997</v>
      </c>
      <c r="Q48" s="34"/>
      <c r="R48" s="54"/>
      <c r="S48" s="37"/>
    </row>
    <row r="49" spans="2:19" ht="15">
      <c r="B49" s="5"/>
      <c r="C49" s="5"/>
      <c r="D49" s="5"/>
      <c r="E49" s="5"/>
      <c r="F49" s="5"/>
      <c r="G49" s="5"/>
      <c r="J49" s="22"/>
      <c r="K49" s="19"/>
      <c r="M49" s="9"/>
      <c r="N49" s="44"/>
      <c r="O49" s="44"/>
      <c r="P49" s="34"/>
      <c r="Q49" s="34"/>
      <c r="R49" s="54"/>
      <c r="S49" s="37"/>
    </row>
    <row r="50" spans="5:18" ht="15">
      <c r="E50" s="6"/>
      <c r="F50" s="6"/>
      <c r="G50" s="6"/>
      <c r="J50" s="23"/>
      <c r="K50" s="20"/>
      <c r="L50" s="45"/>
      <c r="M50" s="3"/>
      <c r="P50" s="55" t="s">
        <v>61</v>
      </c>
      <c r="Q50" s="55"/>
      <c r="R50" s="61">
        <f>P48*(1+8/100)^-(2008-2007)</f>
        <v>20146617.72569444</v>
      </c>
    </row>
    <row r="51" spans="1:18" s="62" customFormat="1" ht="18">
      <c r="A51" s="180" t="s">
        <v>15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s="62" customFormat="1" ht="18">
      <c r="A52" s="181" t="s">
        <v>16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s="62" customFormat="1" ht="18">
      <c r="A53" s="181" t="s">
        <v>17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5" s="62" customFormat="1" ht="18">
      <c r="A54" s="101"/>
      <c r="C54" s="5"/>
      <c r="D54" s="5"/>
      <c r="E54" s="5"/>
    </row>
    <row r="55" spans="1:18" s="62" customFormat="1" ht="18">
      <c r="A55" s="180" t="s">
        <v>18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s="62" customFormat="1" ht="18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2:5" s="62" customFormat="1" ht="18" customHeight="1">
      <c r="B57" s="102"/>
      <c r="C57" s="5"/>
      <c r="D57" s="5"/>
      <c r="E57" s="5"/>
    </row>
    <row r="58" spans="1:18" ht="18" customHeight="1">
      <c r="A58" s="191" t="s">
        <v>233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</row>
    <row r="59" spans="16:17" ht="14.25">
      <c r="P59" s="1"/>
      <c r="Q59" s="1"/>
    </row>
    <row r="60" spans="1:17" ht="14.25" customHeight="1">
      <c r="A60" s="4"/>
      <c r="B60" s="5"/>
      <c r="C60" s="5"/>
      <c r="D60" s="5"/>
      <c r="E60" s="5"/>
      <c r="F60" s="5"/>
      <c r="G60" s="5"/>
      <c r="J60" s="185" t="s">
        <v>2</v>
      </c>
      <c r="L60" s="187" t="s">
        <v>62</v>
      </c>
      <c r="N60" s="189" t="s">
        <v>63</v>
      </c>
      <c r="O60" s="7"/>
      <c r="P60" s="36"/>
      <c r="Q60" s="36"/>
    </row>
    <row r="61" spans="2:17" ht="14.25">
      <c r="B61" s="5"/>
      <c r="C61" s="5"/>
      <c r="D61" s="5"/>
      <c r="E61" s="5"/>
      <c r="F61" s="5"/>
      <c r="G61" s="5"/>
      <c r="H61" s="189" t="s">
        <v>1</v>
      </c>
      <c r="I61" s="7"/>
      <c r="J61" s="185"/>
      <c r="K61" s="25"/>
      <c r="L61" s="187"/>
      <c r="M61" s="7"/>
      <c r="N61" s="189"/>
      <c r="O61" s="7"/>
      <c r="P61" s="36"/>
      <c r="Q61" s="36"/>
    </row>
    <row r="62" spans="1:15" ht="14.25">
      <c r="A62" s="13"/>
      <c r="B62" s="184" t="s">
        <v>0</v>
      </c>
      <c r="C62" s="184"/>
      <c r="D62" s="184"/>
      <c r="E62" s="184"/>
      <c r="F62" s="184"/>
      <c r="G62" s="184"/>
      <c r="H62" s="190"/>
      <c r="I62" s="8"/>
      <c r="J62" s="186"/>
      <c r="K62" s="26"/>
      <c r="L62" s="188"/>
      <c r="M62" s="8"/>
      <c r="N62" s="190"/>
      <c r="O62" s="7"/>
    </row>
    <row r="63" spans="1:15" ht="14.25">
      <c r="A63" s="5"/>
      <c r="B63" s="12"/>
      <c r="C63" s="12"/>
      <c r="D63" s="12"/>
      <c r="E63" s="12"/>
      <c r="F63" s="12"/>
      <c r="G63" s="12"/>
      <c r="H63" s="7"/>
      <c r="I63" s="7"/>
      <c r="J63" s="25"/>
      <c r="K63" s="25"/>
      <c r="L63" s="49"/>
      <c r="M63" s="7"/>
      <c r="N63" s="7"/>
      <c r="O63" s="7"/>
    </row>
    <row r="64" spans="1:19" ht="14.25" customHeight="1">
      <c r="A64" s="5" t="s">
        <v>6</v>
      </c>
      <c r="B64" s="83" t="s">
        <v>414</v>
      </c>
      <c r="C64" s="5"/>
      <c r="D64" s="5"/>
      <c r="E64" s="5"/>
      <c r="F64" s="12"/>
      <c r="G64" s="12"/>
      <c r="S64" s="89"/>
    </row>
    <row r="65" spans="1:19" ht="14.25" customHeight="1">
      <c r="A65" s="5"/>
      <c r="B65" s="126" t="s">
        <v>65</v>
      </c>
      <c r="C65" s="5" t="s">
        <v>266</v>
      </c>
      <c r="D65" s="5"/>
      <c r="E65" s="5"/>
      <c r="F65" s="12"/>
      <c r="G65" s="12"/>
      <c r="H65" s="4" t="s">
        <v>12</v>
      </c>
      <c r="J65" s="87">
        <v>1</v>
      </c>
      <c r="L65" s="40">
        <f>(90+55+45+35+25+1000+150)*746/1000000*50*24*365</f>
        <v>457447.2</v>
      </c>
      <c r="N65" s="32">
        <f>J65*L65</f>
        <v>457447.2</v>
      </c>
      <c r="O65" s="34"/>
      <c r="P65" s="72" t="s">
        <v>275</v>
      </c>
      <c r="S65" s="89"/>
    </row>
    <row r="66" spans="1:19" ht="14.25" customHeight="1">
      <c r="A66" s="5"/>
      <c r="B66" s="129" t="s">
        <v>66</v>
      </c>
      <c r="C66" s="5" t="s">
        <v>267</v>
      </c>
      <c r="D66" s="5"/>
      <c r="E66" s="5"/>
      <c r="F66" s="12"/>
      <c r="G66" s="12"/>
      <c r="H66" s="4" t="s">
        <v>12</v>
      </c>
      <c r="J66" s="87">
        <v>1</v>
      </c>
      <c r="L66" s="40">
        <f>2*50*24*365</f>
        <v>876000</v>
      </c>
      <c r="N66" s="32">
        <f>J66*L66</f>
        <v>876000</v>
      </c>
      <c r="O66" s="34"/>
      <c r="P66" s="72" t="s">
        <v>276</v>
      </c>
      <c r="S66" s="89"/>
    </row>
    <row r="67" spans="1:16" ht="14.25" customHeight="1">
      <c r="A67" s="5"/>
      <c r="B67" s="84"/>
      <c r="C67" s="5"/>
      <c r="D67" s="5"/>
      <c r="E67" s="5"/>
      <c r="F67" s="12"/>
      <c r="G67" s="12"/>
      <c r="J67" s="27"/>
      <c r="L67" s="42"/>
      <c r="N67" s="33"/>
      <c r="O67" s="34"/>
      <c r="P67" s="72"/>
    </row>
    <row r="68" spans="1:15" ht="14.25">
      <c r="A68" s="5" t="s">
        <v>69</v>
      </c>
      <c r="B68" s="83" t="s">
        <v>171</v>
      </c>
      <c r="C68" s="12"/>
      <c r="D68" s="12"/>
      <c r="E68" s="12"/>
      <c r="F68" s="12"/>
      <c r="G68" s="12"/>
      <c r="H68" s="7"/>
      <c r="I68" s="7"/>
      <c r="J68" s="25"/>
      <c r="K68" s="25"/>
      <c r="L68" s="49"/>
      <c r="M68" s="7"/>
      <c r="N68" s="7"/>
      <c r="O68" s="7"/>
    </row>
    <row r="69" spans="1:16" ht="14.25" customHeight="1">
      <c r="A69" s="5"/>
      <c r="B69" s="84" t="s">
        <v>65</v>
      </c>
      <c r="C69" s="5" t="s">
        <v>81</v>
      </c>
      <c r="D69" s="5"/>
      <c r="E69" s="5"/>
      <c r="F69" s="12"/>
      <c r="G69" s="12"/>
      <c r="H69" s="4" t="s">
        <v>12</v>
      </c>
      <c r="J69" s="87">
        <v>1</v>
      </c>
      <c r="L69" s="40">
        <f>S_S_Loadout_Cost_Worksheet!B81</f>
        <v>410280</v>
      </c>
      <c r="N69" s="32">
        <f>J69*L69</f>
        <v>410280</v>
      </c>
      <c r="O69" s="34"/>
      <c r="P69" s="76" t="s">
        <v>410</v>
      </c>
    </row>
    <row r="70" spans="2:18" ht="14.25" customHeight="1">
      <c r="B70" s="85" t="s">
        <v>66</v>
      </c>
      <c r="C70" s="86" t="s">
        <v>82</v>
      </c>
      <c r="D70" s="86"/>
      <c r="E70" s="5"/>
      <c r="F70" s="5"/>
      <c r="G70" s="5"/>
      <c r="H70" s="4" t="s">
        <v>12</v>
      </c>
      <c r="J70" s="87">
        <v>1</v>
      </c>
      <c r="L70" s="40">
        <f>S_S_Hauling_Cost_Worksheet!B103</f>
        <v>757440</v>
      </c>
      <c r="N70" s="32">
        <f>J70*L70</f>
        <v>757440</v>
      </c>
      <c r="O70" s="34"/>
      <c r="P70" s="76" t="s">
        <v>411</v>
      </c>
      <c r="Q70" s="2"/>
      <c r="R70" s="2"/>
    </row>
    <row r="71" spans="1:15" ht="14.25">
      <c r="A71" s="5"/>
      <c r="B71" s="12"/>
      <c r="C71" s="12"/>
      <c r="D71" s="12"/>
      <c r="E71" s="12"/>
      <c r="F71" s="12"/>
      <c r="G71" s="12"/>
      <c r="H71" s="7"/>
      <c r="I71" s="7"/>
      <c r="J71" s="25"/>
      <c r="K71" s="25"/>
      <c r="L71" s="49"/>
      <c r="M71" s="7"/>
      <c r="N71" s="7"/>
      <c r="O71" s="7"/>
    </row>
    <row r="72" spans="2:18" ht="120.75" thickBot="1">
      <c r="B72" s="5"/>
      <c r="C72" s="5"/>
      <c r="D72" s="5"/>
      <c r="E72" s="5"/>
      <c r="F72" s="5"/>
      <c r="G72" s="5"/>
      <c r="J72" s="22"/>
      <c r="K72" s="20"/>
      <c r="L72" s="42"/>
      <c r="M72" s="31"/>
      <c r="N72" s="53" t="s">
        <v>11</v>
      </c>
      <c r="O72" s="52"/>
      <c r="P72" s="59" t="s">
        <v>252</v>
      </c>
      <c r="Q72" s="58"/>
      <c r="R72" s="2"/>
    </row>
    <row r="73" spans="2:19" ht="14.25" customHeight="1">
      <c r="B73" s="5"/>
      <c r="C73" s="5"/>
      <c r="D73" s="5"/>
      <c r="E73" s="5"/>
      <c r="F73" s="5"/>
      <c r="G73" s="5"/>
      <c r="J73" s="22"/>
      <c r="K73" s="20"/>
      <c r="L73" s="42"/>
      <c r="M73" s="31"/>
      <c r="N73" s="60">
        <v>2008</v>
      </c>
      <c r="O73" s="56"/>
      <c r="P73" s="34">
        <f>(N65+N66+N69+N70)*(1+2.5/100)^(N73-2007)</f>
        <v>2563696.38</v>
      </c>
      <c r="Q73" s="34"/>
      <c r="R73" s="2"/>
      <c r="S73" s="34">
        <f aca="true" t="shared" si="1" ref="S73:S92">P73*(1+0.08)^-(N73-2007)</f>
        <v>2373792.944444444</v>
      </c>
    </row>
    <row r="74" spans="2:19" ht="14.25" customHeight="1">
      <c r="B74" s="5"/>
      <c r="C74" s="5"/>
      <c r="D74" s="5"/>
      <c r="E74" s="5"/>
      <c r="F74" s="5"/>
      <c r="G74" s="5"/>
      <c r="J74" s="22"/>
      <c r="K74" s="20"/>
      <c r="L74" s="42"/>
      <c r="M74" s="31"/>
      <c r="N74" s="60">
        <v>2009</v>
      </c>
      <c r="O74" s="56"/>
      <c r="P74" s="34">
        <f aca="true" t="shared" si="2" ref="P74:P92">P73*(1+2.5/100)^1</f>
        <v>2627788.7894999995</v>
      </c>
      <c r="Q74" s="34"/>
      <c r="R74" s="34"/>
      <c r="S74" s="34">
        <f t="shared" si="1"/>
        <v>2252905.3407921805</v>
      </c>
    </row>
    <row r="75" spans="2:19" ht="14.25" customHeight="1">
      <c r="B75" s="5"/>
      <c r="C75" s="5"/>
      <c r="D75" s="5"/>
      <c r="E75" s="5"/>
      <c r="F75" s="5"/>
      <c r="G75" s="5"/>
      <c r="J75" s="22"/>
      <c r="K75" s="20"/>
      <c r="L75" s="42"/>
      <c r="M75" s="31"/>
      <c r="N75" s="60">
        <v>2010</v>
      </c>
      <c r="O75" s="56"/>
      <c r="P75" s="34">
        <f t="shared" si="2"/>
        <v>2693483.5092374994</v>
      </c>
      <c r="Q75" s="34"/>
      <c r="R75" s="2"/>
      <c r="S75" s="34">
        <f t="shared" si="1"/>
        <v>2138174.0502888747</v>
      </c>
    </row>
    <row r="76" spans="2:19" ht="14.25" customHeight="1">
      <c r="B76" s="5"/>
      <c r="C76" s="5"/>
      <c r="D76" s="5"/>
      <c r="E76" s="5"/>
      <c r="F76" s="5"/>
      <c r="G76" s="5"/>
      <c r="J76" s="22"/>
      <c r="K76" s="20"/>
      <c r="L76" s="42"/>
      <c r="M76" s="31"/>
      <c r="N76" s="60">
        <v>2011</v>
      </c>
      <c r="O76" s="56"/>
      <c r="P76" s="34">
        <f t="shared" si="2"/>
        <v>2760820.5969684366</v>
      </c>
      <c r="Q76" s="34"/>
      <c r="R76" s="2"/>
      <c r="S76" s="34">
        <f t="shared" si="1"/>
        <v>2029285.5569871261</v>
      </c>
    </row>
    <row r="77" spans="2:19" ht="14.25" customHeight="1">
      <c r="B77" s="5"/>
      <c r="C77" s="5"/>
      <c r="D77" s="5"/>
      <c r="E77" s="5"/>
      <c r="F77" s="5"/>
      <c r="G77" s="5"/>
      <c r="J77" s="22"/>
      <c r="K77" s="20"/>
      <c r="L77" s="42"/>
      <c r="M77" s="31"/>
      <c r="N77" s="60">
        <v>2012</v>
      </c>
      <c r="O77" s="56"/>
      <c r="P77" s="34">
        <f t="shared" si="2"/>
        <v>2829841.111892647</v>
      </c>
      <c r="Q77" s="34"/>
      <c r="R77" s="2"/>
      <c r="S77" s="34">
        <f t="shared" si="1"/>
        <v>1925942.3110294482</v>
      </c>
    </row>
    <row r="78" spans="2:19" ht="14.25" customHeight="1">
      <c r="B78" s="5"/>
      <c r="C78" s="5"/>
      <c r="D78" s="5"/>
      <c r="E78" s="5"/>
      <c r="F78" s="5"/>
      <c r="G78" s="5"/>
      <c r="J78" s="22"/>
      <c r="K78" s="20"/>
      <c r="L78" s="42"/>
      <c r="M78" s="31"/>
      <c r="N78" s="60">
        <v>2013</v>
      </c>
      <c r="O78" s="56"/>
      <c r="P78" s="34">
        <f t="shared" si="2"/>
        <v>2900587.139689963</v>
      </c>
      <c r="Q78" s="34"/>
      <c r="R78" s="2"/>
      <c r="S78" s="34">
        <f t="shared" si="1"/>
        <v>1827861.9155603552</v>
      </c>
    </row>
    <row r="79" spans="2:19" ht="14.25" customHeight="1">
      <c r="B79" s="5"/>
      <c r="C79" s="5"/>
      <c r="D79" s="5"/>
      <c r="E79" s="5"/>
      <c r="F79" s="5"/>
      <c r="G79" s="5"/>
      <c r="J79" s="22"/>
      <c r="K79" s="20"/>
      <c r="L79" s="42"/>
      <c r="M79" s="31"/>
      <c r="N79" s="60">
        <v>2014</v>
      </c>
      <c r="O79" s="56"/>
      <c r="P79" s="34">
        <f t="shared" si="2"/>
        <v>2973101.818182212</v>
      </c>
      <c r="Q79" s="34"/>
      <c r="R79" s="2"/>
      <c r="S79" s="34">
        <f t="shared" si="1"/>
        <v>1734776.3550457077</v>
      </c>
    </row>
    <row r="80" spans="2:19" ht="14.25" customHeight="1">
      <c r="B80" s="5"/>
      <c r="C80" s="5"/>
      <c r="D80" s="5"/>
      <c r="E80" s="5"/>
      <c r="F80" s="5"/>
      <c r="G80" s="5"/>
      <c r="J80" s="22"/>
      <c r="K80" s="20"/>
      <c r="L80" s="42"/>
      <c r="M80" s="31"/>
      <c r="N80" s="60">
        <v>2015</v>
      </c>
      <c r="O80" s="56"/>
      <c r="P80" s="34">
        <f t="shared" si="2"/>
        <v>3047429.363636767</v>
      </c>
      <c r="Q80" s="34"/>
      <c r="R80" s="2"/>
      <c r="S80" s="34">
        <f t="shared" si="1"/>
        <v>1646431.262890602</v>
      </c>
    </row>
    <row r="81" spans="2:19" ht="14.25" customHeight="1">
      <c r="B81" s="5"/>
      <c r="C81" s="5"/>
      <c r="D81" s="5"/>
      <c r="E81" s="5"/>
      <c r="F81" s="5"/>
      <c r="G81" s="5"/>
      <c r="J81" s="22"/>
      <c r="K81" s="20"/>
      <c r="L81" s="42"/>
      <c r="M81" s="31"/>
      <c r="N81" s="60">
        <v>2016</v>
      </c>
      <c r="O81" s="56"/>
      <c r="P81" s="34">
        <f t="shared" si="2"/>
        <v>3123615.0977276857</v>
      </c>
      <c r="Q81" s="34"/>
      <c r="R81" s="2"/>
      <c r="S81" s="34">
        <f t="shared" si="1"/>
        <v>1562585.2263545063</v>
      </c>
    </row>
    <row r="82" spans="2:19" ht="14.25" customHeight="1">
      <c r="B82" s="5"/>
      <c r="C82" s="5"/>
      <c r="D82" s="5"/>
      <c r="E82" s="5"/>
      <c r="F82" s="5"/>
      <c r="G82" s="5"/>
      <c r="J82" s="22"/>
      <c r="K82" s="20"/>
      <c r="L82" s="42"/>
      <c r="M82" s="31"/>
      <c r="N82" s="60">
        <v>2017</v>
      </c>
      <c r="O82" s="56"/>
      <c r="P82" s="34">
        <f t="shared" si="2"/>
        <v>3201705.4751708778</v>
      </c>
      <c r="Q82" s="34"/>
      <c r="R82" s="2"/>
      <c r="S82" s="34">
        <f t="shared" si="1"/>
        <v>1483009.1268642303</v>
      </c>
    </row>
    <row r="83" spans="2:19" ht="14.25" customHeight="1">
      <c r="B83" s="5"/>
      <c r="C83" s="5"/>
      <c r="D83" s="5"/>
      <c r="E83" s="5"/>
      <c r="F83" s="5"/>
      <c r="G83" s="5"/>
      <c r="J83" s="22"/>
      <c r="K83" s="20"/>
      <c r="L83" s="42"/>
      <c r="M83" s="31"/>
      <c r="N83" s="60">
        <v>2018</v>
      </c>
      <c r="O83" s="56"/>
      <c r="P83" s="34">
        <f t="shared" si="2"/>
        <v>3281748.1120501496</v>
      </c>
      <c r="Q83" s="34"/>
      <c r="R83" s="2"/>
      <c r="S83" s="34">
        <f t="shared" si="1"/>
        <v>1407485.5139220704</v>
      </c>
    </row>
    <row r="84" spans="2:19" ht="14.25" customHeight="1">
      <c r="B84" s="5"/>
      <c r="C84" s="5"/>
      <c r="D84" s="5"/>
      <c r="E84" s="5"/>
      <c r="F84" s="5"/>
      <c r="G84" s="5"/>
      <c r="J84" s="22"/>
      <c r="K84" s="20"/>
      <c r="L84" s="42"/>
      <c r="M84" s="31"/>
      <c r="N84" s="60">
        <v>2019</v>
      </c>
      <c r="O84" s="56"/>
      <c r="P84" s="34">
        <f t="shared" si="2"/>
        <v>3363791.8148514032</v>
      </c>
      <c r="Q84" s="34"/>
      <c r="R84" s="2"/>
      <c r="S84" s="34">
        <f t="shared" si="1"/>
        <v>1335808.010898261</v>
      </c>
    </row>
    <row r="85" spans="2:19" ht="14.25" customHeight="1">
      <c r="B85" s="5"/>
      <c r="C85" s="5"/>
      <c r="D85" s="5"/>
      <c r="E85" s="5"/>
      <c r="F85" s="5"/>
      <c r="G85" s="5"/>
      <c r="J85" s="22"/>
      <c r="K85" s="20"/>
      <c r="L85" s="42"/>
      <c r="M85" s="31"/>
      <c r="N85" s="60">
        <v>2020</v>
      </c>
      <c r="O85" s="56"/>
      <c r="P85" s="34">
        <f t="shared" si="2"/>
        <v>3447886.610222688</v>
      </c>
      <c r="Q85" s="34"/>
      <c r="R85" s="2"/>
      <c r="S85" s="34">
        <f t="shared" si="1"/>
        <v>1267780.7510839975</v>
      </c>
    </row>
    <row r="86" spans="2:19" ht="14.25" customHeight="1">
      <c r="B86" s="5"/>
      <c r="C86" s="5"/>
      <c r="D86" s="5"/>
      <c r="E86" s="5"/>
      <c r="F86" s="5"/>
      <c r="G86" s="5"/>
      <c r="J86" s="22"/>
      <c r="K86" s="20"/>
      <c r="L86" s="42"/>
      <c r="M86" s="31"/>
      <c r="N86" s="60">
        <v>2021</v>
      </c>
      <c r="O86" s="56"/>
      <c r="P86" s="34">
        <f t="shared" si="2"/>
        <v>3534083.775478255</v>
      </c>
      <c r="Q86" s="34"/>
      <c r="R86" s="2"/>
      <c r="S86" s="34">
        <f t="shared" si="1"/>
        <v>1203217.842463979</v>
      </c>
    </row>
    <row r="87" spans="2:19" ht="14.25" customHeight="1">
      <c r="B87" s="5"/>
      <c r="C87" s="5"/>
      <c r="D87" s="5"/>
      <c r="E87" s="5"/>
      <c r="F87" s="5"/>
      <c r="G87" s="5"/>
      <c r="J87" s="22"/>
      <c r="K87" s="20"/>
      <c r="L87" s="42"/>
      <c r="M87" s="31"/>
      <c r="N87" s="60">
        <v>2022</v>
      </c>
      <c r="O87" s="56"/>
      <c r="P87" s="34">
        <f t="shared" si="2"/>
        <v>3622435.869865211</v>
      </c>
      <c r="Q87" s="34"/>
      <c r="R87" s="2"/>
      <c r="S87" s="34">
        <f t="shared" si="1"/>
        <v>1141942.8597459057</v>
      </c>
    </row>
    <row r="88" spans="2:19" ht="14.25" customHeight="1">
      <c r="B88" s="5"/>
      <c r="C88" s="5"/>
      <c r="D88" s="5"/>
      <c r="E88" s="5"/>
      <c r="F88" s="5"/>
      <c r="G88" s="5"/>
      <c r="J88" s="22"/>
      <c r="K88" s="20"/>
      <c r="L88" s="42"/>
      <c r="M88" s="31"/>
      <c r="N88" s="60">
        <v>2023</v>
      </c>
      <c r="O88" s="56"/>
      <c r="P88" s="34">
        <f t="shared" si="2"/>
        <v>3712996.766611841</v>
      </c>
      <c r="Q88" s="34"/>
      <c r="R88" s="2"/>
      <c r="S88" s="34">
        <f t="shared" si="1"/>
        <v>1083788.3622588457</v>
      </c>
    </row>
    <row r="89" spans="2:19" ht="14.25" customHeight="1">
      <c r="B89" s="5"/>
      <c r="C89" s="5"/>
      <c r="D89" s="5"/>
      <c r="E89" s="5"/>
      <c r="F89" s="5"/>
      <c r="G89" s="5"/>
      <c r="J89" s="22"/>
      <c r="K89" s="20"/>
      <c r="L89" s="42"/>
      <c r="M89" s="31"/>
      <c r="N89" s="60">
        <v>2024</v>
      </c>
      <c r="O89" s="56"/>
      <c r="P89" s="34">
        <f t="shared" si="2"/>
        <v>3805821.6857771366</v>
      </c>
      <c r="Q89" s="34"/>
      <c r="R89" s="2"/>
      <c r="S89" s="34">
        <f t="shared" si="1"/>
        <v>1028595.4364030712</v>
      </c>
    </row>
    <row r="90" spans="2:19" ht="14.25" customHeight="1">
      <c r="B90" s="5"/>
      <c r="C90" s="5"/>
      <c r="D90" s="5"/>
      <c r="E90" s="5"/>
      <c r="F90" s="5"/>
      <c r="G90" s="5"/>
      <c r="J90" s="22"/>
      <c r="K90" s="20"/>
      <c r="L90" s="42"/>
      <c r="M90" s="31"/>
      <c r="N90" s="60">
        <v>2025</v>
      </c>
      <c r="O90" s="56"/>
      <c r="P90" s="34">
        <f t="shared" si="2"/>
        <v>3900967.2279215646</v>
      </c>
      <c r="Q90" s="34"/>
      <c r="R90" s="2"/>
      <c r="S90" s="34">
        <f t="shared" si="1"/>
        <v>976213.2614010625</v>
      </c>
    </row>
    <row r="91" spans="2:19" ht="14.25" customHeight="1">
      <c r="B91" s="5"/>
      <c r="C91" s="5"/>
      <c r="D91" s="5"/>
      <c r="E91" s="5"/>
      <c r="F91" s="5"/>
      <c r="G91" s="5"/>
      <c r="J91" s="113"/>
      <c r="K91" s="20"/>
      <c r="L91" s="42"/>
      <c r="M91" s="31"/>
      <c r="N91" s="60">
        <v>2026</v>
      </c>
      <c r="O91" s="56"/>
      <c r="P91" s="34">
        <f t="shared" si="2"/>
        <v>3998491.408619603</v>
      </c>
      <c r="Q91" s="34"/>
      <c r="R91" s="2"/>
      <c r="S91" s="34">
        <f t="shared" si="1"/>
        <v>926498.6971630453</v>
      </c>
    </row>
    <row r="92" spans="2:19" ht="14.25" customHeight="1">
      <c r="B92" s="5"/>
      <c r="C92" s="5"/>
      <c r="D92" s="5"/>
      <c r="E92" s="5"/>
      <c r="F92" s="5"/>
      <c r="G92" s="5"/>
      <c r="J92" s="22"/>
      <c r="K92" s="20"/>
      <c r="L92" s="42"/>
      <c r="M92" s="31"/>
      <c r="N92" s="60">
        <v>2027</v>
      </c>
      <c r="O92" s="56"/>
      <c r="P92" s="34">
        <f t="shared" si="2"/>
        <v>4098453.6938350927</v>
      </c>
      <c r="Q92" s="34"/>
      <c r="R92" s="2"/>
      <c r="S92" s="108">
        <f t="shared" si="1"/>
        <v>879315.893140853</v>
      </c>
    </row>
    <row r="93" spans="2:18" ht="14.25" customHeight="1">
      <c r="B93" s="5"/>
      <c r="C93" s="5"/>
      <c r="D93" s="5"/>
      <c r="E93" s="5"/>
      <c r="F93" s="5"/>
      <c r="G93" s="5"/>
      <c r="J93" s="22"/>
      <c r="K93" s="20"/>
      <c r="L93" s="42"/>
      <c r="M93" s="31"/>
      <c r="N93" s="56"/>
      <c r="O93" s="56"/>
      <c r="P93" s="54"/>
      <c r="Q93" s="54"/>
      <c r="R93" s="2"/>
    </row>
    <row r="94" spans="2:19" ht="14.25" customHeight="1">
      <c r="B94" s="5"/>
      <c r="C94" s="5"/>
      <c r="D94" s="5"/>
      <c r="E94" s="5"/>
      <c r="F94" s="5"/>
      <c r="G94" s="5"/>
      <c r="J94" s="22"/>
      <c r="K94" s="20"/>
      <c r="L94" s="42"/>
      <c r="M94" s="31"/>
      <c r="O94" s="55"/>
      <c r="P94" s="55" t="s">
        <v>64</v>
      </c>
      <c r="Q94" s="55"/>
      <c r="R94" s="34">
        <f>P73*(1+0.08)^-(N73-2007)+P74*(1+0.08)^-(N74-2007)+P75*(1+0.08)^-(N75-2007)+P76*(1+0.08)^-(N76-2007)+P77*(1+0.08)^-(N77-2007)+P78*(1+0.08)^-(N78-2007)+P79*(1+0.08)^-(N79-2007)+P80*(1+0.08)^-(N80-2007)+P81*(1+0.08)^-(N81-2007)+P82*(1+0.08)^-(N82-2007)+P83*(1+0.08)^-(N83-2007)+P84*(1+0.08)^-(N84-2007)+P85*(1+0.08)^-(N85-2007)+P86*(1+0.08)^-(N86-2007)+P87*(1+0.08)^-(N87-2007)+P88*(1+0.08)^-(N88-2007)+P89*(1+0.08)^-(N89-2007)+P90*(1+0.08)^-(N90-2007)+P91*(1+0.08)^-(N91-2007)+P92*(1+0.08)^-(N92-2007)</f>
        <v>30225410.718738556</v>
      </c>
      <c r="S94" s="109">
        <f>SUM(S73:S92)</f>
        <v>30225410.718738556</v>
      </c>
    </row>
    <row r="95" spans="2:17" ht="14.25" customHeight="1">
      <c r="B95" s="5"/>
      <c r="C95" s="5"/>
      <c r="D95" s="5"/>
      <c r="E95" s="5"/>
      <c r="F95" s="5"/>
      <c r="G95" s="5"/>
      <c r="I95" s="12"/>
      <c r="J95" s="22"/>
      <c r="K95" s="19"/>
      <c r="L95" s="46"/>
      <c r="M95" s="30"/>
      <c r="N95" s="57"/>
      <c r="O95" s="57"/>
      <c r="P95" s="2"/>
      <c r="Q95" s="2"/>
    </row>
    <row r="96" spans="1:18" ht="14.25" customHeight="1">
      <c r="A96" s="6" t="s">
        <v>115</v>
      </c>
      <c r="B96" s="5" t="s">
        <v>172</v>
      </c>
      <c r="C96" s="5"/>
      <c r="D96" s="5"/>
      <c r="E96" s="5"/>
      <c r="F96" s="5"/>
      <c r="G96" s="5"/>
      <c r="Q96" s="2"/>
      <c r="R96" s="2"/>
    </row>
    <row r="97" spans="2:18" ht="14.25" customHeight="1">
      <c r="B97" s="115" t="s">
        <v>65</v>
      </c>
      <c r="C97" s="5" t="s">
        <v>173</v>
      </c>
      <c r="D97" s="5"/>
      <c r="E97" s="5"/>
      <c r="F97" s="5"/>
      <c r="G97" s="5"/>
      <c r="H97" s="4" t="s">
        <v>12</v>
      </c>
      <c r="I97" s="12"/>
      <c r="J97" s="21">
        <v>1</v>
      </c>
      <c r="K97" s="19"/>
      <c r="L97" s="135">
        <f>0.01*(SUM(N23:N39))</f>
        <v>158934.52</v>
      </c>
      <c r="M97" s="3"/>
      <c r="N97" s="32">
        <f>J97*L97</f>
        <v>158934.52</v>
      </c>
      <c r="O97" s="33"/>
      <c r="P97" s="72" t="s">
        <v>221</v>
      </c>
      <c r="Q97" s="2"/>
      <c r="R97" s="2"/>
    </row>
    <row r="98" spans="2:18" ht="14.25" customHeight="1">
      <c r="B98" s="115" t="s">
        <v>66</v>
      </c>
      <c r="C98" s="5" t="s">
        <v>278</v>
      </c>
      <c r="D98" s="5"/>
      <c r="E98" s="5"/>
      <c r="F98" s="5"/>
      <c r="G98" s="5"/>
      <c r="H98" s="4" t="s">
        <v>12</v>
      </c>
      <c r="I98" s="12"/>
      <c r="J98" s="21">
        <v>1</v>
      </c>
      <c r="K98" s="19"/>
      <c r="L98" s="40">
        <f>2*40*12*S_S_Loadout_Cost_Worksheet!B71</f>
        <v>252480</v>
      </c>
      <c r="M98" s="3"/>
      <c r="N98" s="32">
        <f>J98*L98</f>
        <v>252480</v>
      </c>
      <c r="O98" s="33"/>
      <c r="P98" s="72" t="s">
        <v>406</v>
      </c>
      <c r="Q98" s="2"/>
      <c r="R98" s="2"/>
    </row>
    <row r="99" spans="2:18" ht="14.25" customHeight="1">
      <c r="B99" s="115" t="s">
        <v>68</v>
      </c>
      <c r="C99" s="5" t="s">
        <v>179</v>
      </c>
      <c r="D99" s="5"/>
      <c r="E99" s="5"/>
      <c r="F99" s="5"/>
      <c r="G99" s="5"/>
      <c r="I99" s="12"/>
      <c r="J99" s="22"/>
      <c r="K99" s="19"/>
      <c r="L99" s="114"/>
      <c r="M99" s="3"/>
      <c r="N99" s="33"/>
      <c r="O99" s="33"/>
      <c r="P99" s="72"/>
      <c r="Q99" s="2"/>
      <c r="R99" s="2"/>
    </row>
    <row r="100" spans="3:23" ht="14.25">
      <c r="C100" s="6" t="s">
        <v>117</v>
      </c>
      <c r="D100" s="6" t="s">
        <v>240</v>
      </c>
      <c r="E100" s="6"/>
      <c r="F100" s="6"/>
      <c r="G100" s="6"/>
      <c r="H100" s="4" t="s">
        <v>3</v>
      </c>
      <c r="J100" s="21">
        <v>1</v>
      </c>
      <c r="K100" s="20"/>
      <c r="L100" s="40">
        <f>S100</f>
        <v>100188</v>
      </c>
      <c r="M100" s="31"/>
      <c r="N100" s="32">
        <f>J100*L100</f>
        <v>100188</v>
      </c>
      <c r="O100" s="33"/>
      <c r="P100" s="88" t="s">
        <v>315</v>
      </c>
      <c r="Q100" s="10"/>
      <c r="S100" s="10">
        <f>0.05*(SUM(N101:N103))</f>
        <v>100188</v>
      </c>
      <c r="T100" s="15"/>
      <c r="W100" s="50"/>
    </row>
    <row r="101" spans="2:27" ht="14.25">
      <c r="B101" s="6"/>
      <c r="C101" s="6" t="s">
        <v>119</v>
      </c>
      <c r="D101" s="6" t="s">
        <v>203</v>
      </c>
      <c r="E101" s="6"/>
      <c r="F101" s="6"/>
      <c r="G101" s="6"/>
      <c r="H101" s="12" t="s">
        <v>84</v>
      </c>
      <c r="I101" s="12"/>
      <c r="J101" s="21">
        <f>J23</f>
        <v>17424</v>
      </c>
      <c r="K101" s="19"/>
      <c r="L101" s="41">
        <v>25</v>
      </c>
      <c r="M101" s="31"/>
      <c r="N101" s="32">
        <f>J101*L101</f>
        <v>435600</v>
      </c>
      <c r="O101" s="33"/>
      <c r="R101" s="79"/>
      <c r="S101" s="89" t="s">
        <v>107</v>
      </c>
      <c r="U101" s="35"/>
      <c r="Z101" s="81">
        <v>3.3</v>
      </c>
      <c r="AA101" s="80" t="s">
        <v>56</v>
      </c>
    </row>
    <row r="102" spans="2:27" ht="14.25">
      <c r="B102" s="6"/>
      <c r="C102" s="6" t="s">
        <v>121</v>
      </c>
      <c r="D102" s="6" t="s">
        <v>204</v>
      </c>
      <c r="E102" s="6"/>
      <c r="F102" s="6"/>
      <c r="G102" s="6"/>
      <c r="H102" s="12" t="s">
        <v>84</v>
      </c>
      <c r="I102" s="12"/>
      <c r="J102" s="21">
        <f>J24</f>
        <v>17424</v>
      </c>
      <c r="K102" s="19"/>
      <c r="L102" s="41">
        <v>40</v>
      </c>
      <c r="M102" s="31"/>
      <c r="N102" s="32">
        <f>J102*L102</f>
        <v>696960</v>
      </c>
      <c r="O102" s="33"/>
      <c r="R102" s="79"/>
      <c r="S102" s="89" t="s">
        <v>108</v>
      </c>
      <c r="U102" s="35"/>
      <c r="Z102" s="81">
        <v>3.3</v>
      </c>
      <c r="AA102" s="80" t="s">
        <v>56</v>
      </c>
    </row>
    <row r="103" spans="2:27" ht="14.25">
      <c r="B103" s="6"/>
      <c r="C103" s="6" t="s">
        <v>175</v>
      </c>
      <c r="D103" s="6" t="s">
        <v>205</v>
      </c>
      <c r="E103" s="6"/>
      <c r="F103" s="6"/>
      <c r="G103" s="6"/>
      <c r="H103" s="12" t="s">
        <v>84</v>
      </c>
      <c r="I103" s="12"/>
      <c r="J103" s="21">
        <f>J25</f>
        <v>17424</v>
      </c>
      <c r="K103" s="19"/>
      <c r="L103" s="41">
        <v>50</v>
      </c>
      <c r="M103" s="31"/>
      <c r="N103" s="32">
        <f>J103*L103</f>
        <v>871200</v>
      </c>
      <c r="O103" s="33"/>
      <c r="R103" s="79"/>
      <c r="S103" s="89" t="s">
        <v>109</v>
      </c>
      <c r="U103" s="35"/>
      <c r="Z103" s="81">
        <v>3.3</v>
      </c>
      <c r="AA103" s="80" t="s">
        <v>56</v>
      </c>
    </row>
    <row r="104" spans="2:27" ht="14.25">
      <c r="B104" s="6"/>
      <c r="C104" s="6"/>
      <c r="D104" s="6"/>
      <c r="E104" s="6"/>
      <c r="F104" s="6"/>
      <c r="G104" s="6"/>
      <c r="H104" s="12"/>
      <c r="I104" s="12"/>
      <c r="J104" s="22"/>
      <c r="K104" s="19"/>
      <c r="L104" s="51"/>
      <c r="M104" s="31"/>
      <c r="N104" s="33"/>
      <c r="O104" s="33"/>
      <c r="R104" s="79"/>
      <c r="S104" s="89"/>
      <c r="U104" s="35"/>
      <c r="Z104" s="81"/>
      <c r="AA104" s="80"/>
    </row>
    <row r="105" spans="5:18" ht="15">
      <c r="E105" s="6"/>
      <c r="F105" s="6"/>
      <c r="G105" s="6"/>
      <c r="J105" s="23"/>
      <c r="K105" s="20"/>
      <c r="L105" s="44" t="s">
        <v>180</v>
      </c>
      <c r="M105" s="14"/>
      <c r="N105" s="34">
        <f>SUM(N100:N103)</f>
        <v>2103948</v>
      </c>
      <c r="O105" s="34"/>
      <c r="P105" s="11"/>
      <c r="Q105" s="11"/>
      <c r="R105" s="11"/>
    </row>
    <row r="106" spans="5:19" ht="15">
      <c r="E106" s="6"/>
      <c r="F106" s="6"/>
      <c r="G106" s="6"/>
      <c r="J106" s="23"/>
      <c r="K106" s="20"/>
      <c r="L106" s="44"/>
      <c r="M106" s="14"/>
      <c r="N106" s="34"/>
      <c r="O106" s="34"/>
      <c r="P106" s="11"/>
      <c r="Q106" s="11"/>
      <c r="R106" s="11"/>
      <c r="S106" s="37"/>
    </row>
    <row r="107" spans="2:18" ht="15.75" thickBot="1">
      <c r="B107" s="5"/>
      <c r="C107" s="5"/>
      <c r="D107" s="5"/>
      <c r="E107" s="5"/>
      <c r="F107" s="5"/>
      <c r="G107" s="5"/>
      <c r="J107" s="22"/>
      <c r="K107" s="19"/>
      <c r="L107" s="46" t="s">
        <v>14</v>
      </c>
      <c r="M107" s="30"/>
      <c r="N107" s="48">
        <f>N105*0.25</f>
        <v>525987</v>
      </c>
      <c r="O107" s="34"/>
      <c r="P107" s="11"/>
      <c r="Q107" s="11"/>
      <c r="R107" s="11"/>
    </row>
    <row r="108" spans="2:18" ht="14.25">
      <c r="B108" s="5"/>
      <c r="C108" s="5"/>
      <c r="D108" s="5"/>
      <c r="E108" s="5"/>
      <c r="F108" s="5"/>
      <c r="G108" s="5"/>
      <c r="J108" s="22"/>
      <c r="K108" s="19"/>
      <c r="L108" s="43"/>
      <c r="M108" s="9"/>
      <c r="N108" s="33"/>
      <c r="O108" s="33"/>
      <c r="P108" s="11"/>
      <c r="Q108" s="11"/>
      <c r="R108" s="11"/>
    </row>
    <row r="109" spans="2:19" ht="15">
      <c r="B109" s="5"/>
      <c r="C109" s="5"/>
      <c r="D109" s="5"/>
      <c r="E109" s="5"/>
      <c r="F109" s="5"/>
      <c r="G109" s="5"/>
      <c r="J109" s="22"/>
      <c r="K109" s="19"/>
      <c r="L109" s="44" t="s">
        <v>181</v>
      </c>
      <c r="M109" s="9"/>
      <c r="N109" s="34">
        <f>SUM(N105:N107)</f>
        <v>2629935</v>
      </c>
      <c r="O109" s="34"/>
      <c r="P109" s="11"/>
      <c r="Q109" s="11"/>
      <c r="R109" s="11"/>
      <c r="S109" s="37"/>
    </row>
    <row r="110" spans="2:19" ht="15">
      <c r="B110" s="5"/>
      <c r="C110" s="5"/>
      <c r="D110" s="5"/>
      <c r="E110" s="5"/>
      <c r="F110" s="5"/>
      <c r="G110" s="5"/>
      <c r="J110" s="22"/>
      <c r="K110" s="19"/>
      <c r="L110" s="44"/>
      <c r="M110" s="9"/>
      <c r="N110" s="34"/>
      <c r="O110" s="34"/>
      <c r="P110" s="11"/>
      <c r="Q110" s="11"/>
      <c r="R110" s="11"/>
      <c r="S110" s="37"/>
    </row>
    <row r="111" spans="2:27" ht="15">
      <c r="B111" s="6"/>
      <c r="C111" s="6"/>
      <c r="D111" s="6"/>
      <c r="E111" s="6"/>
      <c r="F111" s="6"/>
      <c r="G111" s="6"/>
      <c r="H111" s="12"/>
      <c r="I111" s="12"/>
      <c r="J111" s="22"/>
      <c r="K111" s="19"/>
      <c r="N111" s="44" t="s">
        <v>176</v>
      </c>
      <c r="O111" s="33"/>
      <c r="P111" s="34">
        <f>N109*(1+2.5/100)^(2018-2007)</f>
        <v>3450702.6243845723</v>
      </c>
      <c r="R111" s="79"/>
      <c r="S111" s="89"/>
      <c r="U111" s="35"/>
      <c r="Z111" s="81"/>
      <c r="AA111" s="80"/>
    </row>
    <row r="112" spans="1:18" s="62" customFormat="1" ht="18">
      <c r="A112" s="180" t="s">
        <v>15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s="62" customFormat="1" ht="18">
      <c r="A113" s="181" t="s">
        <v>16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s="62" customFormat="1" ht="18">
      <c r="A114" s="181" t="s">
        <v>17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5" s="62" customFormat="1" ht="18">
      <c r="A115" s="101"/>
      <c r="C115" s="5"/>
      <c r="D115" s="5"/>
      <c r="E115" s="5"/>
    </row>
    <row r="116" spans="1:18" s="62" customFormat="1" ht="18">
      <c r="A116" s="180" t="s">
        <v>18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s="62" customFormat="1" ht="18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2:5" s="62" customFormat="1" ht="18" customHeight="1">
      <c r="B118" s="102"/>
      <c r="C118" s="5"/>
      <c r="D118" s="5"/>
      <c r="E118" s="5"/>
    </row>
    <row r="119" spans="1:18" ht="18" customHeight="1">
      <c r="A119" s="191" t="s">
        <v>233</v>
      </c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</row>
    <row r="120" spans="16:17" ht="14.25">
      <c r="P120" s="1"/>
      <c r="Q120" s="1"/>
    </row>
    <row r="121" spans="2:18" ht="105.75" thickBot="1">
      <c r="B121" s="5"/>
      <c r="C121" s="5"/>
      <c r="D121" s="5"/>
      <c r="E121" s="5"/>
      <c r="F121" s="5"/>
      <c r="G121" s="5"/>
      <c r="J121" s="22"/>
      <c r="K121" s="20"/>
      <c r="L121" s="42"/>
      <c r="M121" s="31"/>
      <c r="N121" s="53" t="s">
        <v>11</v>
      </c>
      <c r="O121" s="52"/>
      <c r="P121" s="59" t="s">
        <v>253</v>
      </c>
      <c r="Q121" s="58"/>
      <c r="R121" s="2"/>
    </row>
    <row r="122" spans="2:19" ht="14.25" customHeight="1">
      <c r="B122" s="5"/>
      <c r="C122" s="5"/>
      <c r="D122" s="5"/>
      <c r="E122" s="5"/>
      <c r="F122" s="5"/>
      <c r="G122" s="5"/>
      <c r="J122" s="22"/>
      <c r="K122" s="20"/>
      <c r="L122" s="42"/>
      <c r="M122" s="31"/>
      <c r="N122" s="60">
        <v>2008</v>
      </c>
      <c r="O122" s="56"/>
      <c r="P122" s="34">
        <f>(N97+N98)*(1+2.5/100)^(N122-2007)</f>
        <v>421699.883</v>
      </c>
      <c r="Q122" s="34"/>
      <c r="R122" s="2"/>
      <c r="S122" s="34">
        <f aca="true" t="shared" si="3" ref="S122:S141">P122*(1+0.08)^-(N122-2007)</f>
        <v>390462.8546296296</v>
      </c>
    </row>
    <row r="123" spans="2:19" ht="14.25" customHeight="1">
      <c r="B123" s="5"/>
      <c r="C123" s="5"/>
      <c r="D123" s="5"/>
      <c r="E123" s="5"/>
      <c r="F123" s="5"/>
      <c r="G123" s="5"/>
      <c r="J123" s="22"/>
      <c r="K123" s="20"/>
      <c r="L123" s="42"/>
      <c r="M123" s="31"/>
      <c r="N123" s="60">
        <v>2009</v>
      </c>
      <c r="O123" s="56"/>
      <c r="P123" s="34">
        <f aca="true" t="shared" si="4" ref="P123:P141">P122*(1+2.5/100)^1</f>
        <v>432242.38007499994</v>
      </c>
      <c r="Q123" s="34"/>
      <c r="R123" s="2"/>
      <c r="S123" s="34">
        <f t="shared" si="3"/>
        <v>370578.17221793544</v>
      </c>
    </row>
    <row r="124" spans="2:19" ht="14.25" customHeight="1">
      <c r="B124" s="5"/>
      <c r="C124" s="5"/>
      <c r="D124" s="5"/>
      <c r="E124" s="5"/>
      <c r="F124" s="5"/>
      <c r="G124" s="5"/>
      <c r="J124" s="22"/>
      <c r="K124" s="20"/>
      <c r="L124" s="42"/>
      <c r="M124" s="31"/>
      <c r="N124" s="60">
        <v>2010</v>
      </c>
      <c r="O124" s="56"/>
      <c r="P124" s="34">
        <f t="shared" si="4"/>
        <v>443048.4395768749</v>
      </c>
      <c r="Q124" s="34"/>
      <c r="R124" s="2"/>
      <c r="S124" s="34">
        <f t="shared" si="3"/>
        <v>351706.1356697998</v>
      </c>
    </row>
    <row r="125" spans="2:19" ht="14.25" customHeight="1">
      <c r="B125" s="5"/>
      <c r="C125" s="5"/>
      <c r="D125" s="5"/>
      <c r="E125" s="5"/>
      <c r="F125" s="5"/>
      <c r="G125" s="5"/>
      <c r="J125" s="22"/>
      <c r="K125" s="20"/>
      <c r="L125" s="42"/>
      <c r="M125" s="31"/>
      <c r="N125" s="60">
        <v>2011</v>
      </c>
      <c r="O125" s="56"/>
      <c r="P125" s="34">
        <f t="shared" si="4"/>
        <v>454124.6505662967</v>
      </c>
      <c r="Q125" s="34"/>
      <c r="R125" s="2"/>
      <c r="S125" s="34">
        <f t="shared" si="3"/>
        <v>333795.17505698587</v>
      </c>
    </row>
    <row r="126" spans="2:19" ht="14.25" customHeight="1">
      <c r="B126" s="5"/>
      <c r="C126" s="5"/>
      <c r="D126" s="5"/>
      <c r="E126" s="5"/>
      <c r="F126" s="5"/>
      <c r="G126" s="5"/>
      <c r="J126" s="22"/>
      <c r="K126" s="20"/>
      <c r="L126" s="42"/>
      <c r="M126" s="31"/>
      <c r="N126" s="60">
        <v>2012</v>
      </c>
      <c r="O126" s="56"/>
      <c r="P126" s="34">
        <f t="shared" si="4"/>
        <v>465477.7668304541</v>
      </c>
      <c r="Q126" s="34"/>
      <c r="R126" s="2"/>
      <c r="S126" s="34">
        <f t="shared" si="3"/>
        <v>316796.3466976023</v>
      </c>
    </row>
    <row r="127" spans="2:19" ht="14.25" customHeight="1">
      <c r="B127" s="5"/>
      <c r="C127" s="5"/>
      <c r="D127" s="5"/>
      <c r="E127" s="5"/>
      <c r="F127" s="5"/>
      <c r="G127" s="5"/>
      <c r="J127" s="22"/>
      <c r="K127" s="20"/>
      <c r="L127" s="42"/>
      <c r="M127" s="31"/>
      <c r="N127" s="60">
        <v>2013</v>
      </c>
      <c r="O127" s="56"/>
      <c r="P127" s="34">
        <f t="shared" si="4"/>
        <v>477114.71100121544</v>
      </c>
      <c r="Q127" s="34"/>
      <c r="R127" s="2"/>
      <c r="S127" s="34">
        <f t="shared" si="3"/>
        <v>300663.19941207615</v>
      </c>
    </row>
    <row r="128" spans="2:19" ht="14.25" customHeight="1">
      <c r="B128" s="5"/>
      <c r="C128" s="5"/>
      <c r="D128" s="5"/>
      <c r="E128" s="5"/>
      <c r="F128" s="5"/>
      <c r="G128" s="5"/>
      <c r="J128" s="22"/>
      <c r="K128" s="20"/>
      <c r="L128" s="42"/>
      <c r="M128" s="31"/>
      <c r="N128" s="60">
        <v>2014</v>
      </c>
      <c r="O128" s="56"/>
      <c r="P128" s="34">
        <f t="shared" si="4"/>
        <v>489042.57877624576</v>
      </c>
      <c r="Q128" s="34"/>
      <c r="R128" s="2"/>
      <c r="S128" s="34">
        <f t="shared" si="3"/>
        <v>285351.64759016485</v>
      </c>
    </row>
    <row r="129" spans="2:19" ht="14.25" customHeight="1">
      <c r="B129" s="5"/>
      <c r="C129" s="5"/>
      <c r="D129" s="5"/>
      <c r="E129" s="5"/>
      <c r="F129" s="5"/>
      <c r="G129" s="5"/>
      <c r="J129" s="22"/>
      <c r="K129" s="20"/>
      <c r="L129" s="42"/>
      <c r="M129" s="31"/>
      <c r="N129" s="60">
        <v>2015</v>
      </c>
      <c r="O129" s="56"/>
      <c r="P129" s="34">
        <f t="shared" si="4"/>
        <v>501268.64324565185</v>
      </c>
      <c r="Q129" s="34"/>
      <c r="R129" s="2"/>
      <c r="S129" s="34">
        <f t="shared" si="3"/>
        <v>270819.85072214715</v>
      </c>
    </row>
    <row r="130" spans="2:19" ht="14.25" customHeight="1">
      <c r="B130" s="5"/>
      <c r="C130" s="5"/>
      <c r="D130" s="5"/>
      <c r="E130" s="5"/>
      <c r="F130" s="5"/>
      <c r="G130" s="5"/>
      <c r="J130" s="22"/>
      <c r="K130" s="20"/>
      <c r="L130" s="42"/>
      <c r="M130" s="31"/>
      <c r="N130" s="60">
        <v>2016</v>
      </c>
      <c r="O130" s="56"/>
      <c r="P130" s="34">
        <f>P129*(1+2.5/100)^1</f>
        <v>513800.3593267931</v>
      </c>
      <c r="Q130" s="34"/>
      <c r="R130" s="2"/>
      <c r="S130" s="34">
        <f t="shared" si="3"/>
        <v>257028.09906500077</v>
      </c>
    </row>
    <row r="131" spans="2:19" ht="14.25" customHeight="1">
      <c r="B131" s="5"/>
      <c r="C131" s="5"/>
      <c r="D131" s="5"/>
      <c r="E131" s="5"/>
      <c r="F131" s="5"/>
      <c r="G131" s="5"/>
      <c r="J131" s="22"/>
      <c r="K131" s="20"/>
      <c r="L131" s="42"/>
      <c r="M131" s="31"/>
      <c r="N131" s="60">
        <v>2017</v>
      </c>
      <c r="O131" s="56"/>
      <c r="P131" s="34">
        <f t="shared" si="4"/>
        <v>526645.3683099629</v>
      </c>
      <c r="Q131" s="34"/>
      <c r="R131" s="131"/>
      <c r="S131" s="34">
        <f t="shared" si="3"/>
        <v>243938.70513113495</v>
      </c>
    </row>
    <row r="132" spans="2:19" ht="14.25" customHeight="1">
      <c r="B132" s="5"/>
      <c r="C132" s="5"/>
      <c r="D132" s="5"/>
      <c r="E132" s="5"/>
      <c r="F132" s="5"/>
      <c r="G132" s="5"/>
      <c r="J132" s="22"/>
      <c r="K132" s="20"/>
      <c r="L132" s="42"/>
      <c r="M132" s="31"/>
      <c r="N132" s="60">
        <v>2018</v>
      </c>
      <c r="O132" s="56"/>
      <c r="P132" s="34">
        <f>P131*(1+2.5/100)^1+P111</f>
        <v>3990514.126902284</v>
      </c>
      <c r="Q132" s="34"/>
      <c r="R132" s="116">
        <f>P131*(1+2.5/100)^1</f>
        <v>539811.502517712</v>
      </c>
      <c r="S132" s="34">
        <f t="shared" si="3"/>
        <v>1711463.1089732198</v>
      </c>
    </row>
    <row r="133" spans="2:19" ht="14.25" customHeight="1">
      <c r="B133" s="5"/>
      <c r="C133" s="5"/>
      <c r="D133" s="5"/>
      <c r="E133" s="5"/>
      <c r="F133" s="5"/>
      <c r="G133" s="5"/>
      <c r="J133" s="22"/>
      <c r="K133" s="20"/>
      <c r="L133" s="42"/>
      <c r="M133" s="31"/>
      <c r="N133" s="60">
        <v>2019</v>
      </c>
      <c r="O133" s="56"/>
      <c r="P133" s="34">
        <f>R132*(1+2.5/100)^1</f>
        <v>553306.7900806547</v>
      </c>
      <c r="Q133" s="34"/>
      <c r="R133" s="2"/>
      <c r="S133" s="34">
        <f t="shared" si="3"/>
        <v>219725.73909327725</v>
      </c>
    </row>
    <row r="134" spans="2:19" ht="14.25" customHeight="1">
      <c r="B134" s="5"/>
      <c r="C134" s="5"/>
      <c r="D134" s="5"/>
      <c r="E134" s="5"/>
      <c r="F134" s="5"/>
      <c r="G134" s="5"/>
      <c r="J134" s="22"/>
      <c r="K134" s="20"/>
      <c r="L134" s="42"/>
      <c r="M134" s="31"/>
      <c r="N134" s="60">
        <v>2020</v>
      </c>
      <c r="O134" s="56"/>
      <c r="P134" s="34">
        <f t="shared" si="4"/>
        <v>567139.459832671</v>
      </c>
      <c r="Q134" s="34"/>
      <c r="R134" s="2"/>
      <c r="S134" s="34">
        <f t="shared" si="3"/>
        <v>208536.00238019368</v>
      </c>
    </row>
    <row r="135" spans="2:19" ht="14.25" customHeight="1">
      <c r="B135" s="5"/>
      <c r="C135" s="5"/>
      <c r="D135" s="5"/>
      <c r="E135" s="5"/>
      <c r="F135" s="5"/>
      <c r="G135" s="5"/>
      <c r="J135" s="22"/>
      <c r="K135" s="20"/>
      <c r="L135" s="42"/>
      <c r="M135" s="31"/>
      <c r="N135" s="60">
        <v>2021</v>
      </c>
      <c r="O135" s="56"/>
      <c r="P135" s="34">
        <f t="shared" si="4"/>
        <v>581317.9463284877</v>
      </c>
      <c r="Q135" s="34"/>
      <c r="R135" s="2"/>
      <c r="S135" s="34">
        <f t="shared" si="3"/>
        <v>197916.11337009116</v>
      </c>
    </row>
    <row r="136" spans="2:19" ht="14.25" customHeight="1">
      <c r="B136" s="5"/>
      <c r="C136" s="5"/>
      <c r="D136" s="5"/>
      <c r="E136" s="5"/>
      <c r="F136" s="5"/>
      <c r="G136" s="5"/>
      <c r="J136" s="22"/>
      <c r="K136" s="20"/>
      <c r="L136" s="42"/>
      <c r="M136" s="31"/>
      <c r="N136" s="60">
        <v>2022</v>
      </c>
      <c r="O136" s="56"/>
      <c r="P136" s="34">
        <f t="shared" si="4"/>
        <v>595850.8949866998</v>
      </c>
      <c r="Q136" s="34"/>
      <c r="R136" s="2"/>
      <c r="S136" s="34">
        <f t="shared" si="3"/>
        <v>187837.0520410587</v>
      </c>
    </row>
    <row r="137" spans="2:19" ht="14.25" customHeight="1">
      <c r="B137" s="5"/>
      <c r="C137" s="5"/>
      <c r="D137" s="5"/>
      <c r="E137" s="5"/>
      <c r="F137" s="5"/>
      <c r="G137" s="5"/>
      <c r="J137" s="22"/>
      <c r="K137" s="20"/>
      <c r="L137" s="42"/>
      <c r="M137" s="31"/>
      <c r="N137" s="60">
        <v>2023</v>
      </c>
      <c r="O137" s="56"/>
      <c r="P137" s="34">
        <f t="shared" si="4"/>
        <v>610747.1673613673</v>
      </c>
      <c r="Q137" s="34"/>
      <c r="R137" s="2"/>
      <c r="S137" s="34">
        <f t="shared" si="3"/>
        <v>178271.27624267145</v>
      </c>
    </row>
    <row r="138" spans="2:19" ht="14.25" customHeight="1">
      <c r="B138" s="5"/>
      <c r="C138" s="5"/>
      <c r="D138" s="5"/>
      <c r="E138" s="5"/>
      <c r="F138" s="5"/>
      <c r="G138" s="5"/>
      <c r="J138" s="22"/>
      <c r="K138" s="20"/>
      <c r="L138" s="42"/>
      <c r="M138" s="31"/>
      <c r="N138" s="60">
        <v>2024</v>
      </c>
      <c r="O138" s="56"/>
      <c r="P138" s="34">
        <f t="shared" si="4"/>
        <v>626015.8465454014</v>
      </c>
      <c r="Q138" s="34"/>
      <c r="R138" s="2"/>
      <c r="S138" s="34">
        <f t="shared" si="3"/>
        <v>169192.64643401687</v>
      </c>
    </row>
    <row r="139" spans="2:19" ht="14.25" customHeight="1">
      <c r="B139" s="5"/>
      <c r="C139" s="5"/>
      <c r="D139" s="5"/>
      <c r="E139" s="5"/>
      <c r="F139" s="5"/>
      <c r="G139" s="5"/>
      <c r="J139" s="22"/>
      <c r="K139" s="20"/>
      <c r="L139" s="42"/>
      <c r="M139" s="31"/>
      <c r="N139" s="60">
        <v>2025</v>
      </c>
      <c r="O139" s="56"/>
      <c r="P139" s="34">
        <f t="shared" si="4"/>
        <v>641666.2427090363</v>
      </c>
      <c r="Q139" s="34"/>
      <c r="R139" s="2"/>
      <c r="S139" s="34">
        <f t="shared" si="3"/>
        <v>160576.3542545067</v>
      </c>
    </row>
    <row r="140" spans="2:19" ht="14.25" customHeight="1">
      <c r="B140" s="5"/>
      <c r="C140" s="5"/>
      <c r="D140" s="5"/>
      <c r="E140" s="5"/>
      <c r="F140" s="5"/>
      <c r="G140" s="5"/>
      <c r="J140" s="22"/>
      <c r="K140" s="20"/>
      <c r="L140" s="42"/>
      <c r="M140" s="31"/>
      <c r="N140" s="60">
        <v>2026</v>
      </c>
      <c r="O140" s="56"/>
      <c r="P140" s="34">
        <f t="shared" si="4"/>
        <v>657707.8987767622</v>
      </c>
      <c r="Q140" s="34"/>
      <c r="R140" s="2"/>
      <c r="S140" s="34">
        <f t="shared" si="3"/>
        <v>152398.85473228645</v>
      </c>
    </row>
    <row r="141" spans="2:19" ht="14.25" customHeight="1">
      <c r="B141" s="5"/>
      <c r="C141" s="5"/>
      <c r="D141" s="5"/>
      <c r="E141" s="5"/>
      <c r="F141" s="5"/>
      <c r="G141" s="5"/>
      <c r="J141" s="22"/>
      <c r="K141" s="20"/>
      <c r="L141" s="42"/>
      <c r="M141" s="31"/>
      <c r="N141" s="60">
        <v>2027</v>
      </c>
      <c r="O141" s="56"/>
      <c r="P141" s="34">
        <f t="shared" si="4"/>
        <v>674150.5962461812</v>
      </c>
      <c r="Q141" s="34"/>
      <c r="R141" s="2"/>
      <c r="S141" s="108">
        <f t="shared" si="3"/>
        <v>144637.80194499405</v>
      </c>
    </row>
    <row r="142" spans="2:18" ht="14.25" customHeight="1">
      <c r="B142" s="5"/>
      <c r="C142" s="5"/>
      <c r="D142" s="5"/>
      <c r="E142" s="5"/>
      <c r="F142" s="5"/>
      <c r="G142" s="5"/>
      <c r="J142" s="22"/>
      <c r="K142" s="20"/>
      <c r="L142" s="42"/>
      <c r="M142" s="31"/>
      <c r="N142" s="56"/>
      <c r="O142" s="56"/>
      <c r="P142" s="54"/>
      <c r="Q142" s="54"/>
      <c r="R142" s="2"/>
    </row>
    <row r="143" spans="2:19" ht="14.25" customHeight="1" thickBot="1">
      <c r="B143" s="5"/>
      <c r="C143" s="5"/>
      <c r="D143" s="5"/>
      <c r="E143" s="5"/>
      <c r="F143" s="5"/>
      <c r="G143" s="5"/>
      <c r="J143" s="22"/>
      <c r="K143" s="20"/>
      <c r="L143" s="42"/>
      <c r="M143" s="31"/>
      <c r="O143" s="55"/>
      <c r="P143" s="55" t="s">
        <v>64</v>
      </c>
      <c r="Q143" s="34"/>
      <c r="R143" s="48">
        <f>P122*(1+0.08)^-(N122-2007)+P123*(1+0.08)^-(N123-2007)+P124*(1+0.08)^-(N124-2007)+P125*(1+0.08)^-(N125-2007)+P126*(1+0.08)^-(N126-2007)+P127*(1+0.08)^-(N127-2007)+P128*(1+0.08)^-(N128-2007)+P129*(1+0.08)^-(N129-2007)+P130*(1+0.08)^-(N130-2007)+P131*(1+0.08)^-(N131-2007)+P132*(1+0.08)^-(N132-2007)+P133*(1+0.08)^-(N133-2007)+P134*(1+0.08)^-(N134-2007)+P135*(1+0.08)^-(N135-2007)+P136*(1+0.08)^-(N136-2007)+P137*(1+0.08)^-(N137-2007)+P138*(1+0.08)^-(N138-2007)+P139*(1+0.08)^-(N139-2007)+P140*(1+0.08)^-(N140-2007)+P141*(1+0.08)^-(N141-2007)</f>
        <v>6451695.135658793</v>
      </c>
      <c r="S143" s="109">
        <f>SUM(S122:S141)</f>
        <v>6451695.135658793</v>
      </c>
    </row>
    <row r="144" spans="2:18" ht="14.25" customHeight="1">
      <c r="B144" s="5"/>
      <c r="C144" s="5"/>
      <c r="D144" s="5"/>
      <c r="E144" s="5"/>
      <c r="F144" s="5"/>
      <c r="G144" s="5"/>
      <c r="J144" s="22"/>
      <c r="K144" s="20"/>
      <c r="L144" s="42"/>
      <c r="M144" s="31"/>
      <c r="N144" s="55"/>
      <c r="O144" s="55"/>
      <c r="P144" s="34"/>
      <c r="Q144" s="34"/>
      <c r="R144" s="2"/>
    </row>
    <row r="145" spans="2:18" ht="14.25" customHeight="1">
      <c r="B145" s="5"/>
      <c r="C145" s="5"/>
      <c r="D145" s="5"/>
      <c r="E145" s="5"/>
      <c r="F145" s="5"/>
      <c r="G145" s="5"/>
      <c r="I145" s="12"/>
      <c r="J145" s="22"/>
      <c r="K145" s="19"/>
      <c r="L145" s="46"/>
      <c r="M145" s="30"/>
      <c r="O145" s="55"/>
      <c r="P145" s="55" t="s">
        <v>407</v>
      </c>
      <c r="Q145" s="55"/>
      <c r="R145" s="61">
        <f>R94+R143</f>
        <v>36677105.85439735</v>
      </c>
    </row>
    <row r="146" spans="2:18" ht="14.25">
      <c r="B146" s="5"/>
      <c r="C146" s="5"/>
      <c r="D146" s="5"/>
      <c r="E146" s="5"/>
      <c r="F146" s="5"/>
      <c r="G146" s="5"/>
      <c r="I146" s="12"/>
      <c r="J146" s="22"/>
      <c r="K146" s="19"/>
      <c r="L146" s="43"/>
      <c r="M146" s="9"/>
      <c r="N146" s="9"/>
      <c r="O146" s="9"/>
      <c r="P146" s="2"/>
      <c r="Q146" s="2"/>
      <c r="R146" s="2"/>
    </row>
    <row r="147" spans="2:18" ht="15">
      <c r="B147" s="5"/>
      <c r="C147" s="5"/>
      <c r="D147" s="5"/>
      <c r="E147" s="5"/>
      <c r="F147" s="5"/>
      <c r="G147" s="5"/>
      <c r="I147" s="12"/>
      <c r="J147" s="22"/>
      <c r="K147" s="19"/>
      <c r="L147" s="46"/>
      <c r="M147" s="30"/>
      <c r="N147" s="34"/>
      <c r="O147" s="34"/>
      <c r="P147" s="2"/>
      <c r="Q147" s="2"/>
      <c r="R147" s="2"/>
    </row>
    <row r="148" spans="1:15" ht="14.25">
      <c r="A148" s="5"/>
      <c r="B148" s="5"/>
      <c r="C148" s="5"/>
      <c r="D148" s="5"/>
      <c r="E148" s="5"/>
      <c r="F148" s="5"/>
      <c r="G148" s="5"/>
      <c r="H148" s="12"/>
      <c r="I148" s="12"/>
      <c r="J148" s="22"/>
      <c r="K148" s="24"/>
      <c r="L148" s="42"/>
      <c r="M148" s="9"/>
      <c r="N148" s="11"/>
      <c r="O148" s="11"/>
    </row>
    <row r="149" spans="1:15" ht="14.25">
      <c r="A149" s="5"/>
      <c r="B149" s="5"/>
      <c r="C149" s="5"/>
      <c r="D149" s="5"/>
      <c r="E149" s="5"/>
      <c r="F149" s="5"/>
      <c r="G149" s="5"/>
      <c r="H149" s="12"/>
      <c r="I149" s="12"/>
      <c r="J149" s="27"/>
      <c r="K149" s="24"/>
      <c r="L149" s="42"/>
      <c r="M149" s="9"/>
      <c r="N149" s="11"/>
      <c r="O149" s="11"/>
    </row>
    <row r="150" spans="1:15" ht="14.25">
      <c r="A150" s="5"/>
      <c r="B150" s="5"/>
      <c r="C150" s="5"/>
      <c r="D150" s="5"/>
      <c r="E150" s="5"/>
      <c r="F150" s="5"/>
      <c r="G150" s="5"/>
      <c r="H150" s="12"/>
      <c r="I150" s="12"/>
      <c r="J150" s="27"/>
      <c r="K150" s="24"/>
      <c r="L150" s="42"/>
      <c r="M150" s="5"/>
      <c r="N150" s="11"/>
      <c r="O150" s="11"/>
    </row>
    <row r="151" spans="1:15" ht="14.25">
      <c r="A151" s="5"/>
      <c r="B151" s="5"/>
      <c r="C151" s="5"/>
      <c r="D151" s="5"/>
      <c r="E151" s="5"/>
      <c r="F151" s="5"/>
      <c r="G151" s="5"/>
      <c r="H151" s="12"/>
      <c r="I151" s="12"/>
      <c r="J151" s="27"/>
      <c r="K151" s="24"/>
      <c r="L151" s="42"/>
      <c r="M151" s="5"/>
      <c r="N151" s="5"/>
      <c r="O151" s="5"/>
    </row>
    <row r="152" spans="1:15" ht="14.25">
      <c r="A152" s="5"/>
      <c r="B152" s="5"/>
      <c r="C152" s="5"/>
      <c r="D152" s="5"/>
      <c r="E152" s="5"/>
      <c r="F152" s="5"/>
      <c r="G152" s="5"/>
      <c r="H152" s="12"/>
      <c r="I152" s="12"/>
      <c r="J152" s="27"/>
      <c r="K152" s="24"/>
      <c r="L152" s="42"/>
      <c r="M152" s="9"/>
      <c r="N152" s="11"/>
      <c r="O152" s="11"/>
    </row>
    <row r="153" spans="1:15" ht="14.25">
      <c r="A153" s="5"/>
      <c r="B153" s="5"/>
      <c r="C153" s="5"/>
      <c r="D153" s="5"/>
      <c r="E153" s="5"/>
      <c r="F153" s="5"/>
      <c r="G153" s="5"/>
      <c r="H153" s="12"/>
      <c r="I153" s="12"/>
      <c r="J153" s="22"/>
      <c r="K153" s="19"/>
      <c r="L153" s="42"/>
      <c r="M153" s="9"/>
      <c r="N153" s="11"/>
      <c r="O153" s="11"/>
    </row>
    <row r="154" spans="8:15" ht="14.25">
      <c r="H154" s="12"/>
      <c r="I154" s="12"/>
      <c r="J154" s="22"/>
      <c r="K154" s="19"/>
      <c r="L154" s="42"/>
      <c r="M154" s="9"/>
      <c r="N154" s="11"/>
      <c r="O154" s="11"/>
    </row>
    <row r="155" spans="8:15" ht="14.25">
      <c r="H155" s="12"/>
      <c r="J155" s="22"/>
      <c r="K155" s="19"/>
      <c r="L155" s="42"/>
      <c r="M155" s="5"/>
      <c r="N155" s="5"/>
      <c r="O155" s="5"/>
    </row>
    <row r="156" spans="8:15" ht="14.25">
      <c r="H156" s="12"/>
      <c r="J156" s="27"/>
      <c r="K156" s="24"/>
      <c r="L156" s="42"/>
      <c r="M156" s="5"/>
      <c r="N156" s="5"/>
      <c r="O156" s="5"/>
    </row>
    <row r="157" spans="8:15" ht="14.25">
      <c r="H157" s="12"/>
      <c r="J157" s="27"/>
      <c r="K157" s="24"/>
      <c r="L157" s="43"/>
      <c r="M157" s="9"/>
      <c r="N157" s="11"/>
      <c r="O157" s="11"/>
    </row>
  </sheetData>
  <sheetProtection/>
  <mergeCells count="29">
    <mergeCell ref="A113:R113"/>
    <mergeCell ref="A114:R114"/>
    <mergeCell ref="A116:R116"/>
    <mergeCell ref="A117:R117"/>
    <mergeCell ref="A119:R119"/>
    <mergeCell ref="A6:R6"/>
    <mergeCell ref="A8:R8"/>
    <mergeCell ref="A51:R51"/>
    <mergeCell ref="A52:R52"/>
    <mergeCell ref="L10:L12"/>
    <mergeCell ref="A55:R55"/>
    <mergeCell ref="A112:R112"/>
    <mergeCell ref="B12:G12"/>
    <mergeCell ref="A1:R1"/>
    <mergeCell ref="A2:R2"/>
    <mergeCell ref="A3:R3"/>
    <mergeCell ref="A5:R5"/>
    <mergeCell ref="A58:R58"/>
    <mergeCell ref="A56:R56"/>
    <mergeCell ref="Z22:AA22"/>
    <mergeCell ref="B62:G62"/>
    <mergeCell ref="N10:N12"/>
    <mergeCell ref="H11:H12"/>
    <mergeCell ref="J10:J12"/>
    <mergeCell ref="J60:J62"/>
    <mergeCell ref="L60:L62"/>
    <mergeCell ref="N60:N62"/>
    <mergeCell ref="H61:H62"/>
    <mergeCell ref="A53:R53"/>
  </mergeCells>
  <printOptions horizontalCentered="1"/>
  <pageMargins left="0.5" right="0.5" top="0.5" bottom="0.75" header="0.5" footer="0.5"/>
  <pageSetup horizontalDpi="600" verticalDpi="600" orientation="portrait" scale="59" r:id="rId2"/>
  <headerFooter alignWithMargins="0">
    <oddFooter>&amp;R&amp;8&amp;D
&amp;P of &amp;N</oddFooter>
  </headerFooter>
  <rowBreaks count="2" manualBreakCount="2">
    <brk id="50" max="17" man="1"/>
    <brk id="111" max="1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46">
      <selection activeCell="F26" sqref="F26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91" t="s">
        <v>390</v>
      </c>
      <c r="B8" s="191"/>
      <c r="C8" s="191"/>
      <c r="D8" s="191"/>
      <c r="E8" s="191"/>
      <c r="F8" s="191"/>
      <c r="G8" s="191"/>
      <c r="H8" s="191"/>
      <c r="I8" s="191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4476.77808219178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895.355616438356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0.377285111062468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5"/>
  <sheetViews>
    <sheetView zoomScale="75" zoomScaleNormal="75" zoomScalePageLayoutView="0" workbookViewId="0" topLeftCell="A76">
      <selection activeCell="F26" sqref="F26"/>
    </sheetView>
  </sheetViews>
  <sheetFormatPr defaultColWidth="9.140625" defaultRowHeight="12.75"/>
  <cols>
    <col min="1" max="1" width="60.7109375" style="0" customWidth="1"/>
    <col min="2" max="2" width="15.7109375" style="0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91" t="s">
        <v>389</v>
      </c>
      <c r="B8" s="191"/>
      <c r="C8" s="191"/>
      <c r="D8" s="191"/>
      <c r="E8" s="191"/>
      <c r="F8" s="191"/>
      <c r="G8" s="191"/>
      <c r="H8" s="191"/>
      <c r="I8" s="191"/>
      <c r="J8" s="134"/>
      <c r="K8" s="134"/>
      <c r="L8" s="134"/>
      <c r="M8" s="134"/>
      <c r="N8" s="134"/>
      <c r="O8" s="134"/>
      <c r="P8" s="134"/>
      <c r="Q8" s="134"/>
      <c r="R8" s="134"/>
    </row>
    <row r="9" spans="1:9" s="2" customFormat="1" ht="18.75">
      <c r="A9" s="192" t="s">
        <v>421</v>
      </c>
      <c r="B9" s="192"/>
      <c r="C9" s="192"/>
      <c r="D9" s="192"/>
      <c r="E9" s="192"/>
      <c r="F9" s="192"/>
      <c r="G9" s="192"/>
      <c r="H9" s="192"/>
      <c r="I9" s="192"/>
    </row>
    <row r="10" spans="1:3" s="2" customFormat="1" ht="12.75">
      <c r="A10" s="73"/>
      <c r="B10" s="73"/>
      <c r="C10" s="68"/>
    </row>
    <row r="11" spans="1:9" s="2" customFormat="1" ht="15">
      <c r="A11" s="153" t="s">
        <v>21</v>
      </c>
      <c r="B11" s="168"/>
      <c r="C11" s="5"/>
      <c r="D11" s="5"/>
      <c r="E11" s="5"/>
      <c r="F11" s="5"/>
      <c r="G11" s="5"/>
      <c r="H11" s="5"/>
      <c r="I11" s="5"/>
    </row>
    <row r="12" spans="1:9" s="2" customFormat="1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s="2" customFormat="1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s="2" customFormat="1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10" s="2" customFormat="1" ht="14.25">
      <c r="A15" s="5"/>
      <c r="B15" s="19"/>
      <c r="C15" s="5"/>
      <c r="D15" s="5"/>
      <c r="E15" s="5"/>
      <c r="F15" s="169"/>
      <c r="G15" s="169"/>
      <c r="H15" s="169"/>
      <c r="I15" s="169"/>
      <c r="J15" s="75"/>
    </row>
    <row r="16" spans="1:10" s="2" customFormat="1" ht="15">
      <c r="A16" s="170" t="s">
        <v>51</v>
      </c>
      <c r="B16" s="125"/>
      <c r="C16" s="83"/>
      <c r="D16" s="83"/>
      <c r="E16" s="83"/>
      <c r="F16" s="83"/>
      <c r="G16" s="83"/>
      <c r="H16" s="83"/>
      <c r="I16" s="83"/>
      <c r="J16" s="74"/>
    </row>
    <row r="17" spans="1:9" s="2" customFormat="1" ht="14.25">
      <c r="A17" s="5" t="s">
        <v>345</v>
      </c>
      <c r="B17" s="157">
        <f>T_S_Loadout_Cost_Worksheet!B23</f>
        <v>6.5520000000000005</v>
      </c>
      <c r="C17" s="63" t="s">
        <v>50</v>
      </c>
      <c r="D17" s="5"/>
      <c r="E17" s="5"/>
      <c r="F17" s="5"/>
      <c r="G17" s="5"/>
      <c r="H17" s="5"/>
      <c r="I17" s="5"/>
    </row>
    <row r="18" spans="1:9" s="2" customFormat="1" ht="14.25">
      <c r="A18" s="5" t="s">
        <v>346</v>
      </c>
      <c r="B18" s="160">
        <f>T_S_Loadout_Cost_Worksheet!B24</f>
        <v>5.76576</v>
      </c>
      <c r="C18" s="63" t="s">
        <v>50</v>
      </c>
      <c r="D18" s="5"/>
      <c r="E18" s="5"/>
      <c r="F18" s="5"/>
      <c r="G18" s="5"/>
      <c r="H18" s="5"/>
      <c r="I18" s="5"/>
    </row>
    <row r="19" spans="1:9" s="2" customFormat="1" ht="14.25">
      <c r="A19" s="5" t="s">
        <v>347</v>
      </c>
      <c r="B19" s="160">
        <f>T_S_Loadout_Cost_Worksheet!B25</f>
        <v>3.9967200000000003</v>
      </c>
      <c r="C19" s="63" t="s">
        <v>50</v>
      </c>
      <c r="D19" s="5"/>
      <c r="E19" s="5"/>
      <c r="F19" s="5"/>
      <c r="G19" s="5"/>
      <c r="H19" s="5"/>
      <c r="I19" s="5"/>
    </row>
    <row r="20" spans="1:9" s="2" customFormat="1" ht="14.25">
      <c r="A20" s="5" t="s">
        <v>348</v>
      </c>
      <c r="B20" s="160">
        <f>T_S_Loadout_Cost_Worksheet!B26</f>
        <v>5.76576</v>
      </c>
      <c r="C20" s="63" t="s">
        <v>50</v>
      </c>
      <c r="D20" s="5"/>
      <c r="E20" s="5"/>
      <c r="F20" s="5"/>
      <c r="G20" s="5"/>
      <c r="H20" s="5"/>
      <c r="I20" s="5"/>
    </row>
    <row r="21" spans="1:9" s="2" customFormat="1" ht="14.25">
      <c r="A21" s="24" t="s">
        <v>22</v>
      </c>
      <c r="B21" s="172">
        <f>T_S_Loadout_Cost_Worksheet!B30</f>
        <v>50</v>
      </c>
      <c r="C21" s="63" t="s">
        <v>50</v>
      </c>
      <c r="D21" s="5"/>
      <c r="E21" s="5"/>
      <c r="F21" s="5"/>
      <c r="G21" s="5"/>
      <c r="H21" s="5"/>
      <c r="I21" s="5"/>
    </row>
    <row r="22" spans="1:9" s="2" customFormat="1" ht="14.25">
      <c r="A22" s="5" t="s">
        <v>349</v>
      </c>
      <c r="B22" s="164">
        <f>T_S_Loadout_Cost_Worksheet!B40</f>
        <v>285.29718497280004</v>
      </c>
      <c r="C22" s="159" t="s">
        <v>24</v>
      </c>
      <c r="D22" s="5"/>
      <c r="E22" s="5"/>
      <c r="F22" s="5"/>
      <c r="G22" s="5"/>
      <c r="H22" s="5"/>
      <c r="I22" s="5"/>
    </row>
    <row r="23" spans="1:9" s="2" customFormat="1" ht="14.25">
      <c r="A23" s="5" t="s">
        <v>350</v>
      </c>
      <c r="B23" s="164">
        <f>T_S_Loadout_Cost_Worksheet!B41</f>
        <v>197.7628214016</v>
      </c>
      <c r="C23" s="159" t="s">
        <v>24</v>
      </c>
      <c r="D23" s="5"/>
      <c r="E23" s="5"/>
      <c r="F23" s="5"/>
      <c r="G23" s="5"/>
      <c r="H23" s="5"/>
      <c r="I23" s="5"/>
    </row>
    <row r="24" spans="1:9" s="2" customFormat="1" ht="14.25">
      <c r="A24" s="5" t="s">
        <v>351</v>
      </c>
      <c r="B24" s="164">
        <f>T_S_Loadout_Cost_Worksheet!B42</f>
        <v>285.29718497280004</v>
      </c>
      <c r="C24" s="159" t="s">
        <v>24</v>
      </c>
      <c r="D24" s="5"/>
      <c r="E24" s="5"/>
      <c r="F24" s="5"/>
      <c r="G24" s="5"/>
      <c r="H24" s="5"/>
      <c r="I24" s="5"/>
    </row>
    <row r="25" spans="1:9" s="2" customFormat="1" ht="14.25">
      <c r="A25" s="5"/>
      <c r="B25" s="160"/>
      <c r="C25" s="63"/>
      <c r="D25" s="5"/>
      <c r="E25" s="5"/>
      <c r="F25" s="5"/>
      <c r="G25" s="5"/>
      <c r="H25" s="5"/>
      <c r="I25" s="5"/>
    </row>
    <row r="26" spans="1:9" s="2" customFormat="1" ht="15">
      <c r="A26" s="153" t="s">
        <v>27</v>
      </c>
      <c r="B26" s="160"/>
      <c r="C26" s="5"/>
      <c r="D26" s="5"/>
      <c r="E26" s="5"/>
      <c r="F26" s="171"/>
      <c r="G26" s="171"/>
      <c r="H26" s="171"/>
      <c r="I26" s="171"/>
    </row>
    <row r="27" spans="1:9" s="2" customFormat="1" ht="15">
      <c r="A27" s="153" t="s">
        <v>310</v>
      </c>
      <c r="B27" s="160"/>
      <c r="C27" s="5"/>
      <c r="D27" s="5"/>
      <c r="E27" s="5"/>
      <c r="F27" s="171"/>
      <c r="G27" s="171"/>
      <c r="H27" s="171"/>
      <c r="I27" s="171"/>
    </row>
    <row r="28" spans="1:9" s="2" customFormat="1" ht="14.25">
      <c r="A28" s="24" t="s">
        <v>332</v>
      </c>
      <c r="B28" s="172">
        <v>22</v>
      </c>
      <c r="C28" s="5"/>
      <c r="D28" s="5"/>
      <c r="E28" s="5"/>
      <c r="F28" s="171"/>
      <c r="G28" s="171"/>
      <c r="H28" s="171"/>
      <c r="I28" s="171"/>
    </row>
    <row r="29" spans="1:9" s="2" customFormat="1" ht="14.25">
      <c r="A29" s="136" t="s">
        <v>31</v>
      </c>
      <c r="B29" s="172"/>
      <c r="C29" s="5"/>
      <c r="D29" s="5"/>
      <c r="E29" s="5"/>
      <c r="F29" s="171"/>
      <c r="G29" s="171"/>
      <c r="H29" s="171"/>
      <c r="I29" s="171"/>
    </row>
    <row r="30" spans="1:9" s="2" customFormat="1" ht="14.25">
      <c r="A30" s="24" t="s">
        <v>352</v>
      </c>
      <c r="B30" s="160">
        <f>B28*0.88</f>
        <v>19.36</v>
      </c>
      <c r="C30" s="159" t="s">
        <v>333</v>
      </c>
      <c r="D30" s="5"/>
      <c r="E30" s="5"/>
      <c r="F30" s="171"/>
      <c r="G30" s="171"/>
      <c r="H30" s="171"/>
      <c r="I30" s="171"/>
    </row>
    <row r="31" spans="1:9" s="2" customFormat="1" ht="14.25">
      <c r="A31" s="24" t="s">
        <v>328</v>
      </c>
      <c r="B31" s="160">
        <f>B28*0.61</f>
        <v>13.42</v>
      </c>
      <c r="C31" s="159" t="s">
        <v>334</v>
      </c>
      <c r="D31" s="5"/>
      <c r="E31" s="5"/>
      <c r="F31" s="171"/>
      <c r="G31" s="171"/>
      <c r="H31" s="171"/>
      <c r="I31" s="171"/>
    </row>
    <row r="32" spans="1:9" s="2" customFormat="1" ht="14.25">
      <c r="A32" s="24" t="s">
        <v>353</v>
      </c>
      <c r="B32" s="160">
        <f>B28*0.88</f>
        <v>19.36</v>
      </c>
      <c r="C32" s="159" t="s">
        <v>354</v>
      </c>
      <c r="D32" s="5"/>
      <c r="E32" s="5"/>
      <c r="F32" s="171"/>
      <c r="G32" s="171"/>
      <c r="H32" s="171"/>
      <c r="I32" s="171"/>
    </row>
    <row r="33" spans="1:9" s="2" customFormat="1" ht="14.25">
      <c r="A33" s="24"/>
      <c r="B33" s="160"/>
      <c r="C33" s="159"/>
      <c r="D33" s="5"/>
      <c r="E33" s="5"/>
      <c r="F33" s="171"/>
      <c r="G33" s="171"/>
      <c r="H33" s="171"/>
      <c r="I33" s="171"/>
    </row>
    <row r="34" spans="1:9" s="2" customFormat="1" ht="15">
      <c r="A34" s="153" t="s">
        <v>49</v>
      </c>
      <c r="B34" s="160"/>
      <c r="C34" s="5"/>
      <c r="D34" s="5"/>
      <c r="E34" s="5"/>
      <c r="F34" s="171"/>
      <c r="G34" s="171"/>
      <c r="H34" s="171"/>
      <c r="I34" s="171"/>
    </row>
    <row r="35" spans="1:9" s="2" customFormat="1" ht="14.25">
      <c r="A35" s="136" t="s">
        <v>76</v>
      </c>
      <c r="B35" s="160"/>
      <c r="C35" s="5"/>
      <c r="D35" s="5"/>
      <c r="E35" s="5"/>
      <c r="F35" s="171"/>
      <c r="G35" s="171"/>
      <c r="H35" s="171"/>
      <c r="I35" s="171"/>
    </row>
    <row r="36" spans="1:9" s="2" customFormat="1" ht="14.25">
      <c r="A36" s="5" t="s">
        <v>75</v>
      </c>
      <c r="B36" s="172">
        <v>2</v>
      </c>
      <c r="C36" s="5"/>
      <c r="D36" s="5"/>
      <c r="E36" s="5"/>
      <c r="F36" s="171"/>
      <c r="G36" s="171"/>
      <c r="H36" s="171"/>
      <c r="I36" s="171"/>
    </row>
    <row r="37" spans="1:9" s="2" customFormat="1" ht="14.25">
      <c r="A37" s="24" t="s">
        <v>399</v>
      </c>
      <c r="B37" s="160">
        <f>B30/B18*B21/60</f>
        <v>2.798127798127798</v>
      </c>
      <c r="C37" s="63" t="s">
        <v>24</v>
      </c>
      <c r="D37" s="63"/>
      <c r="E37" s="63"/>
      <c r="F37" s="171"/>
      <c r="G37" s="171"/>
      <c r="H37" s="171"/>
      <c r="I37" s="171"/>
    </row>
    <row r="38" spans="1:9" s="2" customFormat="1" ht="14.25">
      <c r="A38" s="24" t="s">
        <v>198</v>
      </c>
      <c r="B38" s="160">
        <f>1500/5280*60/15</f>
        <v>1.1363636363636365</v>
      </c>
      <c r="C38" s="63" t="s">
        <v>386</v>
      </c>
      <c r="D38" s="5"/>
      <c r="E38" s="5"/>
      <c r="F38" s="171"/>
      <c r="G38" s="171"/>
      <c r="H38" s="171"/>
      <c r="I38" s="171"/>
    </row>
    <row r="39" spans="1:9" s="2" customFormat="1" ht="14.25">
      <c r="A39" s="5" t="s">
        <v>200</v>
      </c>
      <c r="B39" s="172">
        <v>4</v>
      </c>
      <c r="C39" s="5"/>
      <c r="D39" s="5"/>
      <c r="E39" s="5"/>
      <c r="F39" s="171"/>
      <c r="G39" s="171"/>
      <c r="H39" s="171"/>
      <c r="I39" s="171"/>
    </row>
    <row r="40" spans="1:9" s="2" customFormat="1" ht="14.25">
      <c r="A40" s="24" t="s">
        <v>199</v>
      </c>
      <c r="B40" s="160">
        <f>1500/5280*60/15</f>
        <v>1.1363636363636365</v>
      </c>
      <c r="C40" s="63" t="s">
        <v>386</v>
      </c>
      <c r="D40" s="5"/>
      <c r="E40" s="5"/>
      <c r="F40" s="171"/>
      <c r="G40" s="171"/>
      <c r="H40" s="171"/>
      <c r="I40" s="171"/>
    </row>
    <row r="41" spans="1:9" s="2" customFormat="1" ht="14.25">
      <c r="A41" s="136" t="s">
        <v>31</v>
      </c>
      <c r="B41" s="172"/>
      <c r="C41" s="5"/>
      <c r="D41" s="5"/>
      <c r="E41" s="5"/>
      <c r="F41" s="171"/>
      <c r="G41" s="171"/>
      <c r="H41" s="171"/>
      <c r="I41" s="171"/>
    </row>
    <row r="42" spans="1:9" s="2" customFormat="1" ht="14.25">
      <c r="A42" s="24" t="s">
        <v>400</v>
      </c>
      <c r="B42" s="160">
        <f>B36+B37+B38+B39+B40</f>
        <v>11.070855070855071</v>
      </c>
      <c r="C42" s="63" t="s">
        <v>24</v>
      </c>
      <c r="D42" s="5"/>
      <c r="E42" s="5"/>
      <c r="F42" s="171"/>
      <c r="G42" s="171"/>
      <c r="H42" s="171"/>
      <c r="I42" s="171"/>
    </row>
    <row r="43" spans="1:9" s="2" customFormat="1" ht="14.25">
      <c r="A43" s="24" t="s">
        <v>401</v>
      </c>
      <c r="B43" s="160">
        <f>B42/60</f>
        <v>0.18451425118091785</v>
      </c>
      <c r="C43" s="63" t="s">
        <v>24</v>
      </c>
      <c r="D43" s="5"/>
      <c r="E43" s="5"/>
      <c r="F43" s="171"/>
      <c r="G43" s="171"/>
      <c r="H43" s="171"/>
      <c r="I43" s="171"/>
    </row>
    <row r="44" spans="1:9" s="2" customFormat="1" ht="14.25">
      <c r="A44" s="136" t="s">
        <v>52</v>
      </c>
      <c r="B44" s="160"/>
      <c r="C44" s="63"/>
      <c r="D44" s="5"/>
      <c r="E44" s="5"/>
      <c r="F44" s="171"/>
      <c r="G44" s="171"/>
      <c r="H44" s="171"/>
      <c r="I44" s="171"/>
    </row>
    <row r="45" spans="1:9" s="2" customFormat="1" ht="14.25">
      <c r="A45" s="24" t="s">
        <v>355</v>
      </c>
      <c r="B45" s="160">
        <f>B30/B43</f>
        <v>104.92414475355265</v>
      </c>
      <c r="C45" s="63" t="s">
        <v>24</v>
      </c>
      <c r="D45" s="5"/>
      <c r="E45" s="5"/>
      <c r="F45" s="171"/>
      <c r="G45" s="171"/>
      <c r="H45" s="171"/>
      <c r="I45" s="171"/>
    </row>
    <row r="46" spans="1:9" s="2" customFormat="1" ht="14.25">
      <c r="A46" s="24" t="s">
        <v>329</v>
      </c>
      <c r="B46" s="160">
        <f>B31/B43</f>
        <v>72.73150943143992</v>
      </c>
      <c r="C46" s="63" t="s">
        <v>24</v>
      </c>
      <c r="D46" s="5"/>
      <c r="E46" s="5"/>
      <c r="F46" s="171"/>
      <c r="G46" s="171"/>
      <c r="H46" s="171"/>
      <c r="I46" s="171"/>
    </row>
    <row r="47" spans="1:9" s="2" customFormat="1" ht="14.25">
      <c r="A47" s="24" t="s">
        <v>356</v>
      </c>
      <c r="B47" s="160">
        <f>B32/B43</f>
        <v>104.92414475355265</v>
      </c>
      <c r="C47" s="63" t="s">
        <v>24</v>
      </c>
      <c r="D47" s="5"/>
      <c r="E47" s="5"/>
      <c r="F47" s="171"/>
      <c r="G47" s="171"/>
      <c r="H47" s="171"/>
      <c r="I47" s="171"/>
    </row>
    <row r="48" spans="1:9" s="2" customFormat="1" ht="14.25">
      <c r="A48" s="136" t="s">
        <v>32</v>
      </c>
      <c r="B48" s="172"/>
      <c r="C48" s="5"/>
      <c r="D48" s="5"/>
      <c r="E48" s="5"/>
      <c r="F48" s="171"/>
      <c r="G48" s="171"/>
      <c r="H48" s="171"/>
      <c r="I48" s="171"/>
    </row>
    <row r="49" spans="1:9" s="2" customFormat="1" ht="14.25">
      <c r="A49" s="136" t="s">
        <v>311</v>
      </c>
      <c r="B49" s="160">
        <v>1</v>
      </c>
      <c r="C49" s="63" t="s">
        <v>26</v>
      </c>
      <c r="D49" s="5"/>
      <c r="E49" s="5"/>
      <c r="F49" s="171"/>
      <c r="G49" s="171"/>
      <c r="H49" s="171"/>
      <c r="I49" s="171"/>
    </row>
    <row r="50" spans="1:9" s="2" customFormat="1" ht="14.25">
      <c r="A50" s="136" t="s">
        <v>312</v>
      </c>
      <c r="B50" s="160">
        <v>0.83</v>
      </c>
      <c r="C50" s="159" t="s">
        <v>37</v>
      </c>
      <c r="D50" s="5"/>
      <c r="E50" s="5"/>
      <c r="F50" s="171"/>
      <c r="G50" s="171"/>
      <c r="H50" s="171"/>
      <c r="I50" s="171"/>
    </row>
    <row r="51" spans="1:9" s="2" customFormat="1" ht="14.25">
      <c r="A51" s="136" t="s">
        <v>313</v>
      </c>
      <c r="B51" s="160">
        <v>0.95</v>
      </c>
      <c r="C51" s="63" t="s">
        <v>26</v>
      </c>
      <c r="D51" s="5"/>
      <c r="E51" s="5"/>
      <c r="F51" s="171"/>
      <c r="G51" s="171"/>
      <c r="H51" s="171"/>
      <c r="I51" s="171"/>
    </row>
    <row r="52" spans="1:9" s="2" customFormat="1" ht="14.25">
      <c r="A52" s="136" t="s">
        <v>31</v>
      </c>
      <c r="B52" s="160"/>
      <c r="C52" s="63"/>
      <c r="D52" s="5"/>
      <c r="E52" s="5"/>
      <c r="F52" s="171"/>
      <c r="G52" s="171"/>
      <c r="H52" s="171"/>
      <c r="I52" s="171"/>
    </row>
    <row r="53" spans="1:9" s="2" customFormat="1" ht="14.25">
      <c r="A53" s="136" t="s">
        <v>357</v>
      </c>
      <c r="B53" s="160">
        <f>B45*B49*B50*B51</f>
        <v>82.73268813817626</v>
      </c>
      <c r="C53" s="63" t="s">
        <v>24</v>
      </c>
      <c r="D53" s="5"/>
      <c r="E53" s="5"/>
      <c r="F53" s="171"/>
      <c r="G53" s="171"/>
      <c r="H53" s="171"/>
      <c r="I53" s="171"/>
    </row>
    <row r="54" spans="1:9" s="2" customFormat="1" ht="14.25">
      <c r="A54" s="136" t="s">
        <v>330</v>
      </c>
      <c r="B54" s="160">
        <f>B46*B49*B50*B51</f>
        <v>57.34879518669037</v>
      </c>
      <c r="C54" s="63" t="s">
        <v>24</v>
      </c>
      <c r="D54" s="5"/>
      <c r="E54" s="5"/>
      <c r="F54" s="171"/>
      <c r="G54" s="171"/>
      <c r="H54" s="171"/>
      <c r="I54" s="171"/>
    </row>
    <row r="55" spans="1:9" s="2" customFormat="1" ht="14.25">
      <c r="A55" s="136" t="s">
        <v>358</v>
      </c>
      <c r="B55" s="160">
        <f>B47*B49*B50*B51</f>
        <v>82.73268813817626</v>
      </c>
      <c r="C55" s="63" t="s">
        <v>24</v>
      </c>
      <c r="D55" s="5"/>
      <c r="E55" s="5"/>
      <c r="F55" s="171"/>
      <c r="G55" s="171"/>
      <c r="H55" s="171"/>
      <c r="I55" s="171"/>
    </row>
    <row r="56" spans="1:9" s="2" customFormat="1" ht="14.25">
      <c r="A56" s="136"/>
      <c r="B56" s="172"/>
      <c r="C56" s="5"/>
      <c r="D56" s="5"/>
      <c r="E56" s="5"/>
      <c r="F56" s="171"/>
      <c r="G56" s="171"/>
      <c r="H56" s="171"/>
      <c r="I56" s="171"/>
    </row>
    <row r="57" spans="1:9" s="2" customFormat="1" ht="15">
      <c r="A57" s="153" t="s">
        <v>359</v>
      </c>
      <c r="B57" s="160"/>
      <c r="C57" s="5"/>
      <c r="D57" s="5"/>
      <c r="E57" s="5"/>
      <c r="F57" s="171"/>
      <c r="G57" s="171"/>
      <c r="H57" s="171"/>
      <c r="I57" s="171"/>
    </row>
    <row r="58" spans="1:9" s="2" customFormat="1" ht="14.25">
      <c r="A58" s="136" t="s">
        <v>48</v>
      </c>
      <c r="B58" s="19"/>
      <c r="C58" s="165"/>
      <c r="D58" s="5"/>
      <c r="E58" s="5"/>
      <c r="F58" s="5"/>
      <c r="G58" s="5"/>
      <c r="H58" s="5"/>
      <c r="I58" s="5"/>
    </row>
    <row r="59" spans="1:9" s="2" customFormat="1" ht="14.25">
      <c r="A59" s="24" t="s">
        <v>360</v>
      </c>
      <c r="B59" s="19">
        <f>B12/365*7</f>
        <v>11506.849315068492</v>
      </c>
      <c r="C59" s="159" t="s">
        <v>74</v>
      </c>
      <c r="D59" s="5"/>
      <c r="E59" s="5"/>
      <c r="F59" s="5"/>
      <c r="G59" s="5"/>
      <c r="H59" s="5"/>
      <c r="I59" s="5"/>
    </row>
    <row r="60" spans="1:9" s="2" customFormat="1" ht="14.25">
      <c r="A60" s="24" t="s">
        <v>362</v>
      </c>
      <c r="B60" s="19">
        <f>B13/365*7</f>
        <v>4476.77808219178</v>
      </c>
      <c r="C60" s="159" t="s">
        <v>74</v>
      </c>
      <c r="D60" s="5"/>
      <c r="E60" s="5"/>
      <c r="F60" s="5"/>
      <c r="G60" s="5"/>
      <c r="H60" s="5"/>
      <c r="I60" s="5"/>
    </row>
    <row r="61" spans="1:9" s="2" customFormat="1" ht="14.25">
      <c r="A61" s="24" t="s">
        <v>364</v>
      </c>
      <c r="B61" s="19">
        <f>B14/365*7</f>
        <v>1119.194520547945</v>
      </c>
      <c r="C61" s="159" t="s">
        <v>74</v>
      </c>
      <c r="D61" s="5"/>
      <c r="E61" s="5"/>
      <c r="F61" s="5"/>
      <c r="G61" s="5"/>
      <c r="H61" s="5"/>
      <c r="I61" s="5"/>
    </row>
    <row r="62" spans="1:9" s="2" customFormat="1" ht="14.25">
      <c r="A62" s="24" t="s">
        <v>361</v>
      </c>
      <c r="B62" s="166">
        <f>B59/5</f>
        <v>2301.3698630136983</v>
      </c>
      <c r="C62" s="159" t="s">
        <v>73</v>
      </c>
      <c r="D62" s="5"/>
      <c r="E62" s="5"/>
      <c r="F62" s="5"/>
      <c r="G62" s="5"/>
      <c r="H62" s="5"/>
      <c r="I62" s="5"/>
    </row>
    <row r="63" spans="1:9" s="2" customFormat="1" ht="14.25">
      <c r="A63" s="24" t="s">
        <v>363</v>
      </c>
      <c r="B63" s="166">
        <f>B60/5</f>
        <v>895.355616438356</v>
      </c>
      <c r="C63" s="159" t="s">
        <v>73</v>
      </c>
      <c r="D63" s="5"/>
      <c r="E63" s="5"/>
      <c r="F63" s="5"/>
      <c r="G63" s="5"/>
      <c r="H63" s="5"/>
      <c r="I63" s="5"/>
    </row>
    <row r="64" spans="1:9" s="2" customFormat="1" ht="14.25">
      <c r="A64" s="24" t="s">
        <v>365</v>
      </c>
      <c r="B64" s="166">
        <f>B61/5</f>
        <v>223.838904109589</v>
      </c>
      <c r="C64" s="159" t="s">
        <v>73</v>
      </c>
      <c r="D64" s="5"/>
      <c r="E64" s="5"/>
      <c r="F64" s="5"/>
      <c r="G64" s="5"/>
      <c r="H64" s="5"/>
      <c r="I64" s="5"/>
    </row>
    <row r="65" spans="1:9" s="2" customFormat="1" ht="14.25">
      <c r="A65" s="5" t="s">
        <v>372</v>
      </c>
      <c r="B65" s="19">
        <f>B53*12</f>
        <v>992.7922576581151</v>
      </c>
      <c r="C65" s="159" t="s">
        <v>395</v>
      </c>
      <c r="D65" s="5"/>
      <c r="E65" s="5"/>
      <c r="F65" s="5"/>
      <c r="G65" s="5"/>
      <c r="H65" s="5"/>
      <c r="I65" s="5"/>
    </row>
    <row r="66" spans="1:9" s="2" customFormat="1" ht="14.25">
      <c r="A66" s="5" t="s">
        <v>373</v>
      </c>
      <c r="B66" s="19">
        <f>B54*12</f>
        <v>688.1855422402843</v>
      </c>
      <c r="C66" s="159" t="s">
        <v>395</v>
      </c>
      <c r="D66" s="5"/>
      <c r="E66" s="5"/>
      <c r="F66" s="5"/>
      <c r="G66" s="5"/>
      <c r="H66" s="5"/>
      <c r="I66" s="5"/>
    </row>
    <row r="67" spans="1:9" s="2" customFormat="1" ht="14.25">
      <c r="A67" s="5" t="s">
        <v>374</v>
      </c>
      <c r="B67" s="19">
        <f>B55*12</f>
        <v>992.7922576581151</v>
      </c>
      <c r="C67" s="159" t="s">
        <v>395</v>
      </c>
      <c r="D67" s="5"/>
      <c r="E67" s="5"/>
      <c r="F67" s="5"/>
      <c r="G67" s="5"/>
      <c r="H67" s="5"/>
      <c r="I67" s="5"/>
    </row>
    <row r="68" spans="1:9" s="2" customFormat="1" ht="14.25">
      <c r="A68" s="136" t="s">
        <v>31</v>
      </c>
      <c r="B68" s="19"/>
      <c r="C68" s="159"/>
      <c r="D68" s="5"/>
      <c r="E68" s="5"/>
      <c r="F68" s="5"/>
      <c r="G68" s="5"/>
      <c r="H68" s="5"/>
      <c r="I68" s="5"/>
    </row>
    <row r="69" spans="1:9" s="2" customFormat="1" ht="14.25">
      <c r="A69" s="5" t="s">
        <v>369</v>
      </c>
      <c r="B69" s="160">
        <f>B62/B65</f>
        <v>2.318077971762562</v>
      </c>
      <c r="C69" s="159" t="s">
        <v>24</v>
      </c>
      <c r="D69" s="5"/>
      <c r="E69" s="5"/>
      <c r="F69" s="5"/>
      <c r="G69" s="5"/>
      <c r="H69" s="5"/>
      <c r="I69" s="5"/>
    </row>
    <row r="70" spans="1:9" s="2" customFormat="1" ht="14.25">
      <c r="A70" s="5" t="s">
        <v>370</v>
      </c>
      <c r="B70" s="160">
        <f>B63/B66</f>
        <v>1.3010381088850846</v>
      </c>
      <c r="C70" s="159" t="s">
        <v>24</v>
      </c>
      <c r="D70" s="5"/>
      <c r="E70" s="5"/>
      <c r="F70" s="5"/>
      <c r="G70" s="5"/>
      <c r="H70" s="5"/>
      <c r="I70" s="5"/>
    </row>
    <row r="71" spans="1:9" s="2" customFormat="1" ht="14.25">
      <c r="A71" s="5" t="s">
        <v>371</v>
      </c>
      <c r="B71" s="160">
        <f>B64/B67</f>
        <v>0.22546399046019933</v>
      </c>
      <c r="C71" s="159" t="s">
        <v>24</v>
      </c>
      <c r="D71" s="5"/>
      <c r="E71" s="5"/>
      <c r="F71" s="5"/>
      <c r="G71" s="5"/>
      <c r="H71" s="5"/>
      <c r="I71" s="5"/>
    </row>
    <row r="72" spans="1:9" s="2" customFormat="1" ht="14.25">
      <c r="A72" s="5" t="s">
        <v>384</v>
      </c>
      <c r="B72" s="172">
        <v>4</v>
      </c>
      <c r="C72" s="159" t="s">
        <v>385</v>
      </c>
      <c r="D72" s="5"/>
      <c r="E72" s="5"/>
      <c r="F72" s="5"/>
      <c r="G72" s="5"/>
      <c r="H72" s="5"/>
      <c r="I72" s="5"/>
    </row>
    <row r="73" spans="1:18" s="62" customFormat="1" ht="18">
      <c r="A73" s="180" t="s">
        <v>15</v>
      </c>
      <c r="B73" s="180"/>
      <c r="C73" s="180"/>
      <c r="D73" s="180"/>
      <c r="E73" s="180"/>
      <c r="F73" s="180"/>
      <c r="G73" s="180"/>
      <c r="H73" s="180"/>
      <c r="I73" s="180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8" s="62" customFormat="1" ht="18">
      <c r="A74" s="181" t="s">
        <v>16</v>
      </c>
      <c r="B74" s="181"/>
      <c r="C74" s="181"/>
      <c r="D74" s="181"/>
      <c r="E74" s="181"/>
      <c r="F74" s="181"/>
      <c r="G74" s="181"/>
      <c r="H74" s="181"/>
      <c r="I74" s="181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s="62" customFormat="1" ht="18">
      <c r="A75" s="181" t="s">
        <v>17</v>
      </c>
      <c r="B75" s="181"/>
      <c r="C75" s="181"/>
      <c r="D75" s="181"/>
      <c r="E75" s="181"/>
      <c r="F75" s="181"/>
      <c r="G75" s="181"/>
      <c r="H75" s="181"/>
      <c r="I75" s="181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5" s="62" customFormat="1" ht="18">
      <c r="A76" s="101"/>
      <c r="C76" s="5"/>
      <c r="D76" s="5"/>
      <c r="E76" s="5"/>
    </row>
    <row r="77" spans="1:18" s="62" customFormat="1" ht="18">
      <c r="A77" s="180" t="s">
        <v>18</v>
      </c>
      <c r="B77" s="180"/>
      <c r="C77" s="180"/>
      <c r="D77" s="180"/>
      <c r="E77" s="180"/>
      <c r="F77" s="180"/>
      <c r="G77" s="180"/>
      <c r="H77" s="180"/>
      <c r="I77" s="180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s="62" customFormat="1" ht="18">
      <c r="A78" s="179"/>
      <c r="B78" s="179"/>
      <c r="C78" s="179"/>
      <c r="D78" s="179"/>
      <c r="E78" s="179"/>
      <c r="F78" s="179"/>
      <c r="G78" s="179"/>
      <c r="H78" s="179"/>
      <c r="I78" s="179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5" s="62" customFormat="1" ht="18" customHeight="1">
      <c r="B79" s="102"/>
      <c r="C79" s="5"/>
      <c r="D79" s="5"/>
      <c r="E79" s="5"/>
    </row>
    <row r="80" spans="1:18" ht="18" customHeight="1">
      <c r="A80" s="191" t="s">
        <v>389</v>
      </c>
      <c r="B80" s="191"/>
      <c r="C80" s="191"/>
      <c r="D80" s="191"/>
      <c r="E80" s="191"/>
      <c r="F80" s="191"/>
      <c r="G80" s="191"/>
      <c r="H80" s="191"/>
      <c r="I80" s="191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9" s="2" customFormat="1" ht="18.75">
      <c r="A81" s="192" t="s">
        <v>421</v>
      </c>
      <c r="B81" s="192"/>
      <c r="C81" s="192"/>
      <c r="D81" s="192"/>
      <c r="E81" s="192"/>
      <c r="F81" s="192"/>
      <c r="G81" s="192"/>
      <c r="H81" s="192"/>
      <c r="I81" s="192"/>
    </row>
    <row r="82" spans="1:3" s="2" customFormat="1" ht="12.75">
      <c r="A82" s="73"/>
      <c r="B82" s="73"/>
      <c r="C82" s="68"/>
    </row>
    <row r="83" spans="1:9" s="2" customFormat="1" ht="15">
      <c r="A83" s="153" t="s">
        <v>38</v>
      </c>
      <c r="B83" s="164"/>
      <c r="C83" s="165"/>
      <c r="D83" s="5"/>
      <c r="E83" s="5"/>
      <c r="F83" s="5"/>
      <c r="G83" s="5"/>
      <c r="H83" s="5"/>
      <c r="I83" s="5"/>
    </row>
    <row r="84" spans="1:9" s="2" customFormat="1" ht="15">
      <c r="A84" s="156" t="s">
        <v>310</v>
      </c>
      <c r="B84" s="164"/>
      <c r="C84" s="165"/>
      <c r="D84" s="5"/>
      <c r="E84" s="5"/>
      <c r="F84" s="5"/>
      <c r="G84" s="5"/>
      <c r="H84" s="5"/>
      <c r="I84" s="5"/>
    </row>
    <row r="85" spans="1:9" s="2" customFormat="1" ht="14.25">
      <c r="A85" s="5" t="s">
        <v>78</v>
      </c>
      <c r="B85" s="19">
        <v>365</v>
      </c>
      <c r="C85" s="161"/>
      <c r="D85" s="5"/>
      <c r="E85" s="5"/>
      <c r="F85" s="5"/>
      <c r="G85" s="5"/>
      <c r="H85" s="5"/>
      <c r="I85" s="5"/>
    </row>
    <row r="86" spans="1:9" s="2" customFormat="1" ht="14.25">
      <c r="A86" s="136" t="s">
        <v>32</v>
      </c>
      <c r="B86" s="19"/>
      <c r="C86" s="161"/>
      <c r="D86" s="5"/>
      <c r="E86" s="5"/>
      <c r="F86" s="5"/>
      <c r="G86" s="5"/>
      <c r="H86" s="5"/>
      <c r="I86" s="5"/>
    </row>
    <row r="87" spans="1:9" s="2" customFormat="1" ht="14.25">
      <c r="A87" s="5" t="s">
        <v>42</v>
      </c>
      <c r="B87" s="19">
        <v>0</v>
      </c>
      <c r="C87" s="161"/>
      <c r="D87" s="5"/>
      <c r="E87" s="5"/>
      <c r="F87" s="5"/>
      <c r="G87" s="5"/>
      <c r="H87" s="5"/>
      <c r="I87" s="5"/>
    </row>
    <row r="88" spans="1:9" s="2" customFormat="1" ht="14.25">
      <c r="A88" s="5" t="s">
        <v>43</v>
      </c>
      <c r="B88" s="19">
        <v>0</v>
      </c>
      <c r="C88" s="161"/>
      <c r="D88" s="5"/>
      <c r="E88" s="5"/>
      <c r="F88" s="5"/>
      <c r="G88" s="5"/>
      <c r="H88" s="5"/>
      <c r="I88" s="5"/>
    </row>
    <row r="89" spans="1:9" s="2" customFormat="1" ht="14.25">
      <c r="A89" s="5" t="s">
        <v>44</v>
      </c>
      <c r="B89" s="19">
        <v>51</v>
      </c>
      <c r="C89" s="161"/>
      <c r="D89" s="5"/>
      <c r="E89" s="5"/>
      <c r="F89" s="5"/>
      <c r="G89" s="5"/>
      <c r="H89" s="5"/>
      <c r="I89" s="5"/>
    </row>
    <row r="90" spans="1:9" s="2" customFormat="1" ht="14.25">
      <c r="A90" s="5" t="s">
        <v>45</v>
      </c>
      <c r="B90" s="19">
        <v>51</v>
      </c>
      <c r="C90" s="161"/>
      <c r="D90" s="5"/>
      <c r="E90" s="5"/>
      <c r="F90" s="5"/>
      <c r="G90" s="5"/>
      <c r="H90" s="5"/>
      <c r="I90" s="5"/>
    </row>
    <row r="91" spans="1:9" s="2" customFormat="1" ht="14.25">
      <c r="A91" s="5" t="s">
        <v>46</v>
      </c>
      <c r="B91" s="19">
        <v>0</v>
      </c>
      <c r="C91" s="161"/>
      <c r="D91" s="5"/>
      <c r="E91" s="5"/>
      <c r="F91" s="5"/>
      <c r="G91" s="5"/>
      <c r="H91" s="5"/>
      <c r="I91" s="5"/>
    </row>
    <row r="92" spans="1:9" s="2" customFormat="1" ht="14.25">
      <c r="A92" s="136" t="s">
        <v>31</v>
      </c>
      <c r="B92" s="19"/>
      <c r="C92" s="161"/>
      <c r="D92" s="5"/>
      <c r="E92" s="5"/>
      <c r="F92" s="5"/>
      <c r="G92" s="5"/>
      <c r="H92" s="5"/>
      <c r="I92" s="5"/>
    </row>
    <row r="93" spans="1:9" s="2" customFormat="1" ht="14.25">
      <c r="A93" s="5" t="s">
        <v>39</v>
      </c>
      <c r="B93" s="19">
        <f>B85-B87-B88-B89-B90-B91</f>
        <v>263</v>
      </c>
      <c r="C93" s="161" t="s">
        <v>24</v>
      </c>
      <c r="D93" s="5"/>
      <c r="E93" s="5"/>
      <c r="F93" s="5"/>
      <c r="G93" s="5"/>
      <c r="H93" s="5"/>
      <c r="I93" s="5"/>
    </row>
    <row r="94" spans="1:9" s="2" customFormat="1" ht="14.25">
      <c r="A94" s="136" t="s">
        <v>47</v>
      </c>
      <c r="B94" s="19"/>
      <c r="C94" s="161"/>
      <c r="D94" s="5"/>
      <c r="E94" s="5"/>
      <c r="F94" s="5"/>
      <c r="G94" s="5"/>
      <c r="H94" s="5"/>
      <c r="I94" s="5"/>
    </row>
    <row r="95" spans="1:9" s="2" customFormat="1" ht="14.25">
      <c r="A95" s="5" t="s">
        <v>53</v>
      </c>
      <c r="B95" s="19">
        <f>B72*12</f>
        <v>48</v>
      </c>
      <c r="C95" s="161" t="s">
        <v>90</v>
      </c>
      <c r="D95" s="5"/>
      <c r="E95" s="5"/>
      <c r="F95" s="5"/>
      <c r="G95" s="5"/>
      <c r="H95" s="5"/>
      <c r="I95" s="5"/>
    </row>
    <row r="96" spans="1:9" s="2" customFormat="1" ht="14.25">
      <c r="A96" s="136" t="s">
        <v>31</v>
      </c>
      <c r="B96" s="19"/>
      <c r="C96" s="161"/>
      <c r="D96" s="5"/>
      <c r="E96" s="5"/>
      <c r="F96" s="5"/>
      <c r="G96" s="5"/>
      <c r="H96" s="5"/>
      <c r="I96" s="5"/>
    </row>
    <row r="97" spans="1:9" s="2" customFormat="1" ht="14.25">
      <c r="A97" s="5" t="s">
        <v>40</v>
      </c>
      <c r="B97" s="19">
        <f>B93*B95</f>
        <v>12624</v>
      </c>
      <c r="C97" s="159" t="s">
        <v>24</v>
      </c>
      <c r="D97" s="5"/>
      <c r="E97" s="5"/>
      <c r="F97" s="5"/>
      <c r="G97" s="5"/>
      <c r="H97" s="5"/>
      <c r="I97" s="5"/>
    </row>
    <row r="98" spans="1:9" s="2" customFormat="1" ht="14.25">
      <c r="A98" s="5"/>
      <c r="B98" s="160"/>
      <c r="C98" s="5"/>
      <c r="D98" s="5"/>
      <c r="E98" s="5"/>
      <c r="F98" s="171"/>
      <c r="G98" s="171"/>
      <c r="H98" s="171"/>
      <c r="I98" s="171"/>
    </row>
    <row r="99" spans="1:9" s="2" customFormat="1" ht="15">
      <c r="A99" s="156" t="s">
        <v>245</v>
      </c>
      <c r="B99" s="24"/>
      <c r="C99" s="83"/>
      <c r="D99" s="5"/>
      <c r="E99" s="5"/>
      <c r="F99" s="5"/>
      <c r="G99" s="5"/>
      <c r="H99" s="5"/>
      <c r="I99" s="5"/>
    </row>
    <row r="100" spans="1:9" s="2" customFormat="1" ht="14.25">
      <c r="A100" s="63" t="s">
        <v>54</v>
      </c>
      <c r="B100" s="24"/>
      <c r="C100" s="83"/>
      <c r="D100" s="5"/>
      <c r="E100" s="5"/>
      <c r="F100" s="5"/>
      <c r="G100" s="5"/>
      <c r="H100" s="5"/>
      <c r="I100" s="5"/>
    </row>
    <row r="101" spans="1:9" s="2" customFormat="1" ht="14.25">
      <c r="A101" s="5" t="s">
        <v>79</v>
      </c>
      <c r="B101" s="173">
        <v>60</v>
      </c>
      <c r="C101" s="83"/>
      <c r="D101" s="5"/>
      <c r="E101" s="5"/>
      <c r="F101" s="5"/>
      <c r="G101" s="5"/>
      <c r="H101" s="5"/>
      <c r="I101" s="5"/>
    </row>
    <row r="102" spans="1:9" s="2" customFormat="1" ht="14.25">
      <c r="A102" s="136" t="s">
        <v>31</v>
      </c>
      <c r="B102" s="173"/>
      <c r="C102" s="83"/>
      <c r="D102" s="5"/>
      <c r="E102" s="5"/>
      <c r="F102" s="5"/>
      <c r="G102" s="5"/>
      <c r="H102" s="5"/>
      <c r="I102" s="5"/>
    </row>
    <row r="103" spans="1:9" s="2" customFormat="1" ht="14.25">
      <c r="A103" s="5" t="s">
        <v>77</v>
      </c>
      <c r="B103" s="174">
        <f>B97*B101</f>
        <v>757440</v>
      </c>
      <c r="C103" s="167" t="s">
        <v>24</v>
      </c>
      <c r="D103" s="5"/>
      <c r="E103" s="5"/>
      <c r="F103" s="5"/>
      <c r="G103" s="5"/>
      <c r="H103" s="5"/>
      <c r="I103" s="5"/>
    </row>
    <row r="104" spans="2:9" s="2" customFormat="1" ht="12.75">
      <c r="B104" s="71"/>
      <c r="F104" s="77"/>
      <c r="G104" s="77"/>
      <c r="H104" s="77"/>
      <c r="I104" s="77"/>
    </row>
    <row r="105" s="2" customFormat="1" ht="12.75">
      <c r="B105" s="71"/>
    </row>
  </sheetData>
  <sheetProtection/>
  <mergeCells count="14">
    <mergeCell ref="A78:I78"/>
    <mergeCell ref="A80:I80"/>
    <mergeCell ref="A81:I81"/>
    <mergeCell ref="A73:I73"/>
    <mergeCell ref="A74:I74"/>
    <mergeCell ref="A75:I75"/>
    <mergeCell ref="A77:I77"/>
    <mergeCell ref="A9:I9"/>
    <mergeCell ref="A1:I1"/>
    <mergeCell ref="A2:I2"/>
    <mergeCell ref="A3:I3"/>
    <mergeCell ref="A5:I5"/>
    <mergeCell ref="A6:I6"/>
    <mergeCell ref="A8:I8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M38"/>
  <sheetViews>
    <sheetView zoomScale="75" zoomScaleNormal="75" zoomScalePageLayoutView="0" workbookViewId="0" topLeftCell="A1">
      <selection activeCell="C26" sqref="C26"/>
    </sheetView>
  </sheetViews>
  <sheetFormatPr defaultColWidth="9.140625" defaultRowHeight="12.75"/>
  <cols>
    <col min="1" max="1" width="15.7109375" style="62" customWidth="1"/>
    <col min="2" max="2" width="95.7109375" style="62" customWidth="1"/>
    <col min="3" max="65" width="20.7109375" style="5" customWidth="1"/>
    <col min="66" max="16384" width="9.140625" style="62" customWidth="1"/>
  </cols>
  <sheetData>
    <row r="1" spans="2:65" ht="18">
      <c r="B1" s="180" t="s">
        <v>15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</row>
    <row r="2" spans="2:65" ht="18">
      <c r="B2" s="180" t="s">
        <v>16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</row>
    <row r="3" spans="2:65" ht="18">
      <c r="B3" s="180" t="s">
        <v>17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</row>
    <row r="4" spans="2:48" ht="18">
      <c r="B4" s="101"/>
      <c r="C4" s="92"/>
      <c r="D4" s="92"/>
      <c r="E4" s="92"/>
      <c r="F4" s="92"/>
      <c r="X4" s="92"/>
      <c r="Y4" s="92"/>
      <c r="Z4" s="92"/>
      <c r="AA4" s="92"/>
      <c r="AS4" s="92"/>
      <c r="AT4" s="92"/>
      <c r="AU4" s="92"/>
      <c r="AV4" s="92"/>
    </row>
    <row r="5" spans="2:65" ht="18">
      <c r="B5" s="180" t="s">
        <v>18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</row>
    <row r="6" spans="2:65" ht="18">
      <c r="B6" s="179">
        <v>39104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</row>
    <row r="7" ht="18" customHeight="1">
      <c r="B7" s="102"/>
    </row>
    <row r="8" spans="2:65" ht="18" customHeight="1">
      <c r="B8" s="123"/>
      <c r="C8" s="69"/>
      <c r="D8" s="119"/>
      <c r="E8" s="119"/>
      <c r="F8" s="11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118" t="s">
        <v>55</v>
      </c>
      <c r="X8" s="69"/>
      <c r="Y8" s="119"/>
      <c r="Z8" s="119"/>
      <c r="AA8" s="11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118" t="s">
        <v>89</v>
      </c>
      <c r="AS8" s="94"/>
      <c r="AT8" s="118"/>
      <c r="AU8" s="118"/>
      <c r="AV8" s="118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118" t="s">
        <v>105</v>
      </c>
    </row>
    <row r="9" spans="2:65" ht="18" customHeight="1">
      <c r="B9" s="123"/>
      <c r="C9" s="120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20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120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</row>
    <row r="10" spans="2:65" ht="14.25" customHeight="1">
      <c r="B10" s="123"/>
      <c r="C10" s="121">
        <v>2008</v>
      </c>
      <c r="D10" s="122">
        <f aca="true" t="shared" si="0" ref="D10:V10">C10+1</f>
        <v>2009</v>
      </c>
      <c r="E10" s="122">
        <f t="shared" si="0"/>
        <v>2010</v>
      </c>
      <c r="F10" s="122">
        <f t="shared" si="0"/>
        <v>2011</v>
      </c>
      <c r="G10" s="122">
        <f t="shared" si="0"/>
        <v>2012</v>
      </c>
      <c r="H10" s="122">
        <f t="shared" si="0"/>
        <v>2013</v>
      </c>
      <c r="I10" s="122">
        <f t="shared" si="0"/>
        <v>2014</v>
      </c>
      <c r="J10" s="122">
        <f t="shared" si="0"/>
        <v>2015</v>
      </c>
      <c r="K10" s="122">
        <f t="shared" si="0"/>
        <v>2016</v>
      </c>
      <c r="L10" s="122">
        <f t="shared" si="0"/>
        <v>2017</v>
      </c>
      <c r="M10" s="122">
        <f t="shared" si="0"/>
        <v>2018</v>
      </c>
      <c r="N10" s="122">
        <f t="shared" si="0"/>
        <v>2019</v>
      </c>
      <c r="O10" s="122">
        <f t="shared" si="0"/>
        <v>2020</v>
      </c>
      <c r="P10" s="122">
        <f t="shared" si="0"/>
        <v>2021</v>
      </c>
      <c r="Q10" s="122">
        <f t="shared" si="0"/>
        <v>2022</v>
      </c>
      <c r="R10" s="122">
        <f t="shared" si="0"/>
        <v>2023</v>
      </c>
      <c r="S10" s="122">
        <f t="shared" si="0"/>
        <v>2024</v>
      </c>
      <c r="T10" s="122">
        <f t="shared" si="0"/>
        <v>2025</v>
      </c>
      <c r="U10" s="122">
        <f t="shared" si="0"/>
        <v>2026</v>
      </c>
      <c r="V10" s="122">
        <f t="shared" si="0"/>
        <v>2027</v>
      </c>
      <c r="W10" s="67" t="s">
        <v>106</v>
      </c>
      <c r="X10" s="64">
        <v>2008</v>
      </c>
      <c r="Y10" s="67">
        <f aca="true" t="shared" si="1" ref="Y10:AQ10">X10+1</f>
        <v>2009</v>
      </c>
      <c r="Z10" s="67">
        <f t="shared" si="1"/>
        <v>2010</v>
      </c>
      <c r="AA10" s="67">
        <f t="shared" si="1"/>
        <v>2011</v>
      </c>
      <c r="AB10" s="67">
        <f t="shared" si="1"/>
        <v>2012</v>
      </c>
      <c r="AC10" s="67">
        <f t="shared" si="1"/>
        <v>2013</v>
      </c>
      <c r="AD10" s="67">
        <f t="shared" si="1"/>
        <v>2014</v>
      </c>
      <c r="AE10" s="67">
        <f t="shared" si="1"/>
        <v>2015</v>
      </c>
      <c r="AF10" s="67">
        <f t="shared" si="1"/>
        <v>2016</v>
      </c>
      <c r="AG10" s="67">
        <f t="shared" si="1"/>
        <v>2017</v>
      </c>
      <c r="AH10" s="67">
        <f t="shared" si="1"/>
        <v>2018</v>
      </c>
      <c r="AI10" s="67">
        <f t="shared" si="1"/>
        <v>2019</v>
      </c>
      <c r="AJ10" s="67">
        <f t="shared" si="1"/>
        <v>2020</v>
      </c>
      <c r="AK10" s="67">
        <f t="shared" si="1"/>
        <v>2021</v>
      </c>
      <c r="AL10" s="67">
        <f t="shared" si="1"/>
        <v>2022</v>
      </c>
      <c r="AM10" s="67">
        <f t="shared" si="1"/>
        <v>2023</v>
      </c>
      <c r="AN10" s="67">
        <f t="shared" si="1"/>
        <v>2024</v>
      </c>
      <c r="AO10" s="67">
        <f t="shared" si="1"/>
        <v>2025</v>
      </c>
      <c r="AP10" s="67">
        <f t="shared" si="1"/>
        <v>2026</v>
      </c>
      <c r="AQ10" s="67">
        <f t="shared" si="1"/>
        <v>2027</v>
      </c>
      <c r="AR10" s="67" t="s">
        <v>106</v>
      </c>
      <c r="AS10" s="64">
        <v>2008</v>
      </c>
      <c r="AT10" s="67">
        <f aca="true" t="shared" si="2" ref="AT10:BL10">AS10+1</f>
        <v>2009</v>
      </c>
      <c r="AU10" s="67">
        <f t="shared" si="2"/>
        <v>2010</v>
      </c>
      <c r="AV10" s="67">
        <f t="shared" si="2"/>
        <v>2011</v>
      </c>
      <c r="AW10" s="67">
        <f t="shared" si="2"/>
        <v>2012</v>
      </c>
      <c r="AX10" s="67">
        <f t="shared" si="2"/>
        <v>2013</v>
      </c>
      <c r="AY10" s="67">
        <f t="shared" si="2"/>
        <v>2014</v>
      </c>
      <c r="AZ10" s="67">
        <f t="shared" si="2"/>
        <v>2015</v>
      </c>
      <c r="BA10" s="67">
        <f t="shared" si="2"/>
        <v>2016</v>
      </c>
      <c r="BB10" s="67">
        <f t="shared" si="2"/>
        <v>2017</v>
      </c>
      <c r="BC10" s="67">
        <f t="shared" si="2"/>
        <v>2018</v>
      </c>
      <c r="BD10" s="67">
        <f t="shared" si="2"/>
        <v>2019</v>
      </c>
      <c r="BE10" s="67">
        <f t="shared" si="2"/>
        <v>2020</v>
      </c>
      <c r="BF10" s="67">
        <f t="shared" si="2"/>
        <v>2021</v>
      </c>
      <c r="BG10" s="67">
        <f t="shared" si="2"/>
        <v>2022</v>
      </c>
      <c r="BH10" s="67">
        <f t="shared" si="2"/>
        <v>2023</v>
      </c>
      <c r="BI10" s="67">
        <f t="shared" si="2"/>
        <v>2024</v>
      </c>
      <c r="BJ10" s="67">
        <f t="shared" si="2"/>
        <v>2025</v>
      </c>
      <c r="BK10" s="67">
        <f t="shared" si="2"/>
        <v>2026</v>
      </c>
      <c r="BL10" s="67">
        <f t="shared" si="2"/>
        <v>2027</v>
      </c>
      <c r="BM10" s="67" t="s">
        <v>106</v>
      </c>
    </row>
    <row r="11" spans="2:65" ht="14.25" customHeight="1">
      <c r="B11" s="65"/>
      <c r="C11" s="93"/>
      <c r="D11" s="94"/>
      <c r="E11" s="94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93"/>
      <c r="Y11" s="94"/>
      <c r="Z11" s="94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93"/>
      <c r="AT11" s="94"/>
      <c r="AU11" s="94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</row>
    <row r="12" spans="2:65" ht="14.25" customHeight="1">
      <c r="B12" s="65" t="s">
        <v>83</v>
      </c>
      <c r="C12" s="70">
        <f>600000+233432+58358</f>
        <v>891790</v>
      </c>
      <c r="D12" s="70">
        <f aca="true" t="shared" si="3" ref="D12:V12">600000+233432+58358</f>
        <v>891790</v>
      </c>
      <c r="E12" s="70">
        <f t="shared" si="3"/>
        <v>891790</v>
      </c>
      <c r="F12" s="70">
        <f t="shared" si="3"/>
        <v>891790</v>
      </c>
      <c r="G12" s="70">
        <f t="shared" si="3"/>
        <v>891790</v>
      </c>
      <c r="H12" s="70">
        <f t="shared" si="3"/>
        <v>891790</v>
      </c>
      <c r="I12" s="70">
        <f t="shared" si="3"/>
        <v>891790</v>
      </c>
      <c r="J12" s="70">
        <f t="shared" si="3"/>
        <v>891790</v>
      </c>
      <c r="K12" s="70">
        <f t="shared" si="3"/>
        <v>891790</v>
      </c>
      <c r="L12" s="70">
        <f t="shared" si="3"/>
        <v>891790</v>
      </c>
      <c r="M12" s="70">
        <f t="shared" si="3"/>
        <v>891790</v>
      </c>
      <c r="N12" s="70">
        <f t="shared" si="3"/>
        <v>891790</v>
      </c>
      <c r="O12" s="70">
        <f t="shared" si="3"/>
        <v>891790</v>
      </c>
      <c r="P12" s="70">
        <f t="shared" si="3"/>
        <v>891790</v>
      </c>
      <c r="Q12" s="70">
        <f t="shared" si="3"/>
        <v>891790</v>
      </c>
      <c r="R12" s="70">
        <f t="shared" si="3"/>
        <v>891790</v>
      </c>
      <c r="S12" s="70">
        <f t="shared" si="3"/>
        <v>891790</v>
      </c>
      <c r="T12" s="70">
        <f t="shared" si="3"/>
        <v>891790</v>
      </c>
      <c r="U12" s="70">
        <f t="shared" si="3"/>
        <v>891790</v>
      </c>
      <c r="V12" s="70">
        <f t="shared" si="3"/>
        <v>891790</v>
      </c>
      <c r="W12" s="178">
        <f>SUM(C12:V12)</f>
        <v>17835800</v>
      </c>
      <c r="X12" s="70">
        <f>600000+233432+58358</f>
        <v>891790</v>
      </c>
      <c r="Y12" s="70">
        <f aca="true" t="shared" si="4" ref="Y12:AQ12">600000+233432+58358</f>
        <v>891790</v>
      </c>
      <c r="Z12" s="70">
        <f t="shared" si="4"/>
        <v>891790</v>
      </c>
      <c r="AA12" s="70">
        <f t="shared" si="4"/>
        <v>891790</v>
      </c>
      <c r="AB12" s="70">
        <f t="shared" si="4"/>
        <v>891790</v>
      </c>
      <c r="AC12" s="70">
        <f t="shared" si="4"/>
        <v>891790</v>
      </c>
      <c r="AD12" s="70">
        <f t="shared" si="4"/>
        <v>891790</v>
      </c>
      <c r="AE12" s="70">
        <f t="shared" si="4"/>
        <v>891790</v>
      </c>
      <c r="AF12" s="70">
        <f t="shared" si="4"/>
        <v>891790</v>
      </c>
      <c r="AG12" s="70">
        <f t="shared" si="4"/>
        <v>891790</v>
      </c>
      <c r="AH12" s="70">
        <f t="shared" si="4"/>
        <v>891790</v>
      </c>
      <c r="AI12" s="70">
        <f t="shared" si="4"/>
        <v>891790</v>
      </c>
      <c r="AJ12" s="70">
        <f t="shared" si="4"/>
        <v>891790</v>
      </c>
      <c r="AK12" s="70">
        <f t="shared" si="4"/>
        <v>891790</v>
      </c>
      <c r="AL12" s="70">
        <f t="shared" si="4"/>
        <v>891790</v>
      </c>
      <c r="AM12" s="70">
        <f t="shared" si="4"/>
        <v>891790</v>
      </c>
      <c r="AN12" s="70">
        <f t="shared" si="4"/>
        <v>891790</v>
      </c>
      <c r="AO12" s="70">
        <f t="shared" si="4"/>
        <v>891790</v>
      </c>
      <c r="AP12" s="70">
        <f t="shared" si="4"/>
        <v>891790</v>
      </c>
      <c r="AQ12" s="70">
        <f t="shared" si="4"/>
        <v>891790</v>
      </c>
      <c r="AR12" s="178">
        <f>SUM(X12:AQ12)</f>
        <v>17835800</v>
      </c>
      <c r="AS12" s="70">
        <f>600000+233432+58358</f>
        <v>891790</v>
      </c>
      <c r="AT12" s="70">
        <f aca="true" t="shared" si="5" ref="AT12:BL12">600000+233432+58358</f>
        <v>891790</v>
      </c>
      <c r="AU12" s="70">
        <f t="shared" si="5"/>
        <v>891790</v>
      </c>
      <c r="AV12" s="70">
        <f t="shared" si="5"/>
        <v>891790</v>
      </c>
      <c r="AW12" s="70">
        <f t="shared" si="5"/>
        <v>891790</v>
      </c>
      <c r="AX12" s="70">
        <f t="shared" si="5"/>
        <v>891790</v>
      </c>
      <c r="AY12" s="70">
        <f t="shared" si="5"/>
        <v>891790</v>
      </c>
      <c r="AZ12" s="70">
        <f t="shared" si="5"/>
        <v>891790</v>
      </c>
      <c r="BA12" s="70">
        <f t="shared" si="5"/>
        <v>891790</v>
      </c>
      <c r="BB12" s="70">
        <f t="shared" si="5"/>
        <v>891790</v>
      </c>
      <c r="BC12" s="70">
        <f t="shared" si="5"/>
        <v>891790</v>
      </c>
      <c r="BD12" s="70">
        <f t="shared" si="5"/>
        <v>891790</v>
      </c>
      <c r="BE12" s="70">
        <f t="shared" si="5"/>
        <v>891790</v>
      </c>
      <c r="BF12" s="70">
        <f t="shared" si="5"/>
        <v>891790</v>
      </c>
      <c r="BG12" s="70">
        <f t="shared" si="5"/>
        <v>891790</v>
      </c>
      <c r="BH12" s="70">
        <f t="shared" si="5"/>
        <v>891790</v>
      </c>
      <c r="BI12" s="70">
        <f t="shared" si="5"/>
        <v>891790</v>
      </c>
      <c r="BJ12" s="70">
        <f t="shared" si="5"/>
        <v>891790</v>
      </c>
      <c r="BK12" s="70">
        <f t="shared" si="5"/>
        <v>891790</v>
      </c>
      <c r="BL12" s="70">
        <f t="shared" si="5"/>
        <v>891790</v>
      </c>
      <c r="BM12" s="178">
        <f>SUM(AS12:BL12)</f>
        <v>17835800</v>
      </c>
    </row>
    <row r="13" spans="2:65" ht="14.25" customHeight="1">
      <c r="B13" s="65" t="s">
        <v>182</v>
      </c>
      <c r="C13" s="178">
        <f>600000/0.88+233432/0.61+58358/0.88</f>
        <v>1130809.5007451565</v>
      </c>
      <c r="D13" s="178">
        <f aca="true" t="shared" si="6" ref="D13:V13">600000/0.88+233432/0.61+58358/0.88</f>
        <v>1130809.5007451565</v>
      </c>
      <c r="E13" s="178">
        <f t="shared" si="6"/>
        <v>1130809.5007451565</v>
      </c>
      <c r="F13" s="178">
        <f t="shared" si="6"/>
        <v>1130809.5007451565</v>
      </c>
      <c r="G13" s="178">
        <f t="shared" si="6"/>
        <v>1130809.5007451565</v>
      </c>
      <c r="H13" s="178">
        <f t="shared" si="6"/>
        <v>1130809.5007451565</v>
      </c>
      <c r="I13" s="178">
        <f t="shared" si="6"/>
        <v>1130809.5007451565</v>
      </c>
      <c r="J13" s="178">
        <f t="shared" si="6"/>
        <v>1130809.5007451565</v>
      </c>
      <c r="K13" s="178">
        <f t="shared" si="6"/>
        <v>1130809.5007451565</v>
      </c>
      <c r="L13" s="178">
        <f t="shared" si="6"/>
        <v>1130809.5007451565</v>
      </c>
      <c r="M13" s="178">
        <f t="shared" si="6"/>
        <v>1130809.5007451565</v>
      </c>
      <c r="N13" s="178">
        <f t="shared" si="6"/>
        <v>1130809.5007451565</v>
      </c>
      <c r="O13" s="178">
        <f t="shared" si="6"/>
        <v>1130809.5007451565</v>
      </c>
      <c r="P13" s="178">
        <f t="shared" si="6"/>
        <v>1130809.5007451565</v>
      </c>
      <c r="Q13" s="178">
        <f t="shared" si="6"/>
        <v>1130809.5007451565</v>
      </c>
      <c r="R13" s="178">
        <f t="shared" si="6"/>
        <v>1130809.5007451565</v>
      </c>
      <c r="S13" s="178">
        <f t="shared" si="6"/>
        <v>1130809.5007451565</v>
      </c>
      <c r="T13" s="178">
        <f t="shared" si="6"/>
        <v>1130809.5007451565</v>
      </c>
      <c r="U13" s="178">
        <f t="shared" si="6"/>
        <v>1130809.5007451565</v>
      </c>
      <c r="V13" s="178">
        <f t="shared" si="6"/>
        <v>1130809.5007451565</v>
      </c>
      <c r="W13" s="178">
        <f>SUM(C13:V13)</f>
        <v>22616190.014903124</v>
      </c>
      <c r="X13" s="178">
        <f>600000/0.88+233432/0.61+58358/0.88</f>
        <v>1130809.5007451565</v>
      </c>
      <c r="Y13" s="178">
        <f aca="true" t="shared" si="7" ref="Y13:AQ13">600000/0.88+233432/0.61+58358/0.88</f>
        <v>1130809.5007451565</v>
      </c>
      <c r="Z13" s="178">
        <f t="shared" si="7"/>
        <v>1130809.5007451565</v>
      </c>
      <c r="AA13" s="178">
        <f t="shared" si="7"/>
        <v>1130809.5007451565</v>
      </c>
      <c r="AB13" s="178">
        <f t="shared" si="7"/>
        <v>1130809.5007451565</v>
      </c>
      <c r="AC13" s="178">
        <f t="shared" si="7"/>
        <v>1130809.5007451565</v>
      </c>
      <c r="AD13" s="178">
        <f t="shared" si="7"/>
        <v>1130809.5007451565</v>
      </c>
      <c r="AE13" s="178">
        <f t="shared" si="7"/>
        <v>1130809.5007451565</v>
      </c>
      <c r="AF13" s="178">
        <f t="shared" si="7"/>
        <v>1130809.5007451565</v>
      </c>
      <c r="AG13" s="178">
        <f t="shared" si="7"/>
        <v>1130809.5007451565</v>
      </c>
      <c r="AH13" s="178">
        <f t="shared" si="7"/>
        <v>1130809.5007451565</v>
      </c>
      <c r="AI13" s="178">
        <f t="shared" si="7"/>
        <v>1130809.5007451565</v>
      </c>
      <c r="AJ13" s="178">
        <f t="shared" si="7"/>
        <v>1130809.5007451565</v>
      </c>
      <c r="AK13" s="178">
        <f t="shared" si="7"/>
        <v>1130809.5007451565</v>
      </c>
      <c r="AL13" s="178">
        <f t="shared" si="7"/>
        <v>1130809.5007451565</v>
      </c>
      <c r="AM13" s="178">
        <f t="shared" si="7"/>
        <v>1130809.5007451565</v>
      </c>
      <c r="AN13" s="178">
        <f t="shared" si="7"/>
        <v>1130809.5007451565</v>
      </c>
      <c r="AO13" s="178">
        <f t="shared" si="7"/>
        <v>1130809.5007451565</v>
      </c>
      <c r="AP13" s="178">
        <f t="shared" si="7"/>
        <v>1130809.5007451565</v>
      </c>
      <c r="AQ13" s="178">
        <f t="shared" si="7"/>
        <v>1130809.5007451565</v>
      </c>
      <c r="AR13" s="178">
        <f>SUM(X13:AQ13)</f>
        <v>22616190.014903124</v>
      </c>
      <c r="AS13" s="178">
        <f>600000/0.88+233432/0.61+58358/0.88</f>
        <v>1130809.5007451565</v>
      </c>
      <c r="AT13" s="178">
        <f aca="true" t="shared" si="8" ref="AT13:BL13">600000/0.88+233432/0.61+58358/0.88</f>
        <v>1130809.5007451565</v>
      </c>
      <c r="AU13" s="178">
        <f t="shared" si="8"/>
        <v>1130809.5007451565</v>
      </c>
      <c r="AV13" s="178">
        <f t="shared" si="8"/>
        <v>1130809.5007451565</v>
      </c>
      <c r="AW13" s="178">
        <f t="shared" si="8"/>
        <v>1130809.5007451565</v>
      </c>
      <c r="AX13" s="178">
        <f t="shared" si="8"/>
        <v>1130809.5007451565</v>
      </c>
      <c r="AY13" s="178">
        <f t="shared" si="8"/>
        <v>1130809.5007451565</v>
      </c>
      <c r="AZ13" s="178">
        <f t="shared" si="8"/>
        <v>1130809.5007451565</v>
      </c>
      <c r="BA13" s="178">
        <f t="shared" si="8"/>
        <v>1130809.5007451565</v>
      </c>
      <c r="BB13" s="178">
        <f t="shared" si="8"/>
        <v>1130809.5007451565</v>
      </c>
      <c r="BC13" s="178">
        <f t="shared" si="8"/>
        <v>1130809.5007451565</v>
      </c>
      <c r="BD13" s="178">
        <f t="shared" si="8"/>
        <v>1130809.5007451565</v>
      </c>
      <c r="BE13" s="178">
        <f t="shared" si="8"/>
        <v>1130809.5007451565</v>
      </c>
      <c r="BF13" s="178">
        <f t="shared" si="8"/>
        <v>1130809.5007451565</v>
      </c>
      <c r="BG13" s="178">
        <f t="shared" si="8"/>
        <v>1130809.5007451565</v>
      </c>
      <c r="BH13" s="178">
        <f t="shared" si="8"/>
        <v>1130809.5007451565</v>
      </c>
      <c r="BI13" s="178">
        <f t="shared" si="8"/>
        <v>1130809.5007451565</v>
      </c>
      <c r="BJ13" s="178">
        <f t="shared" si="8"/>
        <v>1130809.5007451565</v>
      </c>
      <c r="BK13" s="178">
        <f t="shared" si="8"/>
        <v>1130809.5007451565</v>
      </c>
      <c r="BL13" s="178">
        <f t="shared" si="8"/>
        <v>1130809.5007451565</v>
      </c>
      <c r="BM13" s="178">
        <f>SUM(AS13:BL13)</f>
        <v>22616190.014903124</v>
      </c>
    </row>
    <row r="14" spans="2:65" ht="14.25" customHeight="1">
      <c r="B14" s="65"/>
      <c r="C14" s="93"/>
      <c r="D14" s="94"/>
      <c r="E14" s="94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93"/>
      <c r="Y14" s="94"/>
      <c r="Z14" s="94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3"/>
      <c r="AT14" s="94"/>
      <c r="AU14" s="94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</row>
    <row r="15" spans="2:65" ht="14.25" customHeight="1">
      <c r="B15" s="90" t="s">
        <v>95</v>
      </c>
      <c r="C15" s="95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5"/>
      <c r="Y15" s="96"/>
      <c r="Z15" s="96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5"/>
      <c r="AT15" s="96"/>
      <c r="AU15" s="96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</row>
    <row r="16" spans="2:65" ht="14.25" customHeight="1">
      <c r="B16" s="91"/>
      <c r="C16" s="93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3"/>
      <c r="Y16" s="98"/>
      <c r="Z16" s="98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3"/>
      <c r="AT16" s="98"/>
      <c r="AU16" s="98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</row>
    <row r="17" spans="2:65" ht="14.25" customHeight="1">
      <c r="B17" s="65" t="s">
        <v>91</v>
      </c>
      <c r="C17" s="100">
        <f>Trucking_Scenario!P38</f>
        <v>2496846.1875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4">
        <f>SUM(C17:V17)</f>
        <v>2496846.1875</v>
      </c>
      <c r="X17" s="100">
        <f>Conveying_Scenario!P47</f>
        <v>2317296.860625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4">
        <f>SUM(X17:AQ17)</f>
        <v>2317296.860625</v>
      </c>
      <c r="AS17" s="100">
        <f>Sluicing_Scenario!P48</f>
        <v>21758347.143749997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4">
        <f>SUM(AS17:BL17)</f>
        <v>21758347.143749997</v>
      </c>
    </row>
    <row r="18" spans="2:65" ht="14.25" customHeight="1">
      <c r="B18" s="65"/>
      <c r="C18" s="110">
        <f>C17</f>
        <v>2496846.1875</v>
      </c>
      <c r="D18" s="111">
        <f>D17+C18</f>
        <v>2496846.1875</v>
      </c>
      <c r="E18" s="111">
        <f aca="true" t="shared" si="9" ref="E18:V18">E17+D18</f>
        <v>2496846.1875</v>
      </c>
      <c r="F18" s="111">
        <f t="shared" si="9"/>
        <v>2496846.1875</v>
      </c>
      <c r="G18" s="111">
        <f t="shared" si="9"/>
        <v>2496846.1875</v>
      </c>
      <c r="H18" s="111">
        <f t="shared" si="9"/>
        <v>2496846.1875</v>
      </c>
      <c r="I18" s="111">
        <f t="shared" si="9"/>
        <v>2496846.1875</v>
      </c>
      <c r="J18" s="111">
        <f t="shared" si="9"/>
        <v>2496846.1875</v>
      </c>
      <c r="K18" s="111">
        <f t="shared" si="9"/>
        <v>2496846.1875</v>
      </c>
      <c r="L18" s="111">
        <f t="shared" si="9"/>
        <v>2496846.1875</v>
      </c>
      <c r="M18" s="111">
        <f t="shared" si="9"/>
        <v>2496846.1875</v>
      </c>
      <c r="N18" s="111">
        <f t="shared" si="9"/>
        <v>2496846.1875</v>
      </c>
      <c r="O18" s="111">
        <f t="shared" si="9"/>
        <v>2496846.1875</v>
      </c>
      <c r="P18" s="111">
        <f t="shared" si="9"/>
        <v>2496846.1875</v>
      </c>
      <c r="Q18" s="111">
        <f t="shared" si="9"/>
        <v>2496846.1875</v>
      </c>
      <c r="R18" s="111">
        <f t="shared" si="9"/>
        <v>2496846.1875</v>
      </c>
      <c r="S18" s="111">
        <f t="shared" si="9"/>
        <v>2496846.1875</v>
      </c>
      <c r="T18" s="111">
        <f t="shared" si="9"/>
        <v>2496846.1875</v>
      </c>
      <c r="U18" s="111">
        <f t="shared" si="9"/>
        <v>2496846.1875</v>
      </c>
      <c r="V18" s="111">
        <f t="shared" si="9"/>
        <v>2496846.1875</v>
      </c>
      <c r="W18" s="104"/>
      <c r="X18" s="110">
        <f>X17</f>
        <v>2317296.860625</v>
      </c>
      <c r="Y18" s="111">
        <f aca="true" t="shared" si="10" ref="Y18:AQ18">Y17+X18</f>
        <v>2317296.860625</v>
      </c>
      <c r="Z18" s="111">
        <f t="shared" si="10"/>
        <v>2317296.860625</v>
      </c>
      <c r="AA18" s="111">
        <f t="shared" si="10"/>
        <v>2317296.860625</v>
      </c>
      <c r="AB18" s="111">
        <f t="shared" si="10"/>
        <v>2317296.860625</v>
      </c>
      <c r="AC18" s="111">
        <f t="shared" si="10"/>
        <v>2317296.860625</v>
      </c>
      <c r="AD18" s="111">
        <f t="shared" si="10"/>
        <v>2317296.860625</v>
      </c>
      <c r="AE18" s="111">
        <f t="shared" si="10"/>
        <v>2317296.860625</v>
      </c>
      <c r="AF18" s="111">
        <f t="shared" si="10"/>
        <v>2317296.860625</v>
      </c>
      <c r="AG18" s="111">
        <f t="shared" si="10"/>
        <v>2317296.860625</v>
      </c>
      <c r="AH18" s="111">
        <f t="shared" si="10"/>
        <v>2317296.860625</v>
      </c>
      <c r="AI18" s="111">
        <f t="shared" si="10"/>
        <v>2317296.860625</v>
      </c>
      <c r="AJ18" s="111">
        <f t="shared" si="10"/>
        <v>2317296.860625</v>
      </c>
      <c r="AK18" s="111">
        <f t="shared" si="10"/>
        <v>2317296.860625</v>
      </c>
      <c r="AL18" s="111">
        <f t="shared" si="10"/>
        <v>2317296.860625</v>
      </c>
      <c r="AM18" s="111">
        <f t="shared" si="10"/>
        <v>2317296.860625</v>
      </c>
      <c r="AN18" s="111">
        <f t="shared" si="10"/>
        <v>2317296.860625</v>
      </c>
      <c r="AO18" s="111">
        <f t="shared" si="10"/>
        <v>2317296.860625</v>
      </c>
      <c r="AP18" s="111">
        <f t="shared" si="10"/>
        <v>2317296.860625</v>
      </c>
      <c r="AQ18" s="111">
        <f t="shared" si="10"/>
        <v>2317296.860625</v>
      </c>
      <c r="AR18" s="104"/>
      <c r="AS18" s="110">
        <f>AS17</f>
        <v>21758347.143749997</v>
      </c>
      <c r="AT18" s="111">
        <f aca="true" t="shared" si="11" ref="AT18:BL18">AT17+AS18</f>
        <v>21758347.143749997</v>
      </c>
      <c r="AU18" s="111">
        <f t="shared" si="11"/>
        <v>21758347.143749997</v>
      </c>
      <c r="AV18" s="111">
        <f t="shared" si="11"/>
        <v>21758347.143749997</v>
      </c>
      <c r="AW18" s="111">
        <f t="shared" si="11"/>
        <v>21758347.143749997</v>
      </c>
      <c r="AX18" s="111">
        <f t="shared" si="11"/>
        <v>21758347.143749997</v>
      </c>
      <c r="AY18" s="111">
        <f t="shared" si="11"/>
        <v>21758347.143749997</v>
      </c>
      <c r="AZ18" s="111">
        <f t="shared" si="11"/>
        <v>21758347.143749997</v>
      </c>
      <c r="BA18" s="111">
        <f t="shared" si="11"/>
        <v>21758347.143749997</v>
      </c>
      <c r="BB18" s="111">
        <f t="shared" si="11"/>
        <v>21758347.143749997</v>
      </c>
      <c r="BC18" s="111">
        <f t="shared" si="11"/>
        <v>21758347.143749997</v>
      </c>
      <c r="BD18" s="111">
        <f t="shared" si="11"/>
        <v>21758347.143749997</v>
      </c>
      <c r="BE18" s="111">
        <f t="shared" si="11"/>
        <v>21758347.143749997</v>
      </c>
      <c r="BF18" s="111">
        <f t="shared" si="11"/>
        <v>21758347.143749997</v>
      </c>
      <c r="BG18" s="111">
        <f t="shared" si="11"/>
        <v>21758347.143749997</v>
      </c>
      <c r="BH18" s="111">
        <f t="shared" si="11"/>
        <v>21758347.143749997</v>
      </c>
      <c r="BI18" s="111">
        <f t="shared" si="11"/>
        <v>21758347.143749997</v>
      </c>
      <c r="BJ18" s="111">
        <f t="shared" si="11"/>
        <v>21758347.143749997</v>
      </c>
      <c r="BK18" s="111">
        <f t="shared" si="11"/>
        <v>21758347.143749997</v>
      </c>
      <c r="BL18" s="111">
        <f t="shared" si="11"/>
        <v>21758347.143749997</v>
      </c>
      <c r="BM18" s="104"/>
    </row>
    <row r="19" spans="2:65" ht="14.25" customHeight="1">
      <c r="B19" s="65" t="s">
        <v>92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>
        <f>W17/W12</f>
        <v>0.13999070338869016</v>
      </c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>
        <f>AR17/AR12</f>
        <v>0.1299239092513372</v>
      </c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>
        <f>BM17/BM12</f>
        <v>1.2199254950016258</v>
      </c>
    </row>
    <row r="20" spans="2:65" ht="14.25" customHeight="1">
      <c r="B20" s="65" t="s">
        <v>188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>
        <f>W17/W13</f>
        <v>0.11040083169864963</v>
      </c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>
        <f>AR17/AR13</f>
        <v>0.10246185847828473</v>
      </c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>
        <f>BM17/BM13</f>
        <v>0.9620695231784026</v>
      </c>
    </row>
    <row r="21" spans="2:65" ht="14.25" customHeight="1">
      <c r="B21" s="65"/>
      <c r="C21" s="93"/>
      <c r="D21" s="94"/>
      <c r="E21" s="94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104"/>
      <c r="X21" s="93"/>
      <c r="Y21" s="94"/>
      <c r="Z21" s="94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104"/>
      <c r="AS21" s="93"/>
      <c r="AT21" s="94"/>
      <c r="AU21" s="94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104"/>
    </row>
    <row r="22" spans="2:65" ht="14.25" customHeight="1">
      <c r="B22" s="65" t="s">
        <v>96</v>
      </c>
      <c r="C22" s="100">
        <f>C17+Trucking_Scenario!P59+Trucking_Scenario!P87</f>
        <v>5141118.6375</v>
      </c>
      <c r="D22" s="100">
        <f>D17+Trucking_Scenario!$P60+Trucking_Scenario!$P88</f>
        <v>2710379.2612499995</v>
      </c>
      <c r="E22" s="100">
        <f>E17+Trucking_Scenario!P61+Trucking_Scenario!P89</f>
        <v>2778138.7427812493</v>
      </c>
      <c r="F22" s="100">
        <f>F17+Trucking_Scenario!P62+Trucking_Scenario!P90</f>
        <v>2847592.21135078</v>
      </c>
      <c r="G22" s="100">
        <f>G17+Trucking_Scenario!P63+Trucking_Scenario!P91</f>
        <v>2918782.0166345495</v>
      </c>
      <c r="H22" s="100">
        <f>H17+Trucking_Scenario!P64+Trucking_Scenario!P92</f>
        <v>2991751.5670504128</v>
      </c>
      <c r="I22" s="100">
        <f>I17+Trucking_Scenario!P65+Trucking_Scenario!P93</f>
        <v>3066545.356226673</v>
      </c>
      <c r="J22" s="100">
        <f>J17+Trucking_Scenario!P66+Trucking_Scenario!P94</f>
        <v>3143208.9901323393</v>
      </c>
      <c r="K22" s="100">
        <f>K17+Trucking_Scenario!P67+Trucking_Scenario!P95</f>
        <v>3221789.2148856474</v>
      </c>
      <c r="L22" s="100">
        <f>L17+Trucking_Scenario!P68+Trucking_Scenario!P96</f>
        <v>3302333.9452577885</v>
      </c>
      <c r="M22" s="100">
        <f>M17+Trucking_Scenario!P69+Trucking_Scenario!P97</f>
        <v>3384892.2938892334</v>
      </c>
      <c r="N22" s="100">
        <f>N17+Trucking_Scenario!P70+Trucking_Scenario!P98</f>
        <v>3469514.6012364635</v>
      </c>
      <c r="O22" s="100">
        <f>O17+Trucking_Scenario!P71+Trucking_Scenario!P99</f>
        <v>3556252.4662673753</v>
      </c>
      <c r="P22" s="100">
        <f>P17+Trucking_Scenario!P72+Trucking_Scenario!P100</f>
        <v>3645158.777924059</v>
      </c>
      <c r="Q22" s="100">
        <f>Q17+Trucking_Scenario!P73+Trucking_Scenario!P101</f>
        <v>3736287.74737216</v>
      </c>
      <c r="R22" s="100">
        <f>R17+Trucking_Scenario!P74+Trucking_Scenario!P102</f>
        <v>3829694.9410564634</v>
      </c>
      <c r="S22" s="100">
        <f>S17+Trucking_Scenario!P75+Trucking_Scenario!P103</f>
        <v>3925437.314582875</v>
      </c>
      <c r="T22" s="100">
        <f>T17+Trucking_Scenario!P76+Trucking_Scenario!P104</f>
        <v>4023573.2474474465</v>
      </c>
      <c r="U22" s="100">
        <f>U17+Trucking_Scenario!P77+Trucking_Scenario!P105</f>
        <v>4124162.5786336325</v>
      </c>
      <c r="V22" s="100">
        <f>V17+Trucking_Scenario!P78+Trucking_Scenario!P106</f>
        <v>4227266.643099473</v>
      </c>
      <c r="W22" s="104">
        <f>SUM(C22:V22)</f>
        <v>70043880.55457862</v>
      </c>
      <c r="X22" s="100">
        <f>X17+Conveying_Scenario!P74+Conveying_Scenario!P124</f>
        <v>4643569.660394999</v>
      </c>
      <c r="Y22" s="100">
        <f>Y17+Conveying_Scenario!P75+Conveying_Scenario!P125</f>
        <v>2384429.61976425</v>
      </c>
      <c r="Z22" s="100">
        <f>Z17+Conveying_Scenario!P76+Conveying_Scenario!P126</f>
        <v>2444040.3602583557</v>
      </c>
      <c r="AA22" s="100">
        <f>AA17+Conveying_Scenario!P77+Conveying_Scenario!P127</f>
        <v>2505141.369264814</v>
      </c>
      <c r="AB22" s="100">
        <f>AB17+Conveying_Scenario!P78+Conveying_Scenario!P128</f>
        <v>2567769.9034964344</v>
      </c>
      <c r="AC22" s="100">
        <f>AC17+Conveying_Scenario!P79+Conveying_Scenario!P129</f>
        <v>2631964.1510838447</v>
      </c>
      <c r="AD22" s="100">
        <f>AD17+Conveying_Scenario!P80+Conveying_Scenario!P130</f>
        <v>2697763.254860941</v>
      </c>
      <c r="AE22" s="100">
        <f>AE17+Conveying_Scenario!P81+Conveying_Scenario!P131</f>
        <v>2765207.3362324643</v>
      </c>
      <c r="AF22" s="100">
        <f>AF17+Conveying_Scenario!P82+Conveying_Scenario!P132</f>
        <v>2834337.5196382757</v>
      </c>
      <c r="AG22" s="100">
        <f>AG17+Conveying_Scenario!P83+Conveying_Scenario!P133</f>
        <v>2905195.957629232</v>
      </c>
      <c r="AH22" s="100">
        <f>AH17+Conveying_Scenario!P84+Conveying_Scenario!P134</f>
        <v>3721732.4944723453</v>
      </c>
      <c r="AI22" s="100">
        <f>AI17+Conveying_Scenario!P85+Conveying_Scenario!P135</f>
        <v>3052271.502984212</v>
      </c>
      <c r="AJ22" s="100">
        <f>AJ17+Conveying_Scenario!P86+Conveying_Scenario!P136</f>
        <v>3128578.290558817</v>
      </c>
      <c r="AK22" s="100">
        <f>AK17+Conveying_Scenario!P87+Conveying_Scenario!P137</f>
        <v>3206792.747822787</v>
      </c>
      <c r="AL22" s="100">
        <f>AL17+Conveying_Scenario!P88+Conveying_Scenario!P138</f>
        <v>3286962.5665183566</v>
      </c>
      <c r="AM22" s="100">
        <f>AM17+Conveying_Scenario!P89+Conveying_Scenario!P139</f>
        <v>3369136.6306813154</v>
      </c>
      <c r="AN22" s="100">
        <f>AN17+Conveying_Scenario!P90+Conveying_Scenario!P140</f>
        <v>3453365.046448348</v>
      </c>
      <c r="AO22" s="100">
        <f>AO17+Conveying_Scenario!P91+Conveying_Scenario!P141</f>
        <v>3539699.1726095565</v>
      </c>
      <c r="AP22" s="100">
        <f>AP17+Conveying_Scenario!P92+Conveying_Scenario!P142</f>
        <v>3628191.6519247955</v>
      </c>
      <c r="AQ22" s="100">
        <f>AQ17+Conveying_Scenario!P93+Conveying_Scenario!P143</f>
        <v>3718896.443222915</v>
      </c>
      <c r="AR22" s="104">
        <f>SUM(X22:AQ22)</f>
        <v>62485045.67986706</v>
      </c>
      <c r="AS22" s="100">
        <f>AS17+Sluicing_Scenario!P73+Sluicing_Scenario!P122</f>
        <v>24743743.406749997</v>
      </c>
      <c r="AT22" s="100">
        <f>AT17+Sluicing_Scenario!P74+Sluicing_Scenario!P123</f>
        <v>3060031.1695749993</v>
      </c>
      <c r="AU22" s="100">
        <f>AU17+Sluicing_Scenario!P75+Sluicing_Scenario!P124</f>
        <v>3136531.9488143744</v>
      </c>
      <c r="AV22" s="100">
        <f>AV17+Sluicing_Scenario!P76+Sluicing_Scenario!P125</f>
        <v>3214945.2475347333</v>
      </c>
      <c r="AW22" s="100">
        <f>AW17+Sluicing_Scenario!P77+Sluicing_Scenario!P126</f>
        <v>3295318.878723101</v>
      </c>
      <c r="AX22" s="100">
        <f>AX17+Sluicing_Scenario!P78+Sluicing_Scenario!P127</f>
        <v>3377701.8506911783</v>
      </c>
      <c r="AY22" s="100">
        <f>AY17+Sluicing_Scenario!P79+Sluicing_Scenario!P128</f>
        <v>3462144.396958458</v>
      </c>
      <c r="AZ22" s="100">
        <f>AZ17+Sluicing_Scenario!P80+Sluicing_Scenario!P129</f>
        <v>3548698.006882419</v>
      </c>
      <c r="BA22" s="100">
        <f>BA17+Sluicing_Scenario!P81+Sluicing_Scenario!P130</f>
        <v>3637415.457054479</v>
      </c>
      <c r="BB22" s="100">
        <f>BB17+Sluicing_Scenario!P82+Sluicing_Scenario!P131</f>
        <v>3728350.843480841</v>
      </c>
      <c r="BC22" s="100">
        <f>BC17+Sluicing_Scenario!P83+Sluicing_Scenario!P132</f>
        <v>7272262.238952434</v>
      </c>
      <c r="BD22" s="100">
        <f>BD17+Sluicing_Scenario!P84+Sluicing_Scenario!P133</f>
        <v>3917098.6049320577</v>
      </c>
      <c r="BE22" s="100">
        <f>BE17+Sluicing_Scenario!P85+Sluicing_Scenario!P134</f>
        <v>4015026.070055359</v>
      </c>
      <c r="BF22" s="100">
        <f>BF17+Sluicing_Scenario!P86+Sluicing_Scenario!P135</f>
        <v>4115401.7218067427</v>
      </c>
      <c r="BG22" s="100">
        <f>BG17+Sluicing_Scenario!P87+Sluicing_Scenario!P136</f>
        <v>4218286.764851911</v>
      </c>
      <c r="BH22" s="100">
        <f>BH17+Sluicing_Scenario!P88+Sluicing_Scenario!P137</f>
        <v>4323743.933973208</v>
      </c>
      <c r="BI22" s="100">
        <f>BI17+Sluicing_Scenario!P89+Sluicing_Scenario!P138</f>
        <v>4431837.532322538</v>
      </c>
      <c r="BJ22" s="100">
        <f>BJ17+Sluicing_Scenario!P90+Sluicing_Scenario!P139</f>
        <v>4542633.470630601</v>
      </c>
      <c r="BK22" s="100">
        <f>BK17+Sluicing_Scenario!P91+Sluicing_Scenario!P140</f>
        <v>4656199.307396365</v>
      </c>
      <c r="BL22" s="100">
        <f>BL17+Sluicing_Scenario!P92+Sluicing_Scenario!P141</f>
        <v>4772604.290081274</v>
      </c>
      <c r="BM22" s="104">
        <f>SUM(AS22:BL22)</f>
        <v>101469975.14146708</v>
      </c>
    </row>
    <row r="23" spans="2:65" ht="14.25" customHeight="1">
      <c r="B23" s="65"/>
      <c r="C23" s="110">
        <f>C22</f>
        <v>5141118.6375</v>
      </c>
      <c r="D23" s="111">
        <f>D22+C23</f>
        <v>7851497.89875</v>
      </c>
      <c r="E23" s="111">
        <f aca="true" t="shared" si="12" ref="E23:V23">E22+D23</f>
        <v>10629636.64153125</v>
      </c>
      <c r="F23" s="111">
        <f t="shared" si="12"/>
        <v>13477228.85288203</v>
      </c>
      <c r="G23" s="111">
        <f t="shared" si="12"/>
        <v>16396010.86951658</v>
      </c>
      <c r="H23" s="111">
        <f t="shared" si="12"/>
        <v>19387762.436566994</v>
      </c>
      <c r="I23" s="111">
        <f t="shared" si="12"/>
        <v>22454307.792793665</v>
      </c>
      <c r="J23" s="111">
        <f t="shared" si="12"/>
        <v>25597516.782926004</v>
      </c>
      <c r="K23" s="111">
        <f t="shared" si="12"/>
        <v>28819305.997811653</v>
      </c>
      <c r="L23" s="111">
        <f t="shared" si="12"/>
        <v>32121639.943069443</v>
      </c>
      <c r="M23" s="111">
        <f t="shared" si="12"/>
        <v>35506532.236958675</v>
      </c>
      <c r="N23" s="111">
        <f t="shared" si="12"/>
        <v>38976046.83819514</v>
      </c>
      <c r="O23" s="111">
        <f t="shared" si="12"/>
        <v>42532299.304462515</v>
      </c>
      <c r="P23" s="111">
        <f t="shared" si="12"/>
        <v>46177458.082386576</v>
      </c>
      <c r="Q23" s="111">
        <f t="shared" si="12"/>
        <v>49913745.82975873</v>
      </c>
      <c r="R23" s="111">
        <f t="shared" si="12"/>
        <v>53743440.77081519</v>
      </c>
      <c r="S23" s="111">
        <f t="shared" si="12"/>
        <v>57668878.08539807</v>
      </c>
      <c r="T23" s="111">
        <f t="shared" si="12"/>
        <v>61692451.33284552</v>
      </c>
      <c r="U23" s="111">
        <f t="shared" si="12"/>
        <v>65816613.911479145</v>
      </c>
      <c r="V23" s="111">
        <f t="shared" si="12"/>
        <v>70043880.55457862</v>
      </c>
      <c r="W23" s="104"/>
      <c r="X23" s="110">
        <f>X22</f>
        <v>4643569.660394999</v>
      </c>
      <c r="Y23" s="111">
        <f aca="true" t="shared" si="13" ref="Y23:AQ23">Y22+X23</f>
        <v>7027999.280159249</v>
      </c>
      <c r="Z23" s="111">
        <f t="shared" si="13"/>
        <v>9472039.640417606</v>
      </c>
      <c r="AA23" s="111">
        <f t="shared" si="13"/>
        <v>11977181.00968242</v>
      </c>
      <c r="AB23" s="111">
        <f t="shared" si="13"/>
        <v>14544950.913178856</v>
      </c>
      <c r="AC23" s="111">
        <f t="shared" si="13"/>
        <v>17176915.0642627</v>
      </c>
      <c r="AD23" s="111">
        <f t="shared" si="13"/>
        <v>19874678.31912364</v>
      </c>
      <c r="AE23" s="111">
        <f t="shared" si="13"/>
        <v>22639885.655356105</v>
      </c>
      <c r="AF23" s="111">
        <f t="shared" si="13"/>
        <v>25474223.17499438</v>
      </c>
      <c r="AG23" s="111">
        <f t="shared" si="13"/>
        <v>28379419.132623613</v>
      </c>
      <c r="AH23" s="111">
        <f t="shared" si="13"/>
        <v>32101151.62709596</v>
      </c>
      <c r="AI23" s="111">
        <f t="shared" si="13"/>
        <v>35153423.13008017</v>
      </c>
      <c r="AJ23" s="111">
        <f t="shared" si="13"/>
        <v>38282001.420638986</v>
      </c>
      <c r="AK23" s="111">
        <f t="shared" si="13"/>
        <v>41488794.16846177</v>
      </c>
      <c r="AL23" s="111">
        <f t="shared" si="13"/>
        <v>44775756.73498013</v>
      </c>
      <c r="AM23" s="111">
        <f t="shared" si="13"/>
        <v>48144893.36566144</v>
      </c>
      <c r="AN23" s="111">
        <f t="shared" si="13"/>
        <v>51598258.41210979</v>
      </c>
      <c r="AO23" s="111">
        <f t="shared" si="13"/>
        <v>55137957.584719345</v>
      </c>
      <c r="AP23" s="111">
        <f t="shared" si="13"/>
        <v>58766149.23664414</v>
      </c>
      <c r="AQ23" s="111">
        <f t="shared" si="13"/>
        <v>62485045.67986706</v>
      </c>
      <c r="AR23" s="104"/>
      <c r="AS23" s="110">
        <f>AS22</f>
        <v>24743743.406749997</v>
      </c>
      <c r="AT23" s="111">
        <f aca="true" t="shared" si="14" ref="AT23:BL23">AT22+AS23</f>
        <v>27803774.576324996</v>
      </c>
      <c r="AU23" s="111">
        <f t="shared" si="14"/>
        <v>30940306.52513937</v>
      </c>
      <c r="AV23" s="111">
        <f t="shared" si="14"/>
        <v>34155251.7726741</v>
      </c>
      <c r="AW23" s="111">
        <f t="shared" si="14"/>
        <v>37450570.6513972</v>
      </c>
      <c r="AX23" s="111">
        <f t="shared" si="14"/>
        <v>40828272.502088375</v>
      </c>
      <c r="AY23" s="111">
        <f t="shared" si="14"/>
        <v>44290416.89904683</v>
      </c>
      <c r="AZ23" s="111">
        <f t="shared" si="14"/>
        <v>47839114.90592925</v>
      </c>
      <c r="BA23" s="111">
        <f t="shared" si="14"/>
        <v>51476530.36298373</v>
      </c>
      <c r="BB23" s="111">
        <f t="shared" si="14"/>
        <v>55204881.206464574</v>
      </c>
      <c r="BC23" s="111">
        <f t="shared" si="14"/>
        <v>62477143.44541701</v>
      </c>
      <c r="BD23" s="111">
        <f t="shared" si="14"/>
        <v>66394242.050349064</v>
      </c>
      <c r="BE23" s="111">
        <f t="shared" si="14"/>
        <v>70409268.12040442</v>
      </c>
      <c r="BF23" s="111">
        <f t="shared" si="14"/>
        <v>74524669.84221117</v>
      </c>
      <c r="BG23" s="111">
        <f t="shared" si="14"/>
        <v>78742956.60706308</v>
      </c>
      <c r="BH23" s="111">
        <f t="shared" si="14"/>
        <v>83066700.5410363</v>
      </c>
      <c r="BI23" s="111">
        <f t="shared" si="14"/>
        <v>87498538.07335883</v>
      </c>
      <c r="BJ23" s="111">
        <f t="shared" si="14"/>
        <v>92041171.54398943</v>
      </c>
      <c r="BK23" s="111">
        <f t="shared" si="14"/>
        <v>96697370.8513858</v>
      </c>
      <c r="BL23" s="111">
        <f t="shared" si="14"/>
        <v>101469975.14146708</v>
      </c>
      <c r="BM23" s="104"/>
    </row>
    <row r="24" spans="2:65" ht="14.25" customHeight="1">
      <c r="B24" s="65" t="s">
        <v>93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>
        <f>W22/W12</f>
        <v>3.9271510419817792</v>
      </c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>
        <f>AR22/AR12</f>
        <v>3.5033497617077485</v>
      </c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>
        <f>BM22/BM12</f>
        <v>5.689118242045049</v>
      </c>
    </row>
    <row r="25" spans="2:65" ht="14.25" customHeight="1">
      <c r="B25" s="65" t="s">
        <v>189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>
        <f>W22/W13</f>
        <v>3.097068096280701</v>
      </c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>
        <f>AR22/AR13</f>
        <v>2.762845803766772</v>
      </c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>
        <f>BM22/BM13</f>
        <v>4.486607827162869</v>
      </c>
    </row>
    <row r="26" spans="2:65" ht="14.25" customHeight="1">
      <c r="B26" s="65"/>
      <c r="C26" s="93"/>
      <c r="D26" s="94"/>
      <c r="E26" s="94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104"/>
      <c r="X26" s="93"/>
      <c r="Y26" s="94"/>
      <c r="Z26" s="94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104"/>
      <c r="AS26" s="93"/>
      <c r="AT26" s="94"/>
      <c r="AU26" s="94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104"/>
    </row>
    <row r="27" spans="2:65" ht="14.25" customHeight="1">
      <c r="B27" s="90" t="s">
        <v>94</v>
      </c>
      <c r="C27" s="95"/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17"/>
      <c r="X27" s="95"/>
      <c r="Y27" s="96"/>
      <c r="Z27" s="96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117"/>
      <c r="AS27" s="95"/>
      <c r="AT27" s="96"/>
      <c r="AU27" s="96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117"/>
    </row>
    <row r="28" spans="2:65" ht="14.25" customHeight="1">
      <c r="B28" s="65"/>
      <c r="C28" s="93"/>
      <c r="D28" s="94"/>
      <c r="E28" s="94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104"/>
      <c r="X28" s="93"/>
      <c r="Y28" s="94"/>
      <c r="Z28" s="94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104"/>
      <c r="AS28" s="93"/>
      <c r="AT28" s="94"/>
      <c r="AU28" s="94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104"/>
    </row>
    <row r="29" spans="2:65" ht="14.25" customHeight="1">
      <c r="B29" s="65" t="s">
        <v>183</v>
      </c>
      <c r="C29" s="100">
        <f>Trucking_Scenario!R40</f>
        <v>2311894.6180555555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4">
        <f>SUM(C29:V29)</f>
        <v>2311894.6180555555</v>
      </c>
      <c r="X29" s="100">
        <f>Conveying_Scenario!R49</f>
        <v>2145645.2413194445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4">
        <f>SUM(X29:AQ29)</f>
        <v>2145645.2413194445</v>
      </c>
      <c r="AS29" s="100">
        <f>Sluicing_Scenario!R50</f>
        <v>20146617.72569444</v>
      </c>
      <c r="AT29" s="105">
        <v>0</v>
      </c>
      <c r="AU29" s="105">
        <v>0</v>
      </c>
      <c r="AV29" s="105">
        <v>0</v>
      </c>
      <c r="AW29" s="105">
        <v>0</v>
      </c>
      <c r="AX29" s="105">
        <v>0</v>
      </c>
      <c r="AY29" s="105">
        <v>0</v>
      </c>
      <c r="AZ29" s="105">
        <v>0</v>
      </c>
      <c r="BA29" s="105">
        <v>0</v>
      </c>
      <c r="BB29" s="105">
        <v>0</v>
      </c>
      <c r="BC29" s="105">
        <v>0</v>
      </c>
      <c r="BD29" s="105">
        <v>0</v>
      </c>
      <c r="BE29" s="105">
        <v>0</v>
      </c>
      <c r="BF29" s="105">
        <v>0</v>
      </c>
      <c r="BG29" s="105">
        <v>0</v>
      </c>
      <c r="BH29" s="105">
        <v>0</v>
      </c>
      <c r="BI29" s="105">
        <v>0</v>
      </c>
      <c r="BJ29" s="105">
        <v>0</v>
      </c>
      <c r="BK29" s="105">
        <v>0</v>
      </c>
      <c r="BL29" s="105">
        <v>0</v>
      </c>
      <c r="BM29" s="104">
        <f>SUM(AS29:BL29)</f>
        <v>20146617.72569444</v>
      </c>
    </row>
    <row r="30" spans="2:65" ht="14.25" customHeight="1">
      <c r="B30" s="65"/>
      <c r="C30" s="110">
        <f>C29</f>
        <v>2311894.6180555555</v>
      </c>
      <c r="D30" s="111">
        <f>D29+C30</f>
        <v>2311894.6180555555</v>
      </c>
      <c r="E30" s="111">
        <f aca="true" t="shared" si="15" ref="E30:V30">E29+D30</f>
        <v>2311894.6180555555</v>
      </c>
      <c r="F30" s="111">
        <f t="shared" si="15"/>
        <v>2311894.6180555555</v>
      </c>
      <c r="G30" s="111">
        <f t="shared" si="15"/>
        <v>2311894.6180555555</v>
      </c>
      <c r="H30" s="111">
        <f t="shared" si="15"/>
        <v>2311894.6180555555</v>
      </c>
      <c r="I30" s="111">
        <f t="shared" si="15"/>
        <v>2311894.6180555555</v>
      </c>
      <c r="J30" s="111">
        <f t="shared" si="15"/>
        <v>2311894.6180555555</v>
      </c>
      <c r="K30" s="111">
        <f t="shared" si="15"/>
        <v>2311894.6180555555</v>
      </c>
      <c r="L30" s="111">
        <f t="shared" si="15"/>
        <v>2311894.6180555555</v>
      </c>
      <c r="M30" s="111">
        <f t="shared" si="15"/>
        <v>2311894.6180555555</v>
      </c>
      <c r="N30" s="111">
        <f t="shared" si="15"/>
        <v>2311894.6180555555</v>
      </c>
      <c r="O30" s="111">
        <f t="shared" si="15"/>
        <v>2311894.6180555555</v>
      </c>
      <c r="P30" s="111">
        <f t="shared" si="15"/>
        <v>2311894.6180555555</v>
      </c>
      <c r="Q30" s="111">
        <f t="shared" si="15"/>
        <v>2311894.6180555555</v>
      </c>
      <c r="R30" s="111">
        <f t="shared" si="15"/>
        <v>2311894.6180555555</v>
      </c>
      <c r="S30" s="111">
        <f t="shared" si="15"/>
        <v>2311894.6180555555</v>
      </c>
      <c r="T30" s="111">
        <f t="shared" si="15"/>
        <v>2311894.6180555555</v>
      </c>
      <c r="U30" s="111">
        <f t="shared" si="15"/>
        <v>2311894.6180555555</v>
      </c>
      <c r="V30" s="111">
        <f t="shared" si="15"/>
        <v>2311894.6180555555</v>
      </c>
      <c r="W30" s="104"/>
      <c r="X30" s="110">
        <f>X29</f>
        <v>2145645.2413194445</v>
      </c>
      <c r="Y30" s="111">
        <f aca="true" t="shared" si="16" ref="Y30:AQ30">Y29+X30</f>
        <v>2145645.2413194445</v>
      </c>
      <c r="Z30" s="111">
        <f t="shared" si="16"/>
        <v>2145645.2413194445</v>
      </c>
      <c r="AA30" s="111">
        <f t="shared" si="16"/>
        <v>2145645.2413194445</v>
      </c>
      <c r="AB30" s="111">
        <f t="shared" si="16"/>
        <v>2145645.2413194445</v>
      </c>
      <c r="AC30" s="111">
        <f t="shared" si="16"/>
        <v>2145645.2413194445</v>
      </c>
      <c r="AD30" s="111">
        <f t="shared" si="16"/>
        <v>2145645.2413194445</v>
      </c>
      <c r="AE30" s="111">
        <f t="shared" si="16"/>
        <v>2145645.2413194445</v>
      </c>
      <c r="AF30" s="111">
        <f t="shared" si="16"/>
        <v>2145645.2413194445</v>
      </c>
      <c r="AG30" s="111">
        <f t="shared" si="16"/>
        <v>2145645.2413194445</v>
      </c>
      <c r="AH30" s="111">
        <f t="shared" si="16"/>
        <v>2145645.2413194445</v>
      </c>
      <c r="AI30" s="111">
        <f t="shared" si="16"/>
        <v>2145645.2413194445</v>
      </c>
      <c r="AJ30" s="111">
        <f t="shared" si="16"/>
        <v>2145645.2413194445</v>
      </c>
      <c r="AK30" s="111">
        <f t="shared" si="16"/>
        <v>2145645.2413194445</v>
      </c>
      <c r="AL30" s="111">
        <f t="shared" si="16"/>
        <v>2145645.2413194445</v>
      </c>
      <c r="AM30" s="111">
        <f t="shared" si="16"/>
        <v>2145645.2413194445</v>
      </c>
      <c r="AN30" s="111">
        <f t="shared" si="16"/>
        <v>2145645.2413194445</v>
      </c>
      <c r="AO30" s="111">
        <f t="shared" si="16"/>
        <v>2145645.2413194445</v>
      </c>
      <c r="AP30" s="111">
        <f t="shared" si="16"/>
        <v>2145645.2413194445</v>
      </c>
      <c r="AQ30" s="111">
        <f t="shared" si="16"/>
        <v>2145645.2413194445</v>
      </c>
      <c r="AR30" s="104"/>
      <c r="AS30" s="110">
        <f>AS29</f>
        <v>20146617.72569444</v>
      </c>
      <c r="AT30" s="111">
        <f aca="true" t="shared" si="17" ref="AT30:BL30">AT29+AS30</f>
        <v>20146617.72569444</v>
      </c>
      <c r="AU30" s="111">
        <f t="shared" si="17"/>
        <v>20146617.72569444</v>
      </c>
      <c r="AV30" s="111">
        <f t="shared" si="17"/>
        <v>20146617.72569444</v>
      </c>
      <c r="AW30" s="111">
        <f t="shared" si="17"/>
        <v>20146617.72569444</v>
      </c>
      <c r="AX30" s="111">
        <f t="shared" si="17"/>
        <v>20146617.72569444</v>
      </c>
      <c r="AY30" s="111">
        <f t="shared" si="17"/>
        <v>20146617.72569444</v>
      </c>
      <c r="AZ30" s="111">
        <f t="shared" si="17"/>
        <v>20146617.72569444</v>
      </c>
      <c r="BA30" s="111">
        <f t="shared" si="17"/>
        <v>20146617.72569444</v>
      </c>
      <c r="BB30" s="111">
        <f t="shared" si="17"/>
        <v>20146617.72569444</v>
      </c>
      <c r="BC30" s="111">
        <f t="shared" si="17"/>
        <v>20146617.72569444</v>
      </c>
      <c r="BD30" s="111">
        <f t="shared" si="17"/>
        <v>20146617.72569444</v>
      </c>
      <c r="BE30" s="111">
        <f t="shared" si="17"/>
        <v>20146617.72569444</v>
      </c>
      <c r="BF30" s="111">
        <f t="shared" si="17"/>
        <v>20146617.72569444</v>
      </c>
      <c r="BG30" s="111">
        <f t="shared" si="17"/>
        <v>20146617.72569444</v>
      </c>
      <c r="BH30" s="111">
        <f t="shared" si="17"/>
        <v>20146617.72569444</v>
      </c>
      <c r="BI30" s="111">
        <f t="shared" si="17"/>
        <v>20146617.72569444</v>
      </c>
      <c r="BJ30" s="111">
        <f t="shared" si="17"/>
        <v>20146617.72569444</v>
      </c>
      <c r="BK30" s="111">
        <f t="shared" si="17"/>
        <v>20146617.72569444</v>
      </c>
      <c r="BL30" s="111">
        <f t="shared" si="17"/>
        <v>20146617.72569444</v>
      </c>
      <c r="BM30" s="104"/>
    </row>
    <row r="31" spans="2:65" ht="14.25" customHeight="1">
      <c r="B31" s="65" t="s">
        <v>184</v>
      </c>
      <c r="C31" s="103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6">
        <f>W29/W12</f>
        <v>0.1296210216561946</v>
      </c>
      <c r="X31" s="103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6">
        <f>AR29/AR12</f>
        <v>0.12029991597346038</v>
      </c>
      <c r="AS31" s="103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6">
        <f>BM29/BM12</f>
        <v>1.1295606435200238</v>
      </c>
    </row>
    <row r="32" spans="2:65" ht="14.25" customHeight="1">
      <c r="B32" s="65" t="s">
        <v>190</v>
      </c>
      <c r="C32" s="103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6">
        <f>W29/W13</f>
        <v>0.10222299231356446</v>
      </c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>
        <f>AR29/AR13</f>
        <v>0.09487209118359696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>
        <f>BM29/BM13</f>
        <v>0.8908051140540764</v>
      </c>
    </row>
    <row r="33" spans="2:65" ht="14.25" customHeight="1">
      <c r="B33" s="65"/>
      <c r="C33" s="100"/>
      <c r="D33" s="105"/>
      <c r="E33" s="105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0"/>
      <c r="Y33" s="105"/>
      <c r="Z33" s="105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0"/>
      <c r="AT33" s="105"/>
      <c r="AU33" s="105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</row>
    <row r="34" spans="2:65" ht="14.25" customHeight="1">
      <c r="B34" s="65" t="s">
        <v>185</v>
      </c>
      <c r="C34" s="100">
        <f>C29+Trucking_Scenario!S59+Trucking_Scenario!S87</f>
        <v>4760295.034722222</v>
      </c>
      <c r="D34" s="100">
        <f>D29+Trucking_Scenario!S60+Trucking_Scenario!S88</f>
        <v>2323713.3584104935</v>
      </c>
      <c r="E34" s="100">
        <f>E29+Trucking_Scenario!S61+Trucking_Scenario!S89</f>
        <v>2205376.1040469958</v>
      </c>
      <c r="F34" s="100">
        <f>F29+Trucking_Scenario!S62+Trucking_Scenario!S90</f>
        <v>2093065.2839334907</v>
      </c>
      <c r="G34" s="100">
        <f>G29+Trucking_Scenario!S63+Trucking_Scenario!S91</f>
        <v>1986473.9963257664</v>
      </c>
      <c r="H34" s="100">
        <f>H29+Trucking_Scenario!S64+Trucking_Scenario!S92</f>
        <v>1885310.9687351019</v>
      </c>
      <c r="I34" s="100">
        <f>I29+Trucking_Scenario!S65+Trucking_Scenario!S93</f>
        <v>1789299.7619939626</v>
      </c>
      <c r="J34" s="100">
        <f>J29+Trucking_Scenario!S66+Trucking_Scenario!S94</f>
        <v>1698178.0148553809</v>
      </c>
      <c r="K34" s="100">
        <f>K29+Trucking_Scenario!S67+Trucking_Scenario!S95</f>
        <v>1611696.7270618195</v>
      </c>
      <c r="L34" s="100">
        <f>L29+Trucking_Scenario!S68+Trucking_Scenario!S96</f>
        <v>1529619.578924412</v>
      </c>
      <c r="M34" s="100">
        <f>M29+Trucking_Scenario!S69+Trucking_Scenario!S97</f>
        <v>1451722.2855532612</v>
      </c>
      <c r="N34" s="100">
        <f>N29+Trucking_Scenario!S70+Trucking_Scenario!S98</f>
        <v>1377791.9839741597</v>
      </c>
      <c r="O34" s="100">
        <f>O29+Trucking_Scenario!S71+Trucking_Scenario!S99</f>
        <v>1307626.651456957</v>
      </c>
      <c r="P34" s="100">
        <f>P29+Trucking_Scenario!S72+Trucking_Scenario!S100</f>
        <v>1241034.5534660933</v>
      </c>
      <c r="Q34" s="100">
        <f>Q29+Trucking_Scenario!S73+Trucking_Scenario!S101</f>
        <v>1177833.7197247639</v>
      </c>
      <c r="R34" s="100">
        <f>R29+Trucking_Scenario!S74+Trucking_Scenario!S102</f>
        <v>1117851.446961003</v>
      </c>
      <c r="S34" s="100">
        <f>S29+Trucking_Scenario!S75+Trucking_Scenario!S103</f>
        <v>1060923.8269768776</v>
      </c>
      <c r="T34" s="100">
        <f>T29+Trucking_Scenario!S76+Trucking_Scenario!S104</f>
        <v>1006895.2987512031</v>
      </c>
      <c r="U34" s="100">
        <f>U29+Trucking_Scenario!S77+Trucking_Scenario!S105</f>
        <v>955618.2233518362</v>
      </c>
      <c r="V34" s="100">
        <f>V29+Trucking_Scenario!S78+Trucking_Scenario!S106</f>
        <v>906952.4804959554</v>
      </c>
      <c r="W34" s="104">
        <f>SUM(C34:V34)</f>
        <v>33487279.29972175</v>
      </c>
      <c r="X34" s="100">
        <f>X29+Conveying_Scenario!S74+Conveying_Scenario!S124</f>
        <v>4299601.537402777</v>
      </c>
      <c r="Y34" s="100">
        <f>Y29+Conveying_Scenario!S75+Conveying_Scenario!S125</f>
        <v>2044264.0773013113</v>
      </c>
      <c r="Z34" s="100">
        <f>Z29+Conveying_Scenario!S76+Conveying_Scenario!S126</f>
        <v>1940158.036327633</v>
      </c>
      <c r="AA34" s="100">
        <f>AA29+Conveying_Scenario!S77+Conveying_Scenario!S127</f>
        <v>1841353.691885022</v>
      </c>
      <c r="AB34" s="100">
        <f>AB29+Conveying_Scenario!S78+Conveying_Scenario!S128</f>
        <v>1747581.0501686546</v>
      </c>
      <c r="AC34" s="100">
        <f>AC29+Conveying_Scenario!S79+Conveying_Scenario!S129</f>
        <v>1658583.8670582133</v>
      </c>
      <c r="AD34" s="100">
        <f>AD29+Conveying_Scenario!S80+Conveying_Scenario!S130</f>
        <v>1574118.947902471</v>
      </c>
      <c r="AE34" s="100">
        <f>AE29+Conveying_Scenario!S81+Conveying_Scenario!S131</f>
        <v>1493955.4829629932</v>
      </c>
      <c r="AF34" s="100">
        <f>AF29+Conveying_Scenario!S82+Conveying_Scenario!S132</f>
        <v>1417874.416700989</v>
      </c>
      <c r="AG34" s="100">
        <f>AG29+Conveying_Scenario!S83+Conveying_Scenario!S133</f>
        <v>1345667.8491838088</v>
      </c>
      <c r="AH34" s="100">
        <f>AH29+Conveying_Scenario!S84+Conveying_Scenario!S134</f>
        <v>1596187.2739192208</v>
      </c>
      <c r="AI34" s="100">
        <f>AI29+Conveying_Scenario!S85+Conveying_Scenario!S135</f>
        <v>1212099.0089581094</v>
      </c>
      <c r="AJ34" s="100">
        <f>AJ29+Conveying_Scenario!S86+Conveying_Scenario!S136</f>
        <v>1150371.7446130202</v>
      </c>
      <c r="AK34" s="100">
        <f>AK29+Conveying_Scenario!S87+Conveying_Scenario!S137</f>
        <v>1091787.9983595794</v>
      </c>
      <c r="AL34" s="100">
        <f>AL29+Conveying_Scenario!S88+Conveying_Scenario!S138</f>
        <v>1036187.6836283042</v>
      </c>
      <c r="AM34" s="100">
        <f>AM29+Conveying_Scenario!S89+Conveying_Scenario!S139</f>
        <v>983418.8664064924</v>
      </c>
      <c r="AN34" s="100">
        <f>AN29+Conveying_Scenario!S90+Conveying_Scenario!S140</f>
        <v>933337.3500617173</v>
      </c>
      <c r="AO34" s="100">
        <f>AO29+Conveying_Scenario!S91+Conveying_Scenario!S141</f>
        <v>885806.281308574</v>
      </c>
      <c r="AP34" s="100">
        <f>AP29+Conveying_Scenario!S92+Conveying_Scenario!S142</f>
        <v>840695.7762419337</v>
      </c>
      <c r="AQ34" s="100">
        <f>AQ29+Conveying_Scenario!S93+Conveying_Scenario!S143</f>
        <v>797882.5654147981</v>
      </c>
      <c r="AR34" s="104">
        <f>SUM(X34:AQ34)</f>
        <v>29890933.505805623</v>
      </c>
      <c r="AS34" s="100">
        <f>AS29+Sluicing_Scenario!S73+Sluicing_Scenario!S122</f>
        <v>22910873.524768513</v>
      </c>
      <c r="AT34" s="100">
        <f>AT29+Sluicing_Scenario!S74+Sluicing_Scenario!S123</f>
        <v>2623483.513010116</v>
      </c>
      <c r="AU34" s="100">
        <f>AU29+Sluicing_Scenario!S75+Sluicing_Scenario!S124</f>
        <v>2489880.1859586746</v>
      </c>
      <c r="AV34" s="100">
        <f>AV29+Sluicing_Scenario!S76+Sluicing_Scenario!S125</f>
        <v>2363080.732044112</v>
      </c>
      <c r="AW34" s="100">
        <f>AW29+Sluicing_Scenario!S77+Sluicing_Scenario!S126</f>
        <v>2242738.6577270506</v>
      </c>
      <c r="AX34" s="100">
        <f>AX29+Sluicing_Scenario!S78+Sluicing_Scenario!S127</f>
        <v>2128525.114972431</v>
      </c>
      <c r="AY34" s="100">
        <f>AY29+Sluicing_Scenario!S79+Sluicing_Scenario!S128</f>
        <v>2020128.0026358725</v>
      </c>
      <c r="AZ34" s="100">
        <f>AZ29+Sluicing_Scenario!S80+Sluicing_Scenario!S129</f>
        <v>1917251.1136127491</v>
      </c>
      <c r="BA34" s="100">
        <f>BA29+Sluicing_Scenario!S81+Sluicing_Scenario!S130</f>
        <v>1819613.325419507</v>
      </c>
      <c r="BB34" s="100">
        <f>BB29+Sluicing_Scenario!S82+Sluicing_Scenario!S131</f>
        <v>1726947.8319953652</v>
      </c>
      <c r="BC34" s="100">
        <f>BC29+Sluicing_Scenario!S83+Sluicing_Scenario!S132</f>
        <v>3118948.62289529</v>
      </c>
      <c r="BD34" s="100">
        <f>BD29+Sluicing_Scenario!S84+Sluicing_Scenario!S133</f>
        <v>1555533.7499915385</v>
      </c>
      <c r="BE34" s="100">
        <f>BE29+Sluicing_Scenario!S85+Sluicing_Scenario!S134</f>
        <v>1476316.7534641912</v>
      </c>
      <c r="BF34" s="100">
        <f>BF29+Sluicing_Scenario!S86+Sluicing_Scenario!S135</f>
        <v>1401133.9558340702</v>
      </c>
      <c r="BG34" s="100">
        <f>BG29+Sluicing_Scenario!S87+Sluicing_Scenario!S136</f>
        <v>1329779.9117869644</v>
      </c>
      <c r="BH34" s="100">
        <f>BH29+Sluicing_Scenario!S88+Sluicing_Scenario!S137</f>
        <v>1262059.6385015172</v>
      </c>
      <c r="BI34" s="100">
        <f>BI29+Sluicing_Scenario!S89+Sluicing_Scenario!S138</f>
        <v>1197788.082837088</v>
      </c>
      <c r="BJ34" s="100">
        <f>BJ29+Sluicing_Scenario!S90+Sluicing_Scenario!S139</f>
        <v>1136789.6156555691</v>
      </c>
      <c r="BK34" s="100">
        <f>BK29+Sluicing_Scenario!S91+Sluicing_Scenario!S140</f>
        <v>1078897.5518953318</v>
      </c>
      <c r="BL34" s="100">
        <f>BL29+Sluicing_Scenario!S92+Sluicing_Scenario!S141</f>
        <v>1023953.695085847</v>
      </c>
      <c r="BM34" s="104">
        <f>SUM(AS34:BL34)</f>
        <v>56823723.58009181</v>
      </c>
    </row>
    <row r="35" spans="2:65" ht="14.25" customHeight="1">
      <c r="B35" s="65"/>
      <c r="C35" s="110">
        <f>C34</f>
        <v>4760295.034722222</v>
      </c>
      <c r="D35" s="111">
        <f>D34+C35</f>
        <v>7084008.3931327155</v>
      </c>
      <c r="E35" s="111">
        <f aca="true" t="shared" si="18" ref="E35:V35">E34+D35</f>
        <v>9289384.497179711</v>
      </c>
      <c r="F35" s="111">
        <f t="shared" si="18"/>
        <v>11382449.781113202</v>
      </c>
      <c r="G35" s="111">
        <f t="shared" si="18"/>
        <v>13368923.777438968</v>
      </c>
      <c r="H35" s="111">
        <f t="shared" si="18"/>
        <v>15254234.746174071</v>
      </c>
      <c r="I35" s="111">
        <f t="shared" si="18"/>
        <v>17043534.508168034</v>
      </c>
      <c r="J35" s="111">
        <f t="shared" si="18"/>
        <v>18741712.523023415</v>
      </c>
      <c r="K35" s="111">
        <f t="shared" si="18"/>
        <v>20353409.250085235</v>
      </c>
      <c r="L35" s="111">
        <f t="shared" si="18"/>
        <v>21883028.829009645</v>
      </c>
      <c r="M35" s="111">
        <f t="shared" si="18"/>
        <v>23334751.114562906</v>
      </c>
      <c r="N35" s="111">
        <f t="shared" si="18"/>
        <v>24712543.098537065</v>
      </c>
      <c r="O35" s="111">
        <f t="shared" si="18"/>
        <v>26020169.74999402</v>
      </c>
      <c r="P35" s="111">
        <f t="shared" si="18"/>
        <v>27261204.303460114</v>
      </c>
      <c r="Q35" s="111">
        <f t="shared" si="18"/>
        <v>28439038.023184877</v>
      </c>
      <c r="R35" s="111">
        <f t="shared" si="18"/>
        <v>29556889.47014588</v>
      </c>
      <c r="S35" s="111">
        <f t="shared" si="18"/>
        <v>30617813.297122758</v>
      </c>
      <c r="T35" s="111">
        <f t="shared" si="18"/>
        <v>31624708.59587396</v>
      </c>
      <c r="U35" s="111">
        <f t="shared" si="18"/>
        <v>32580326.819225796</v>
      </c>
      <c r="V35" s="111">
        <f t="shared" si="18"/>
        <v>33487279.29972175</v>
      </c>
      <c r="W35" s="104"/>
      <c r="X35" s="110">
        <f>X34</f>
        <v>4299601.537402777</v>
      </c>
      <c r="Y35" s="111">
        <f aca="true" t="shared" si="19" ref="Y35:AQ35">Y34+X35</f>
        <v>6343865.614704088</v>
      </c>
      <c r="Z35" s="111">
        <f t="shared" si="19"/>
        <v>8284023.651031721</v>
      </c>
      <c r="AA35" s="111">
        <f t="shared" si="19"/>
        <v>10125377.342916744</v>
      </c>
      <c r="AB35" s="111">
        <f t="shared" si="19"/>
        <v>11872958.393085398</v>
      </c>
      <c r="AC35" s="111">
        <f t="shared" si="19"/>
        <v>13531542.260143612</v>
      </c>
      <c r="AD35" s="111">
        <f t="shared" si="19"/>
        <v>15105661.208046082</v>
      </c>
      <c r="AE35" s="111">
        <f t="shared" si="19"/>
        <v>16599616.691009076</v>
      </c>
      <c r="AF35" s="111">
        <f t="shared" si="19"/>
        <v>18017491.107710063</v>
      </c>
      <c r="AG35" s="111">
        <f t="shared" si="19"/>
        <v>19363158.956893872</v>
      </c>
      <c r="AH35" s="111">
        <f t="shared" si="19"/>
        <v>20959346.230813093</v>
      </c>
      <c r="AI35" s="111">
        <f t="shared" si="19"/>
        <v>22171445.239771202</v>
      </c>
      <c r="AJ35" s="111">
        <f t="shared" si="19"/>
        <v>23321816.984384224</v>
      </c>
      <c r="AK35" s="111">
        <f t="shared" si="19"/>
        <v>24413604.982743803</v>
      </c>
      <c r="AL35" s="111">
        <f t="shared" si="19"/>
        <v>25449792.66637211</v>
      </c>
      <c r="AM35" s="111">
        <f t="shared" si="19"/>
        <v>26433211.532778602</v>
      </c>
      <c r="AN35" s="111">
        <f t="shared" si="19"/>
        <v>27366548.88284032</v>
      </c>
      <c r="AO35" s="111">
        <f t="shared" si="19"/>
        <v>28252355.164148893</v>
      </c>
      <c r="AP35" s="111">
        <f t="shared" si="19"/>
        <v>29093050.940390825</v>
      </c>
      <c r="AQ35" s="111">
        <f t="shared" si="19"/>
        <v>29890933.505805623</v>
      </c>
      <c r="AR35" s="104"/>
      <c r="AS35" s="110">
        <f>AS34</f>
        <v>22910873.524768513</v>
      </c>
      <c r="AT35" s="111">
        <f aca="true" t="shared" si="20" ref="AT35:BL35">AT34+AS35</f>
        <v>25534357.037778627</v>
      </c>
      <c r="AU35" s="111">
        <f t="shared" si="20"/>
        <v>28024237.223737303</v>
      </c>
      <c r="AV35" s="111">
        <f t="shared" si="20"/>
        <v>30387317.955781415</v>
      </c>
      <c r="AW35" s="111">
        <f t="shared" si="20"/>
        <v>32630056.613508467</v>
      </c>
      <c r="AX35" s="111">
        <f t="shared" si="20"/>
        <v>34758581.7284809</v>
      </c>
      <c r="AY35" s="111">
        <f t="shared" si="20"/>
        <v>36778709.73111677</v>
      </c>
      <c r="AZ35" s="111">
        <f t="shared" si="20"/>
        <v>38695960.84472952</v>
      </c>
      <c r="BA35" s="111">
        <f t="shared" si="20"/>
        <v>40515574.17014903</v>
      </c>
      <c r="BB35" s="111">
        <f t="shared" si="20"/>
        <v>42242522.0021444</v>
      </c>
      <c r="BC35" s="111">
        <f t="shared" si="20"/>
        <v>45361470.62503969</v>
      </c>
      <c r="BD35" s="111">
        <f t="shared" si="20"/>
        <v>46917004.375031225</v>
      </c>
      <c r="BE35" s="111">
        <f t="shared" si="20"/>
        <v>48393321.12849542</v>
      </c>
      <c r="BF35" s="111">
        <f t="shared" si="20"/>
        <v>49794455.084329486</v>
      </c>
      <c r="BG35" s="111">
        <f t="shared" si="20"/>
        <v>51124234.99611645</v>
      </c>
      <c r="BH35" s="111">
        <f t="shared" si="20"/>
        <v>52386294.63461797</v>
      </c>
      <c r="BI35" s="111">
        <f t="shared" si="20"/>
        <v>53584082.71745506</v>
      </c>
      <c r="BJ35" s="111">
        <f t="shared" si="20"/>
        <v>54720872.33311063</v>
      </c>
      <c r="BK35" s="111">
        <f t="shared" si="20"/>
        <v>55799769.885005966</v>
      </c>
      <c r="BL35" s="111">
        <f t="shared" si="20"/>
        <v>56823723.58009181</v>
      </c>
      <c r="BM35" s="104"/>
    </row>
    <row r="36" spans="2:65" ht="14.25" customHeight="1">
      <c r="B36" s="65" t="s">
        <v>186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>
        <f>W34/W12</f>
        <v>1.8775316666323771</v>
      </c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>
        <f>AR34/AR12</f>
        <v>1.6758953063953186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>
        <f>BM34/BM12</f>
        <v>3.1859363516125887</v>
      </c>
    </row>
    <row r="37" spans="2:65" ht="14.25" customHeight="1">
      <c r="B37" s="65" t="s">
        <v>191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6">
        <f>W34/W13</f>
        <v>1.4806773058439566</v>
      </c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>
        <f>AR34/AR13</f>
        <v>1.3216608759525255</v>
      </c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>
        <f>BM34/BM13</f>
        <v>2.5125241494101065</v>
      </c>
    </row>
    <row r="38" spans="3:45" ht="14.25" customHeight="1">
      <c r="C38" s="33"/>
      <c r="X38" s="33"/>
      <c r="AS38" s="33"/>
    </row>
  </sheetData>
  <sheetProtection/>
  <mergeCells count="5">
    <mergeCell ref="B6:BM6"/>
    <mergeCell ref="B1:BM1"/>
    <mergeCell ref="B2:BM2"/>
    <mergeCell ref="B3:BM3"/>
    <mergeCell ref="B5:BM5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zoomScaleSheetLayoutView="85" zoomScalePageLayoutView="0" workbookViewId="0" topLeftCell="A61">
      <selection activeCell="F26" sqref="F26"/>
    </sheetView>
  </sheetViews>
  <sheetFormatPr defaultColWidth="9.140625" defaultRowHeight="12.75"/>
  <cols>
    <col min="1" max="1" width="2.7109375" style="6" customWidth="1"/>
    <col min="2" max="3" width="2.7109375" style="0" customWidth="1"/>
    <col min="4" max="7" width="12.7109375" style="0" customWidth="1"/>
    <col min="8" max="8" width="5.7109375" style="4" customWidth="1"/>
    <col min="9" max="9" width="1.28515625" style="4" customWidth="1"/>
    <col min="10" max="10" width="14.00390625" style="18" customWidth="1"/>
    <col min="11" max="11" width="1.28515625" style="17" customWidth="1"/>
    <col min="12" max="12" width="16.7109375" style="38" customWidth="1"/>
    <col min="13" max="13" width="1.28515625" style="6" customWidth="1"/>
    <col min="14" max="14" width="15.7109375" style="6" customWidth="1"/>
    <col min="15" max="15" width="1.7109375" style="6" customWidth="1"/>
    <col min="16" max="16" width="20.7109375" style="0" customWidth="1"/>
    <col min="17" max="17" width="1.7109375" style="0" customWidth="1"/>
    <col min="18" max="19" width="20.7109375" style="0" customWidth="1"/>
    <col min="20" max="23" width="12.7109375" style="0" customWidth="1"/>
    <col min="26" max="26" width="9.28125" style="0" bestFit="1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2:5" s="62" customFormat="1" ht="18" customHeight="1">
      <c r="B7" s="102"/>
      <c r="C7" s="5"/>
      <c r="D7" s="5"/>
      <c r="E7" s="5"/>
    </row>
    <row r="8" spans="1:18" ht="18" customHeight="1">
      <c r="A8" s="191" t="s">
        <v>227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6:17" ht="14.25">
      <c r="P9" s="1"/>
      <c r="Q9" s="1"/>
    </row>
    <row r="10" spans="1:17" ht="14.25" customHeight="1">
      <c r="A10" s="4"/>
      <c r="B10" s="5"/>
      <c r="C10" s="5"/>
      <c r="D10" s="5"/>
      <c r="E10" s="5"/>
      <c r="F10" s="5"/>
      <c r="G10" s="5"/>
      <c r="J10" s="185" t="s">
        <v>2</v>
      </c>
      <c r="L10" s="187" t="s">
        <v>62</v>
      </c>
      <c r="N10" s="189" t="s">
        <v>63</v>
      </c>
      <c r="O10" s="7"/>
      <c r="P10" s="36"/>
      <c r="Q10" s="36"/>
    </row>
    <row r="11" spans="2:17" ht="14.25">
      <c r="B11" s="5"/>
      <c r="C11" s="5"/>
      <c r="D11" s="5"/>
      <c r="E11" s="5"/>
      <c r="F11" s="5"/>
      <c r="G11" s="5"/>
      <c r="H11" s="189" t="s">
        <v>1</v>
      </c>
      <c r="I11" s="7"/>
      <c r="J11" s="185"/>
      <c r="K11" s="25"/>
      <c r="L11" s="187"/>
      <c r="M11" s="7"/>
      <c r="N11" s="189"/>
      <c r="O11" s="7"/>
      <c r="P11" s="36"/>
      <c r="Q11" s="36"/>
    </row>
    <row r="12" spans="1:15" ht="14.25">
      <c r="A12" s="13"/>
      <c r="B12" s="184" t="s">
        <v>0</v>
      </c>
      <c r="C12" s="184"/>
      <c r="D12" s="184"/>
      <c r="E12" s="184"/>
      <c r="F12" s="184"/>
      <c r="G12" s="184"/>
      <c r="H12" s="190"/>
      <c r="I12" s="8"/>
      <c r="J12" s="186"/>
      <c r="K12" s="26"/>
      <c r="L12" s="188"/>
      <c r="M12" s="8"/>
      <c r="N12" s="190"/>
      <c r="O12" s="7"/>
    </row>
    <row r="13" spans="2:15" ht="14.25">
      <c r="B13" s="6"/>
      <c r="C13" s="6"/>
      <c r="D13" s="6"/>
      <c r="E13" s="6"/>
      <c r="F13" s="6"/>
      <c r="G13" s="6"/>
      <c r="J13" s="23"/>
      <c r="K13" s="20"/>
      <c r="M13" s="3"/>
      <c r="N13" s="3"/>
      <c r="O13" s="3"/>
    </row>
    <row r="14" spans="1:15" ht="14.25">
      <c r="A14" s="6" t="s">
        <v>4</v>
      </c>
      <c r="B14" s="6" t="s">
        <v>13</v>
      </c>
      <c r="C14" s="6"/>
      <c r="D14" s="6"/>
      <c r="E14" s="6"/>
      <c r="F14" s="6"/>
      <c r="G14" s="6"/>
      <c r="J14" s="23"/>
      <c r="K14" s="20"/>
      <c r="M14" s="3"/>
      <c r="N14" s="3"/>
      <c r="O14" s="3"/>
    </row>
    <row r="15" spans="2:23" ht="14.25">
      <c r="B15" s="84" t="s">
        <v>65</v>
      </c>
      <c r="C15" s="6" t="s">
        <v>138</v>
      </c>
      <c r="D15" s="6"/>
      <c r="E15" s="6"/>
      <c r="F15" s="6"/>
      <c r="G15" s="6"/>
      <c r="H15" s="4" t="s">
        <v>8</v>
      </c>
      <c r="J15" s="21">
        <v>0</v>
      </c>
      <c r="K15" s="20"/>
      <c r="L15" s="41">
        <v>5000</v>
      </c>
      <c r="M15" s="39"/>
      <c r="N15" s="32">
        <f>J15*L15</f>
        <v>0</v>
      </c>
      <c r="O15" s="51"/>
      <c r="P15" s="35"/>
      <c r="Q15" s="35"/>
      <c r="R15" s="35"/>
      <c r="S15" s="35"/>
      <c r="T15" s="35"/>
      <c r="U15" s="35"/>
      <c r="V15" s="35"/>
      <c r="W15" s="50"/>
    </row>
    <row r="16" spans="2:23" ht="14.25">
      <c r="B16" s="84" t="s">
        <v>66</v>
      </c>
      <c r="C16" s="6" t="s">
        <v>139</v>
      </c>
      <c r="D16" s="6"/>
      <c r="E16" s="6"/>
      <c r="F16" s="6"/>
      <c r="G16" s="6"/>
      <c r="H16" s="4" t="s">
        <v>3</v>
      </c>
      <c r="J16" s="29"/>
      <c r="K16" s="20"/>
      <c r="L16" s="41"/>
      <c r="M16" s="39"/>
      <c r="N16" s="32">
        <f>J16*L16</f>
        <v>0</v>
      </c>
      <c r="O16" s="51"/>
      <c r="P16" s="35"/>
      <c r="Q16" s="35"/>
      <c r="R16" s="35"/>
      <c r="S16" s="35"/>
      <c r="T16" s="35"/>
      <c r="U16" s="35"/>
      <c r="V16" s="35"/>
      <c r="W16" s="50"/>
    </row>
    <row r="17" spans="2:23" ht="14.25">
      <c r="B17" s="6"/>
      <c r="C17" s="6"/>
      <c r="D17" s="6"/>
      <c r="E17" s="6"/>
      <c r="F17" s="6"/>
      <c r="G17" s="6"/>
      <c r="J17" s="23"/>
      <c r="K17" s="20"/>
      <c r="M17" s="3"/>
      <c r="N17" s="3"/>
      <c r="O17" s="3"/>
      <c r="W17" s="50"/>
    </row>
    <row r="18" spans="1:23" ht="14.25">
      <c r="A18" s="6" t="s">
        <v>9</v>
      </c>
      <c r="B18" s="6" t="s">
        <v>240</v>
      </c>
      <c r="C18" s="6"/>
      <c r="D18" s="6"/>
      <c r="E18" s="6"/>
      <c r="F18" s="6"/>
      <c r="G18" s="6"/>
      <c r="H18" s="4" t="s">
        <v>3</v>
      </c>
      <c r="J18" s="21">
        <v>1</v>
      </c>
      <c r="K18" s="20"/>
      <c r="L18" s="40">
        <f>S18</f>
        <v>92798</v>
      </c>
      <c r="M18" s="31"/>
      <c r="N18" s="32">
        <f>J18*L18</f>
        <v>92798</v>
      </c>
      <c r="O18" s="33"/>
      <c r="P18" s="88" t="s">
        <v>241</v>
      </c>
      <c r="Q18" s="10"/>
      <c r="S18" s="10">
        <f>0.05*(SUM(N21:N30))</f>
        <v>92798</v>
      </c>
      <c r="T18" s="15"/>
      <c r="W18" s="50"/>
    </row>
    <row r="19" spans="2:23" ht="14.25">
      <c r="B19" s="6"/>
      <c r="C19" s="6"/>
      <c r="D19" s="6"/>
      <c r="E19" s="6"/>
      <c r="F19" s="6"/>
      <c r="G19" s="6"/>
      <c r="J19" s="23"/>
      <c r="K19" s="20"/>
      <c r="M19" s="31"/>
      <c r="N19" s="31"/>
      <c r="O19" s="31"/>
      <c r="S19" s="16"/>
      <c r="T19" s="15"/>
      <c r="W19" s="50"/>
    </row>
    <row r="20" spans="1:23" ht="14.25">
      <c r="A20" s="6" t="s">
        <v>5</v>
      </c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39"/>
      <c r="M20" s="31"/>
      <c r="N20" s="31"/>
      <c r="O20" s="31"/>
      <c r="S20" s="15"/>
      <c r="T20" s="15"/>
      <c r="W20" s="50"/>
    </row>
    <row r="21" spans="2:23" ht="14.25">
      <c r="B21" s="84" t="s">
        <v>65</v>
      </c>
      <c r="C21" s="6" t="s">
        <v>136</v>
      </c>
      <c r="D21" s="6"/>
      <c r="E21" s="6"/>
      <c r="F21" s="6"/>
      <c r="G21" s="6"/>
      <c r="H21" s="4" t="s">
        <v>8</v>
      </c>
      <c r="J21" s="28">
        <v>0</v>
      </c>
      <c r="K21" s="20"/>
      <c r="L21" s="41">
        <v>5500</v>
      </c>
      <c r="M21" s="31"/>
      <c r="N21" s="32">
        <f>J21*L21</f>
        <v>0</v>
      </c>
      <c r="O21" s="33"/>
      <c r="P21" s="35"/>
      <c r="Q21" s="35"/>
      <c r="R21" s="35"/>
      <c r="S21" s="35"/>
      <c r="T21" s="35"/>
      <c r="U21" s="35"/>
      <c r="V21" s="35"/>
      <c r="W21" s="50"/>
    </row>
    <row r="22" spans="2:27" ht="14.25">
      <c r="B22" s="84" t="s">
        <v>66</v>
      </c>
      <c r="C22" s="6" t="s">
        <v>137</v>
      </c>
      <c r="D22" s="6"/>
      <c r="E22" s="6"/>
      <c r="F22" s="6"/>
      <c r="G22" s="6"/>
      <c r="H22" s="12"/>
      <c r="I22" s="12"/>
      <c r="J22" s="22"/>
      <c r="K22" s="19"/>
      <c r="L22" s="51"/>
      <c r="M22" s="33"/>
      <c r="N22" s="33"/>
      <c r="O22" s="33"/>
      <c r="R22" s="79"/>
      <c r="U22" s="35"/>
      <c r="Z22" s="182" t="s">
        <v>58</v>
      </c>
      <c r="AA22" s="182"/>
    </row>
    <row r="23" spans="2:27" ht="14.25">
      <c r="B23" s="6"/>
      <c r="C23" s="6" t="s">
        <v>117</v>
      </c>
      <c r="D23" s="6" t="s">
        <v>118</v>
      </c>
      <c r="E23" s="6"/>
      <c r="F23" s="6"/>
      <c r="G23" s="6"/>
      <c r="H23" s="12" t="s">
        <v>60</v>
      </c>
      <c r="I23" s="12"/>
      <c r="J23" s="21">
        <f>Z23*5280*Z26/9</f>
        <v>106480</v>
      </c>
      <c r="K23" s="19"/>
      <c r="L23" s="41">
        <v>0.75</v>
      </c>
      <c r="M23" s="31"/>
      <c r="N23" s="32">
        <f aca="true" t="shared" si="0" ref="N23:N30">J23*L23</f>
        <v>79860</v>
      </c>
      <c r="O23" s="33"/>
      <c r="R23" s="79"/>
      <c r="S23" s="89" t="s">
        <v>86</v>
      </c>
      <c r="U23" s="35"/>
      <c r="Z23" s="81">
        <v>3.3</v>
      </c>
      <c r="AA23" s="80" t="s">
        <v>56</v>
      </c>
    </row>
    <row r="24" spans="2:27" ht="14.25">
      <c r="B24" s="6"/>
      <c r="C24" s="6" t="s">
        <v>119</v>
      </c>
      <c r="D24" s="6" t="s">
        <v>120</v>
      </c>
      <c r="E24" s="6"/>
      <c r="F24" s="6"/>
      <c r="G24" s="6"/>
      <c r="H24" s="12" t="s">
        <v>7</v>
      </c>
      <c r="I24" s="12"/>
      <c r="J24" s="21">
        <v>0</v>
      </c>
      <c r="K24" s="19"/>
      <c r="L24" s="41">
        <v>4</v>
      </c>
      <c r="M24" s="31"/>
      <c r="N24" s="32">
        <f t="shared" si="0"/>
        <v>0</v>
      </c>
      <c r="O24" s="33"/>
      <c r="R24" s="79"/>
      <c r="S24" s="89"/>
      <c r="U24" s="35"/>
      <c r="Z24" s="81"/>
      <c r="AA24" s="80"/>
    </row>
    <row r="25" spans="2:27" ht="14.25">
      <c r="B25" s="6"/>
      <c r="C25" s="6" t="s">
        <v>121</v>
      </c>
      <c r="D25" s="6" t="s">
        <v>122</v>
      </c>
      <c r="E25" s="6"/>
      <c r="F25" s="6"/>
      <c r="G25" s="6"/>
      <c r="H25" s="12" t="s">
        <v>60</v>
      </c>
      <c r="I25" s="12"/>
      <c r="J25" s="21">
        <f>Z23*5280*Z26/9</f>
        <v>106480</v>
      </c>
      <c r="K25" s="19"/>
      <c r="L25" s="41">
        <v>0.75</v>
      </c>
      <c r="M25" s="31"/>
      <c r="N25" s="32">
        <f t="shared" si="0"/>
        <v>79860</v>
      </c>
      <c r="O25" s="33"/>
      <c r="R25" s="79"/>
      <c r="S25" s="89" t="s">
        <v>85</v>
      </c>
      <c r="U25" s="35"/>
      <c r="Z25" s="183" t="s">
        <v>59</v>
      </c>
      <c r="AA25" s="183"/>
    </row>
    <row r="26" spans="2:27" ht="14.25">
      <c r="B26" s="6"/>
      <c r="C26" s="86" t="s">
        <v>123</v>
      </c>
      <c r="D26" s="86" t="s">
        <v>140</v>
      </c>
      <c r="H26" s="4" t="s">
        <v>60</v>
      </c>
      <c r="J26" s="21">
        <f>Z23*5280*Z26/9</f>
        <v>106480</v>
      </c>
      <c r="K26" s="19"/>
      <c r="L26" s="41">
        <v>1.25</v>
      </c>
      <c r="M26" s="31"/>
      <c r="N26" s="32">
        <f t="shared" si="0"/>
        <v>133100</v>
      </c>
      <c r="O26" s="33"/>
      <c r="P26" s="35"/>
      <c r="Q26" s="35"/>
      <c r="R26" s="35"/>
      <c r="S26" s="89" t="s">
        <v>87</v>
      </c>
      <c r="U26" s="35"/>
      <c r="Z26" s="82">
        <v>55</v>
      </c>
      <c r="AA26" s="80" t="s">
        <v>57</v>
      </c>
    </row>
    <row r="27" spans="2:21" ht="14.25">
      <c r="B27" s="6"/>
      <c r="C27" s="6" t="s">
        <v>141</v>
      </c>
      <c r="D27" s="6" t="s">
        <v>125</v>
      </c>
      <c r="E27" s="6"/>
      <c r="F27" s="6"/>
      <c r="G27" s="6"/>
      <c r="H27" s="12" t="s">
        <v>7</v>
      </c>
      <c r="I27" s="12"/>
      <c r="J27" s="21">
        <f>Z23*5280*Z26*12/12/27+Z23*5280*Z26*6/12/27</f>
        <v>53240</v>
      </c>
      <c r="K27" s="19"/>
      <c r="L27" s="66">
        <v>21.5</v>
      </c>
      <c r="M27" s="33"/>
      <c r="N27" s="47">
        <f t="shared" si="0"/>
        <v>1144660</v>
      </c>
      <c r="O27" s="33"/>
      <c r="P27" s="35"/>
      <c r="Q27" s="35"/>
      <c r="R27" s="35"/>
      <c r="S27" s="89" t="s">
        <v>88</v>
      </c>
      <c r="U27" s="35"/>
    </row>
    <row r="28" spans="2:21" ht="14.25">
      <c r="B28" s="6"/>
      <c r="C28" s="6" t="s">
        <v>142</v>
      </c>
      <c r="D28" s="6" t="s">
        <v>128</v>
      </c>
      <c r="E28" s="6"/>
      <c r="F28" s="6"/>
      <c r="G28" s="6"/>
      <c r="H28" s="12" t="s">
        <v>84</v>
      </c>
      <c r="I28" s="12"/>
      <c r="J28" s="21">
        <f>Z23*5280*2</f>
        <v>34848</v>
      </c>
      <c r="K28" s="19"/>
      <c r="L28" s="66">
        <v>10</v>
      </c>
      <c r="M28" s="33"/>
      <c r="N28" s="47">
        <f t="shared" si="0"/>
        <v>348480</v>
      </c>
      <c r="O28" s="33"/>
      <c r="P28" s="35"/>
      <c r="Q28" s="35"/>
      <c r="R28" s="35"/>
      <c r="S28" s="89" t="s">
        <v>87</v>
      </c>
      <c r="U28" s="35"/>
    </row>
    <row r="29" spans="2:21" ht="14.25">
      <c r="B29" s="6"/>
      <c r="C29" s="6" t="s">
        <v>143</v>
      </c>
      <c r="D29" s="6" t="s">
        <v>130</v>
      </c>
      <c r="E29" s="6"/>
      <c r="F29" s="6"/>
      <c r="G29" s="6"/>
      <c r="H29" s="12" t="s">
        <v>84</v>
      </c>
      <c r="I29" s="12"/>
      <c r="J29" s="21">
        <v>1</v>
      </c>
      <c r="K29" s="19"/>
      <c r="L29" s="66">
        <v>50000</v>
      </c>
      <c r="M29" s="33"/>
      <c r="N29" s="47">
        <f t="shared" si="0"/>
        <v>50000</v>
      </c>
      <c r="O29" s="33"/>
      <c r="P29" s="35"/>
      <c r="Q29" s="35"/>
      <c r="R29" s="35"/>
      <c r="S29" s="89" t="s">
        <v>80</v>
      </c>
      <c r="U29" s="35"/>
    </row>
    <row r="30" spans="2:23" ht="14.25">
      <c r="B30" s="84" t="s">
        <v>68</v>
      </c>
      <c r="C30" s="6" t="s">
        <v>70</v>
      </c>
      <c r="D30" s="6"/>
      <c r="E30" s="6"/>
      <c r="F30" s="6"/>
      <c r="G30" s="6"/>
      <c r="H30" s="4" t="s">
        <v>3</v>
      </c>
      <c r="J30" s="21">
        <v>1</v>
      </c>
      <c r="K30" s="20"/>
      <c r="L30" s="41">
        <v>20000</v>
      </c>
      <c r="M30" s="31"/>
      <c r="N30" s="32">
        <f t="shared" si="0"/>
        <v>20000</v>
      </c>
      <c r="O30" s="33"/>
      <c r="P30" s="35"/>
      <c r="Q30" s="35"/>
      <c r="R30" s="35"/>
      <c r="S30" s="89" t="s">
        <v>116</v>
      </c>
      <c r="T30" s="35"/>
      <c r="U30" s="35"/>
      <c r="V30" s="35"/>
      <c r="W30" s="50"/>
    </row>
    <row r="31" spans="2:23" ht="14.25">
      <c r="B31" s="84"/>
      <c r="C31" s="6"/>
      <c r="D31" s="6"/>
      <c r="E31" s="6"/>
      <c r="F31" s="6"/>
      <c r="G31" s="6"/>
      <c r="J31" s="22"/>
      <c r="K31" s="20"/>
      <c r="L31" s="51"/>
      <c r="M31" s="31"/>
      <c r="N31" s="33"/>
      <c r="O31" s="33"/>
      <c r="P31" s="35"/>
      <c r="Q31" s="35"/>
      <c r="R31" s="35"/>
      <c r="S31" s="35"/>
      <c r="T31" s="35"/>
      <c r="U31" s="35"/>
      <c r="V31" s="35"/>
      <c r="W31" s="50"/>
    </row>
    <row r="32" spans="5:18" ht="15">
      <c r="E32" s="6"/>
      <c r="F32" s="6"/>
      <c r="G32" s="6"/>
      <c r="J32" s="23"/>
      <c r="K32" s="20"/>
      <c r="L32" s="44" t="s">
        <v>98</v>
      </c>
      <c r="M32" s="14"/>
      <c r="N32" s="34">
        <f>SUM(N15:N30)</f>
        <v>1948758</v>
      </c>
      <c r="O32" s="34"/>
      <c r="P32" s="11"/>
      <c r="Q32" s="11"/>
      <c r="R32" s="11"/>
    </row>
    <row r="33" spans="5:19" ht="15">
      <c r="E33" s="6"/>
      <c r="F33" s="6"/>
      <c r="G33" s="6"/>
      <c r="J33" s="23"/>
      <c r="K33" s="20"/>
      <c r="L33" s="44"/>
      <c r="M33" s="14"/>
      <c r="N33" s="34"/>
      <c r="O33" s="34"/>
      <c r="P33" s="11"/>
      <c r="Q33" s="11"/>
      <c r="R33" s="11"/>
      <c r="S33" s="37"/>
    </row>
    <row r="34" spans="2:18" ht="15.75" thickBot="1">
      <c r="B34" s="5"/>
      <c r="C34" s="5"/>
      <c r="D34" s="5"/>
      <c r="E34" s="5"/>
      <c r="F34" s="5"/>
      <c r="G34" s="5"/>
      <c r="J34" s="22"/>
      <c r="K34" s="19"/>
      <c r="L34" s="46" t="s">
        <v>14</v>
      </c>
      <c r="M34" s="30"/>
      <c r="N34" s="48">
        <f>N32*0.25</f>
        <v>487189.5</v>
      </c>
      <c r="O34" s="34"/>
      <c r="P34" s="11"/>
      <c r="Q34" s="11"/>
      <c r="R34" s="11"/>
    </row>
    <row r="35" spans="2:18" ht="14.25">
      <c r="B35" s="5"/>
      <c r="C35" s="5"/>
      <c r="D35" s="5"/>
      <c r="E35" s="5"/>
      <c r="F35" s="5"/>
      <c r="G35" s="5"/>
      <c r="J35" s="22"/>
      <c r="K35" s="19"/>
      <c r="L35" s="43"/>
      <c r="M35" s="9"/>
      <c r="N35" s="33"/>
      <c r="O35" s="33"/>
      <c r="P35" s="11"/>
      <c r="Q35" s="11"/>
      <c r="R35" s="11"/>
    </row>
    <row r="36" spans="2:19" ht="15">
      <c r="B36" s="5"/>
      <c r="C36" s="5"/>
      <c r="D36" s="5"/>
      <c r="E36" s="5"/>
      <c r="F36" s="5"/>
      <c r="G36" s="5"/>
      <c r="J36" s="22"/>
      <c r="K36" s="19"/>
      <c r="L36" s="44" t="s">
        <v>99</v>
      </c>
      <c r="M36" s="9"/>
      <c r="N36" s="34">
        <f>SUM(N32:N34)</f>
        <v>2435947.5</v>
      </c>
      <c r="O36" s="34"/>
      <c r="P36" s="11"/>
      <c r="Q36" s="11"/>
      <c r="R36" s="11"/>
      <c r="S36" s="37"/>
    </row>
    <row r="37" spans="2:19" ht="15">
      <c r="B37" s="5"/>
      <c r="C37" s="5"/>
      <c r="D37" s="5"/>
      <c r="E37" s="5"/>
      <c r="F37" s="5"/>
      <c r="G37" s="5"/>
      <c r="J37" s="22"/>
      <c r="K37" s="19"/>
      <c r="L37" s="44"/>
      <c r="M37" s="9"/>
      <c r="N37" s="34"/>
      <c r="O37" s="34"/>
      <c r="P37" s="11"/>
      <c r="Q37" s="11"/>
      <c r="R37" s="11"/>
      <c r="S37" s="37"/>
    </row>
    <row r="38" spans="2:19" ht="15">
      <c r="B38" s="5"/>
      <c r="C38" s="5"/>
      <c r="D38" s="5"/>
      <c r="E38" s="5"/>
      <c r="F38" s="5"/>
      <c r="G38" s="5"/>
      <c r="J38" s="22"/>
      <c r="K38" s="19"/>
      <c r="M38" s="9"/>
      <c r="N38" s="44" t="s">
        <v>97</v>
      </c>
      <c r="O38" s="44"/>
      <c r="P38" s="34">
        <f>N36*(1+2.5/100)^(2008-2007)</f>
        <v>2496846.1875</v>
      </c>
      <c r="Q38" s="34"/>
      <c r="R38" s="54"/>
      <c r="S38" s="37"/>
    </row>
    <row r="39" spans="2:19" ht="15">
      <c r="B39" s="5"/>
      <c r="C39" s="5"/>
      <c r="D39" s="5"/>
      <c r="E39" s="5"/>
      <c r="F39" s="5"/>
      <c r="G39" s="5"/>
      <c r="J39" s="22"/>
      <c r="K39" s="19"/>
      <c r="M39" s="9"/>
      <c r="N39" s="44"/>
      <c r="O39" s="44"/>
      <c r="P39" s="34"/>
      <c r="Q39" s="34"/>
      <c r="R39" s="54"/>
      <c r="S39" s="37"/>
    </row>
    <row r="40" spans="5:18" ht="15">
      <c r="E40" s="6"/>
      <c r="F40" s="6"/>
      <c r="G40" s="6"/>
      <c r="J40" s="23"/>
      <c r="K40" s="20"/>
      <c r="L40" s="45"/>
      <c r="M40" s="3"/>
      <c r="P40" s="55" t="s">
        <v>61</v>
      </c>
      <c r="Q40" s="55"/>
      <c r="R40" s="61">
        <f>P38*(1+8/100)^-(2008-2007)</f>
        <v>2311894.6180555555</v>
      </c>
    </row>
    <row r="41" spans="1:18" s="62" customFormat="1" ht="18">
      <c r="A41" s="180" t="s">
        <v>15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s="62" customFormat="1" ht="18">
      <c r="A42" s="181" t="s">
        <v>16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s="62" customFormat="1" ht="18">
      <c r="A43" s="181" t="s">
        <v>17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5" s="62" customFormat="1" ht="18">
      <c r="A44" s="101"/>
      <c r="C44" s="5"/>
      <c r="D44" s="5"/>
      <c r="E44" s="5"/>
    </row>
    <row r="45" spans="1:18" s="62" customFormat="1" ht="18">
      <c r="A45" s="180" t="s">
        <v>18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s="62" customFormat="1" ht="18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2:5" s="62" customFormat="1" ht="18" customHeight="1">
      <c r="B47" s="102"/>
      <c r="C47" s="5"/>
      <c r="D47" s="5"/>
      <c r="E47" s="5"/>
    </row>
    <row r="48" spans="1:18" ht="18" customHeight="1">
      <c r="A48" s="191" t="s">
        <v>228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</row>
    <row r="49" spans="16:17" ht="14.25">
      <c r="P49" s="1"/>
      <c r="Q49" s="1"/>
    </row>
    <row r="50" spans="1:17" ht="14.25" customHeight="1">
      <c r="A50" s="4"/>
      <c r="B50" s="5"/>
      <c r="C50" s="5"/>
      <c r="D50" s="5"/>
      <c r="E50" s="5"/>
      <c r="F50" s="5"/>
      <c r="G50" s="5"/>
      <c r="J50" s="185" t="s">
        <v>2</v>
      </c>
      <c r="L50" s="187" t="s">
        <v>62</v>
      </c>
      <c r="N50" s="189" t="s">
        <v>63</v>
      </c>
      <c r="O50" s="7"/>
      <c r="P50" s="36"/>
      <c r="Q50" s="36"/>
    </row>
    <row r="51" spans="2:17" ht="14.25">
      <c r="B51" s="5"/>
      <c r="C51" s="5"/>
      <c r="D51" s="5"/>
      <c r="E51" s="5"/>
      <c r="F51" s="5"/>
      <c r="G51" s="5"/>
      <c r="H51" s="189" t="s">
        <v>1</v>
      </c>
      <c r="I51" s="7"/>
      <c r="J51" s="185"/>
      <c r="K51" s="25"/>
      <c r="L51" s="187"/>
      <c r="M51" s="7"/>
      <c r="N51" s="189"/>
      <c r="O51" s="7"/>
      <c r="P51" s="36"/>
      <c r="Q51" s="36"/>
    </row>
    <row r="52" spans="1:15" ht="14.25">
      <c r="A52" s="13"/>
      <c r="B52" s="184" t="s">
        <v>0</v>
      </c>
      <c r="C52" s="184"/>
      <c r="D52" s="184"/>
      <c r="E52" s="184"/>
      <c r="F52" s="184"/>
      <c r="G52" s="184"/>
      <c r="H52" s="190"/>
      <c r="I52" s="8"/>
      <c r="J52" s="186"/>
      <c r="K52" s="26"/>
      <c r="L52" s="188"/>
      <c r="M52" s="8"/>
      <c r="N52" s="190"/>
      <c r="O52" s="7"/>
    </row>
    <row r="53" spans="1:15" ht="14.25">
      <c r="A53" s="5"/>
      <c r="B53" s="12"/>
      <c r="C53" s="12"/>
      <c r="D53" s="12"/>
      <c r="E53" s="12"/>
      <c r="F53" s="12"/>
      <c r="G53" s="12"/>
      <c r="H53" s="7"/>
      <c r="I53" s="7"/>
      <c r="J53" s="25"/>
      <c r="K53" s="25"/>
      <c r="L53" s="49"/>
      <c r="M53" s="7"/>
      <c r="N53" s="7"/>
      <c r="O53" s="7"/>
    </row>
    <row r="54" spans="1:15" ht="14.25">
      <c r="A54" s="5" t="s">
        <v>6</v>
      </c>
      <c r="B54" s="83" t="s">
        <v>242</v>
      </c>
      <c r="C54" s="12"/>
      <c r="D54" s="12"/>
      <c r="E54" s="12"/>
      <c r="F54" s="12"/>
      <c r="G54" s="12"/>
      <c r="H54" s="7"/>
      <c r="I54" s="7"/>
      <c r="J54" s="25"/>
      <c r="K54" s="25"/>
      <c r="L54" s="49"/>
      <c r="M54" s="7"/>
      <c r="N54" s="7"/>
      <c r="O54" s="7"/>
    </row>
    <row r="55" spans="1:16" ht="14.25" customHeight="1">
      <c r="A55" s="5"/>
      <c r="B55" s="84" t="s">
        <v>65</v>
      </c>
      <c r="C55" s="5" t="s">
        <v>81</v>
      </c>
      <c r="D55" s="5"/>
      <c r="E55" s="5"/>
      <c r="F55" s="12"/>
      <c r="G55" s="12"/>
      <c r="H55" s="4" t="s">
        <v>12</v>
      </c>
      <c r="J55" s="87">
        <v>1</v>
      </c>
      <c r="L55" s="40">
        <f>T_S_Loadout_Cost_Worksheet!B81</f>
        <v>410280</v>
      </c>
      <c r="N55" s="32">
        <f>J55*L55</f>
        <v>410280</v>
      </c>
      <c r="O55" s="34"/>
      <c r="P55" s="72" t="s">
        <v>260</v>
      </c>
    </row>
    <row r="56" spans="2:18" ht="14.25" customHeight="1">
      <c r="B56" s="85" t="s">
        <v>66</v>
      </c>
      <c r="C56" s="86" t="s">
        <v>82</v>
      </c>
      <c r="D56" s="86"/>
      <c r="E56" s="5"/>
      <c r="F56" s="5"/>
      <c r="G56" s="5"/>
      <c r="H56" s="4" t="s">
        <v>12</v>
      </c>
      <c r="J56" s="87">
        <v>1</v>
      </c>
      <c r="L56" s="40">
        <f>T_S_Hauling_Cost_Worksheet!B103</f>
        <v>1893600</v>
      </c>
      <c r="N56" s="32">
        <f>J56*L56</f>
        <v>1893600</v>
      </c>
      <c r="O56" s="34"/>
      <c r="P56" s="72" t="s">
        <v>261</v>
      </c>
      <c r="Q56" s="2"/>
      <c r="R56" s="2"/>
    </row>
    <row r="57" spans="1:15" ht="14.25">
      <c r="A57" s="5"/>
      <c r="B57" s="12"/>
      <c r="C57" s="12"/>
      <c r="D57" s="12"/>
      <c r="E57" s="12"/>
      <c r="F57" s="12"/>
      <c r="G57" s="12"/>
      <c r="H57" s="7"/>
      <c r="I57" s="7"/>
      <c r="J57" s="25"/>
      <c r="K57" s="25"/>
      <c r="L57" s="49"/>
      <c r="M57" s="7"/>
      <c r="N57" s="7"/>
      <c r="O57" s="7"/>
    </row>
    <row r="58" spans="2:18" ht="90.75" thickBot="1">
      <c r="B58" s="5"/>
      <c r="C58" s="5"/>
      <c r="D58" s="5"/>
      <c r="E58" s="5"/>
      <c r="F58" s="5"/>
      <c r="G58" s="5"/>
      <c r="J58" s="22"/>
      <c r="K58" s="20"/>
      <c r="L58" s="42"/>
      <c r="M58" s="31"/>
      <c r="N58" s="53" t="s">
        <v>11</v>
      </c>
      <c r="O58" s="52"/>
      <c r="P58" s="59" t="s">
        <v>243</v>
      </c>
      <c r="Q58" s="58"/>
      <c r="R58" s="2"/>
    </row>
    <row r="59" spans="2:19" ht="14.25" customHeight="1">
      <c r="B59" s="5"/>
      <c r="C59" s="5"/>
      <c r="D59" s="5"/>
      <c r="E59" s="5"/>
      <c r="F59" s="5"/>
      <c r="G59" s="5"/>
      <c r="J59" s="22"/>
      <c r="K59" s="20"/>
      <c r="L59" s="42"/>
      <c r="M59" s="31"/>
      <c r="N59" s="60">
        <v>2008</v>
      </c>
      <c r="O59" s="56"/>
      <c r="P59" s="34">
        <f>(N55+N56)*(1+2.5/100)^(N59-2007)</f>
        <v>2361477</v>
      </c>
      <c r="Q59" s="34"/>
      <c r="R59" s="2"/>
      <c r="S59" s="34">
        <f>P59*(1+0.08)^-(N59-2007)</f>
        <v>2186552.7777777775</v>
      </c>
    </row>
    <row r="60" spans="2:19" ht="14.25" customHeight="1">
      <c r="B60" s="5"/>
      <c r="C60" s="5"/>
      <c r="D60" s="5"/>
      <c r="E60" s="5"/>
      <c r="F60" s="5"/>
      <c r="G60" s="5"/>
      <c r="J60" s="22"/>
      <c r="K60" s="20"/>
      <c r="L60" s="42"/>
      <c r="M60" s="31"/>
      <c r="N60" s="60">
        <v>2009</v>
      </c>
      <c r="O60" s="56"/>
      <c r="P60" s="34">
        <f aca="true" t="shared" si="1" ref="P60:P65">P59*(1+2.5/100)^1</f>
        <v>2420513.925</v>
      </c>
      <c r="Q60" s="34"/>
      <c r="R60" s="34"/>
      <c r="S60" s="34">
        <f aca="true" t="shared" si="2" ref="S60:S78">P60*(1+0.08)^-(N60-2007)</f>
        <v>2075200.5529835387</v>
      </c>
    </row>
    <row r="61" spans="2:19" ht="14.25" customHeight="1">
      <c r="B61" s="5"/>
      <c r="C61" s="5"/>
      <c r="D61" s="5"/>
      <c r="E61" s="5"/>
      <c r="F61" s="5"/>
      <c r="G61" s="5"/>
      <c r="J61" s="22"/>
      <c r="K61" s="20"/>
      <c r="L61" s="42"/>
      <c r="M61" s="31"/>
      <c r="N61" s="60">
        <v>2010</v>
      </c>
      <c r="O61" s="56"/>
      <c r="P61" s="34">
        <f t="shared" si="1"/>
        <v>2481026.7731249994</v>
      </c>
      <c r="Q61" s="34"/>
      <c r="R61" s="2"/>
      <c r="S61" s="34">
        <f t="shared" si="2"/>
        <v>1969519.043340858</v>
      </c>
    </row>
    <row r="62" spans="2:19" ht="14.25" customHeight="1">
      <c r="B62" s="5"/>
      <c r="C62" s="5"/>
      <c r="D62" s="5"/>
      <c r="E62" s="5"/>
      <c r="F62" s="5"/>
      <c r="G62" s="5"/>
      <c r="J62" s="22"/>
      <c r="K62" s="20"/>
      <c r="L62" s="42"/>
      <c r="M62" s="31"/>
      <c r="N62" s="60">
        <v>2011</v>
      </c>
      <c r="O62" s="56"/>
      <c r="P62" s="34">
        <f t="shared" si="1"/>
        <v>2543052.442453124</v>
      </c>
      <c r="Q62" s="34"/>
      <c r="R62" s="2"/>
      <c r="S62" s="34">
        <f t="shared" si="2"/>
        <v>1869219.4624299807</v>
      </c>
    </row>
    <row r="63" spans="2:19" ht="14.25" customHeight="1">
      <c r="B63" s="5"/>
      <c r="C63" s="5"/>
      <c r="D63" s="5"/>
      <c r="E63" s="5"/>
      <c r="F63" s="5"/>
      <c r="G63" s="5"/>
      <c r="J63" s="22"/>
      <c r="K63" s="20"/>
      <c r="L63" s="42"/>
      <c r="M63" s="31"/>
      <c r="N63" s="60">
        <v>2012</v>
      </c>
      <c r="O63" s="56"/>
      <c r="P63" s="34">
        <f t="shared" si="1"/>
        <v>2606628.753514452</v>
      </c>
      <c r="Q63" s="34"/>
      <c r="R63" s="2"/>
      <c r="S63" s="34">
        <f t="shared" si="2"/>
        <v>1774027.7305469722</v>
      </c>
    </row>
    <row r="64" spans="2:19" ht="14.25" customHeight="1">
      <c r="B64" s="5"/>
      <c r="C64" s="5"/>
      <c r="D64" s="5"/>
      <c r="E64" s="5"/>
      <c r="F64" s="5"/>
      <c r="G64" s="5"/>
      <c r="J64" s="22"/>
      <c r="K64" s="20"/>
      <c r="L64" s="42"/>
      <c r="M64" s="31"/>
      <c r="N64" s="60">
        <v>2013</v>
      </c>
      <c r="O64" s="56"/>
      <c r="P64" s="34">
        <f t="shared" si="1"/>
        <v>2671794.472352313</v>
      </c>
      <c r="Q64" s="34"/>
      <c r="R64" s="2"/>
      <c r="S64" s="34">
        <f t="shared" si="2"/>
        <v>1683683.7257505981</v>
      </c>
    </row>
    <row r="65" spans="2:19" ht="14.25" customHeight="1">
      <c r="B65" s="5"/>
      <c r="C65" s="5"/>
      <c r="D65" s="5"/>
      <c r="E65" s="5"/>
      <c r="F65" s="5"/>
      <c r="G65" s="5"/>
      <c r="J65" s="22"/>
      <c r="K65" s="20"/>
      <c r="L65" s="42"/>
      <c r="M65" s="31"/>
      <c r="N65" s="60">
        <v>2014</v>
      </c>
      <c r="O65" s="56"/>
      <c r="P65" s="34">
        <f t="shared" si="1"/>
        <v>2738589.3341611205</v>
      </c>
      <c r="Q65" s="34"/>
      <c r="R65" s="2"/>
      <c r="S65" s="34">
        <f t="shared" si="2"/>
        <v>1597940.5730503362</v>
      </c>
    </row>
    <row r="66" spans="2:19" ht="14.25" customHeight="1">
      <c r="B66" s="5"/>
      <c r="C66" s="5"/>
      <c r="D66" s="5"/>
      <c r="E66" s="5"/>
      <c r="F66" s="5"/>
      <c r="G66" s="5"/>
      <c r="J66" s="22"/>
      <c r="K66" s="20"/>
      <c r="L66" s="42"/>
      <c r="M66" s="31"/>
      <c r="N66" s="60">
        <v>2015</v>
      </c>
      <c r="O66" s="56"/>
      <c r="P66" s="34">
        <f>P65*(1+2.5/100)^1</f>
        <v>2807054.0675151483</v>
      </c>
      <c r="Q66" s="34"/>
      <c r="R66" s="2"/>
      <c r="S66" s="34">
        <f t="shared" si="2"/>
        <v>1516563.969793143</v>
      </c>
    </row>
    <row r="67" spans="2:19" ht="14.25" customHeight="1">
      <c r="B67" s="5"/>
      <c r="C67" s="5"/>
      <c r="D67" s="5"/>
      <c r="E67" s="5"/>
      <c r="F67" s="5"/>
      <c r="G67" s="5"/>
      <c r="J67" s="22"/>
      <c r="K67" s="20"/>
      <c r="L67" s="42"/>
      <c r="M67" s="31"/>
      <c r="N67" s="60">
        <v>2016</v>
      </c>
      <c r="O67" s="56"/>
      <c r="P67" s="34">
        <f>P66*(1+2.5/100)^1</f>
        <v>2877230.4192030267</v>
      </c>
      <c r="Q67" s="34"/>
      <c r="R67" s="2"/>
      <c r="S67" s="34">
        <f t="shared" si="2"/>
        <v>1439331.545405529</v>
      </c>
    </row>
    <row r="68" spans="2:19" ht="14.25" customHeight="1">
      <c r="B68" s="5"/>
      <c r="C68" s="5"/>
      <c r="D68" s="5"/>
      <c r="E68" s="5"/>
      <c r="F68" s="5"/>
      <c r="G68" s="5"/>
      <c r="J68" s="22"/>
      <c r="K68" s="20"/>
      <c r="L68" s="42"/>
      <c r="M68" s="31"/>
      <c r="N68" s="60">
        <v>2017</v>
      </c>
      <c r="O68" s="56"/>
      <c r="P68" s="34">
        <f aca="true" t="shared" si="3" ref="P68:P76">P67*(1+2.5/100)^1</f>
        <v>2949161.1796831023</v>
      </c>
      <c r="Q68" s="34"/>
      <c r="R68" s="2"/>
      <c r="S68" s="34">
        <f t="shared" si="2"/>
        <v>1366032.2537413584</v>
      </c>
    </row>
    <row r="69" spans="2:19" ht="14.25" customHeight="1">
      <c r="B69" s="5"/>
      <c r="C69" s="5"/>
      <c r="D69" s="5"/>
      <c r="E69" s="5"/>
      <c r="F69" s="5"/>
      <c r="G69" s="5"/>
      <c r="J69" s="22"/>
      <c r="K69" s="20"/>
      <c r="L69" s="42"/>
      <c r="M69" s="31"/>
      <c r="N69" s="60">
        <v>2018</v>
      </c>
      <c r="O69" s="56"/>
      <c r="P69" s="34">
        <f t="shared" si="3"/>
        <v>3022890.2091751797</v>
      </c>
      <c r="Q69" s="34"/>
      <c r="R69" s="2"/>
      <c r="S69" s="34">
        <f t="shared" si="2"/>
        <v>1296465.7963749003</v>
      </c>
    </row>
    <row r="70" spans="2:19" ht="14.25" customHeight="1">
      <c r="B70" s="5"/>
      <c r="C70" s="5"/>
      <c r="D70" s="5"/>
      <c r="E70" s="5"/>
      <c r="F70" s="5"/>
      <c r="G70" s="5"/>
      <c r="J70" s="22"/>
      <c r="K70" s="20"/>
      <c r="L70" s="42"/>
      <c r="M70" s="31"/>
      <c r="N70" s="60">
        <v>2019</v>
      </c>
      <c r="O70" s="56"/>
      <c r="P70" s="34">
        <f t="shared" si="3"/>
        <v>3098462.4644045588</v>
      </c>
      <c r="Q70" s="34"/>
      <c r="R70" s="2"/>
      <c r="S70" s="34">
        <f t="shared" si="2"/>
        <v>1230442.0752632152</v>
      </c>
    </row>
    <row r="71" spans="2:19" ht="14.25" customHeight="1">
      <c r="B71" s="5"/>
      <c r="C71" s="5"/>
      <c r="D71" s="5"/>
      <c r="E71" s="5"/>
      <c r="F71" s="5"/>
      <c r="G71" s="5"/>
      <c r="J71" s="22"/>
      <c r="K71" s="20"/>
      <c r="L71" s="42"/>
      <c r="M71" s="31"/>
      <c r="N71" s="60">
        <v>2020</v>
      </c>
      <c r="O71" s="56"/>
      <c r="P71" s="34">
        <f t="shared" si="3"/>
        <v>3175924.0260146726</v>
      </c>
      <c r="Q71" s="34"/>
      <c r="R71" s="2"/>
      <c r="S71" s="34">
        <f t="shared" si="2"/>
        <v>1167780.6732822182</v>
      </c>
    </row>
    <row r="72" spans="2:19" ht="14.25" customHeight="1">
      <c r="B72" s="5"/>
      <c r="C72" s="5"/>
      <c r="D72" s="5"/>
      <c r="E72" s="5"/>
      <c r="F72" s="5"/>
      <c r="G72" s="5"/>
      <c r="J72" s="22"/>
      <c r="K72" s="20"/>
      <c r="L72" s="42"/>
      <c r="M72" s="31"/>
      <c r="N72" s="60">
        <v>2021</v>
      </c>
      <c r="O72" s="56"/>
      <c r="P72" s="34">
        <f t="shared" si="3"/>
        <v>3255322.126665039</v>
      </c>
      <c r="Q72" s="34"/>
      <c r="R72" s="2"/>
      <c r="S72" s="34">
        <f t="shared" si="2"/>
        <v>1108310.3612169197</v>
      </c>
    </row>
    <row r="73" spans="2:19" ht="14.25" customHeight="1">
      <c r="B73" s="5"/>
      <c r="C73" s="5"/>
      <c r="D73" s="5"/>
      <c r="E73" s="5"/>
      <c r="F73" s="5"/>
      <c r="G73" s="5"/>
      <c r="J73" s="22"/>
      <c r="K73" s="20"/>
      <c r="L73" s="42"/>
      <c r="M73" s="31"/>
      <c r="N73" s="60">
        <v>2022</v>
      </c>
      <c r="O73" s="56"/>
      <c r="P73" s="34">
        <f t="shared" si="3"/>
        <v>3336705.1798316645</v>
      </c>
      <c r="Q73" s="34"/>
      <c r="R73" s="2"/>
      <c r="S73" s="34">
        <f t="shared" si="2"/>
        <v>1051868.6298586503</v>
      </c>
    </row>
    <row r="74" spans="2:19" ht="14.25" customHeight="1">
      <c r="B74" s="5"/>
      <c r="C74" s="5"/>
      <c r="D74" s="5"/>
      <c r="E74" s="5"/>
      <c r="F74" s="5"/>
      <c r="G74" s="5"/>
      <c r="J74" s="22"/>
      <c r="K74" s="20"/>
      <c r="L74" s="42"/>
      <c r="M74" s="31"/>
      <c r="N74" s="60">
        <v>2023</v>
      </c>
      <c r="O74" s="56"/>
      <c r="P74" s="34">
        <f t="shared" si="3"/>
        <v>3420122.8093274557</v>
      </c>
      <c r="Q74" s="34"/>
      <c r="R74" s="2"/>
      <c r="S74" s="34">
        <f t="shared" si="2"/>
        <v>998301.2459306634</v>
      </c>
    </row>
    <row r="75" spans="2:19" ht="14.25" customHeight="1">
      <c r="B75" s="5"/>
      <c r="C75" s="5"/>
      <c r="D75" s="5"/>
      <c r="E75" s="5"/>
      <c r="F75" s="5"/>
      <c r="G75" s="5"/>
      <c r="J75" s="22"/>
      <c r="K75" s="20"/>
      <c r="L75" s="42"/>
      <c r="M75" s="31"/>
      <c r="N75" s="60">
        <v>2024</v>
      </c>
      <c r="O75" s="56"/>
      <c r="P75" s="34">
        <f t="shared" si="3"/>
        <v>3505625.879560642</v>
      </c>
      <c r="Q75" s="34"/>
      <c r="R75" s="2"/>
      <c r="S75" s="34">
        <f t="shared" si="2"/>
        <v>947461.830628639</v>
      </c>
    </row>
    <row r="76" spans="2:19" ht="14.25" customHeight="1">
      <c r="B76" s="5"/>
      <c r="C76" s="5"/>
      <c r="D76" s="5"/>
      <c r="E76" s="5"/>
      <c r="F76" s="5"/>
      <c r="G76" s="5"/>
      <c r="J76" s="22"/>
      <c r="K76" s="20"/>
      <c r="L76" s="42"/>
      <c r="M76" s="31"/>
      <c r="N76" s="60">
        <v>2025</v>
      </c>
      <c r="O76" s="56"/>
      <c r="P76" s="34">
        <f t="shared" si="3"/>
        <v>3593266.526549658</v>
      </c>
      <c r="Q76" s="34"/>
      <c r="R76" s="2"/>
      <c r="S76" s="34">
        <f t="shared" si="2"/>
        <v>899211.4596244025</v>
      </c>
    </row>
    <row r="77" spans="2:19" ht="14.25" customHeight="1">
      <c r="B77" s="5"/>
      <c r="C77" s="5"/>
      <c r="D77" s="5"/>
      <c r="E77" s="5"/>
      <c r="F77" s="5"/>
      <c r="G77" s="5"/>
      <c r="J77" s="22"/>
      <c r="K77" s="20"/>
      <c r="L77" s="42"/>
      <c r="M77" s="31"/>
      <c r="N77" s="60">
        <v>2026</v>
      </c>
      <c r="O77" s="56"/>
      <c r="P77" s="34">
        <f>P76*(1+2.5/100)^1</f>
        <v>3683098.189713399</v>
      </c>
      <c r="Q77" s="34"/>
      <c r="R77" s="2"/>
      <c r="S77" s="34">
        <f t="shared" si="2"/>
        <v>853418.2834398263</v>
      </c>
    </row>
    <row r="78" spans="2:19" ht="14.25" customHeight="1">
      <c r="B78" s="5"/>
      <c r="C78" s="5"/>
      <c r="D78" s="5"/>
      <c r="E78" s="5"/>
      <c r="F78" s="5"/>
      <c r="G78" s="5"/>
      <c r="J78" s="22"/>
      <c r="K78" s="20"/>
      <c r="L78" s="42"/>
      <c r="M78" s="31"/>
      <c r="N78" s="60">
        <v>2027</v>
      </c>
      <c r="O78" s="56"/>
      <c r="P78" s="34">
        <f>P77*(1+2.5/100)^1</f>
        <v>3775175.6444562334</v>
      </c>
      <c r="Q78" s="34"/>
      <c r="R78" s="2"/>
      <c r="S78" s="108">
        <f t="shared" si="2"/>
        <v>809957.1671535387</v>
      </c>
    </row>
    <row r="79" spans="2:18" ht="14.25" customHeight="1">
      <c r="B79" s="5"/>
      <c r="C79" s="5"/>
      <c r="D79" s="5"/>
      <c r="E79" s="5"/>
      <c r="F79" s="5"/>
      <c r="G79" s="5"/>
      <c r="J79" s="22"/>
      <c r="K79" s="20"/>
      <c r="L79" s="42"/>
      <c r="M79" s="31"/>
      <c r="N79" s="56"/>
      <c r="O79" s="56"/>
      <c r="P79" s="54"/>
      <c r="Q79" s="54"/>
      <c r="R79" s="2"/>
    </row>
    <row r="80" spans="2:19" ht="14.25" customHeight="1">
      <c r="B80" s="5"/>
      <c r="C80" s="5"/>
      <c r="D80" s="5"/>
      <c r="E80" s="5"/>
      <c r="F80" s="5"/>
      <c r="G80" s="5"/>
      <c r="J80" s="22"/>
      <c r="K80" s="20"/>
      <c r="L80" s="42"/>
      <c r="M80" s="31"/>
      <c r="O80" s="55"/>
      <c r="P80" s="55" t="s">
        <v>64</v>
      </c>
      <c r="Q80" s="55"/>
      <c r="R80" s="34">
        <f>P59*(1+0.08)^-(N59-2007)+P60*(1+0.08)^-(N60-2007)+P61*(1+0.08)^-(N61-2007)+P62*(1+0.08)^-(N62-2007)+P63*(1+0.08)^-(N63-2007)+P64*(1+0.08)^-(N64-2007)+P65*(1+0.08)^-(N65-2007)+P66*(1+0.08)^-(N66-2007)+P67*(1+0.08)^-(N67-2007)+P68*(1+0.08)^-(N68-2007)+P69*(1+0.08)^-(N69-2007)+P70*(1+0.08)^-(N70-2007)+P71*(1+0.08)^-(N71-2007)+P72*(1+0.08)^-(N72-2007)+P73*(1+0.08)^-(N73-2007)+P74*(1+0.08)^-(N74-2007)+P75*(1+0.08)^-(N75-2007)+P76*(1+0.08)^-(N76-2007)+P77*(1+0.08)^-(N77-2007)+P78*(1+0.08)^-(N78-2007)</f>
        <v>27841289.157593064</v>
      </c>
      <c r="S80" s="109">
        <f>SUM(S59:S78)</f>
        <v>27841289.157593064</v>
      </c>
    </row>
    <row r="81" spans="2:17" ht="14.25" customHeight="1">
      <c r="B81" s="5"/>
      <c r="C81" s="5"/>
      <c r="D81" s="5"/>
      <c r="E81" s="5"/>
      <c r="F81" s="5"/>
      <c r="G81" s="5"/>
      <c r="I81" s="12"/>
      <c r="J81" s="22"/>
      <c r="K81" s="19"/>
      <c r="L81" s="46"/>
      <c r="M81" s="30"/>
      <c r="N81" s="57"/>
      <c r="O81" s="57"/>
      <c r="P81" s="2"/>
      <c r="Q81" s="2"/>
    </row>
    <row r="82" spans="1:7" ht="14.25" customHeight="1">
      <c r="A82" s="6" t="s">
        <v>69</v>
      </c>
      <c r="B82" s="5" t="s">
        <v>133</v>
      </c>
      <c r="C82" s="5"/>
      <c r="D82" s="5"/>
      <c r="E82" s="5"/>
      <c r="F82" s="5"/>
      <c r="G82" s="5"/>
    </row>
    <row r="83" spans="2:19" ht="14.25" customHeight="1">
      <c r="B83" s="115" t="s">
        <v>65</v>
      </c>
      <c r="C83" s="5" t="s">
        <v>134</v>
      </c>
      <c r="D83" s="5"/>
      <c r="E83" s="5"/>
      <c r="F83" s="5"/>
      <c r="G83" s="5"/>
      <c r="H83" s="4" t="s">
        <v>132</v>
      </c>
      <c r="I83" s="12"/>
      <c r="J83" s="21">
        <f>T_S_Hauling_Cost_Worksheet!B93</f>
        <v>263</v>
      </c>
      <c r="K83" s="19"/>
      <c r="L83" s="135">
        <v>700</v>
      </c>
      <c r="M83" s="3"/>
      <c r="N83" s="32">
        <f>J83*L83</f>
        <v>184100</v>
      </c>
      <c r="O83" s="33"/>
      <c r="P83" s="72"/>
      <c r="Q83" s="2"/>
      <c r="R83" s="2"/>
      <c r="S83" s="89" t="s">
        <v>135</v>
      </c>
    </row>
    <row r="84" spans="2:18" ht="14.25" customHeight="1">
      <c r="B84" s="115" t="s">
        <v>66</v>
      </c>
      <c r="C84" s="5" t="s">
        <v>131</v>
      </c>
      <c r="D84" s="5"/>
      <c r="E84" s="5"/>
      <c r="F84" s="5"/>
      <c r="G84" s="5"/>
      <c r="H84" s="4" t="s">
        <v>12</v>
      </c>
      <c r="I84" s="12"/>
      <c r="J84" s="21">
        <v>1</v>
      </c>
      <c r="K84" s="19"/>
      <c r="L84" s="135">
        <f>0.05*(SUM(N23:N29))</f>
        <v>91798</v>
      </c>
      <c r="M84" s="3"/>
      <c r="N84" s="32">
        <f>J84*L84</f>
        <v>91798</v>
      </c>
      <c r="O84" s="33"/>
      <c r="P84" s="72" t="s">
        <v>174</v>
      </c>
      <c r="Q84" s="2"/>
      <c r="R84" s="2"/>
    </row>
    <row r="85" spans="2:18" ht="14.25" customHeight="1">
      <c r="B85" s="5"/>
      <c r="C85" s="5"/>
      <c r="D85" s="5"/>
      <c r="E85" s="5"/>
      <c r="F85" s="5"/>
      <c r="G85" s="5"/>
      <c r="I85" s="12"/>
      <c r="J85" s="22"/>
      <c r="K85" s="19"/>
      <c r="L85" s="114"/>
      <c r="M85" s="3"/>
      <c r="N85" s="33"/>
      <c r="O85" s="33"/>
      <c r="P85" s="72"/>
      <c r="Q85" s="2"/>
      <c r="R85" s="2"/>
    </row>
    <row r="86" spans="2:18" ht="90.75" thickBot="1">
      <c r="B86" s="5"/>
      <c r="C86" s="5"/>
      <c r="D86" s="5"/>
      <c r="E86" s="5"/>
      <c r="F86" s="5"/>
      <c r="G86" s="5"/>
      <c r="J86" s="22"/>
      <c r="K86" s="20"/>
      <c r="L86" s="42"/>
      <c r="M86" s="31"/>
      <c r="N86" s="53" t="s">
        <v>11</v>
      </c>
      <c r="O86" s="52"/>
      <c r="P86" s="59" t="s">
        <v>244</v>
      </c>
      <c r="Q86" s="58"/>
      <c r="R86" s="2"/>
    </row>
    <row r="87" spans="2:19" ht="14.25" customHeight="1">
      <c r="B87" s="5"/>
      <c r="C87" s="5"/>
      <c r="D87" s="5"/>
      <c r="E87" s="5"/>
      <c r="F87" s="5"/>
      <c r="G87" s="5"/>
      <c r="J87" s="22"/>
      <c r="K87" s="20"/>
      <c r="L87" s="42"/>
      <c r="M87" s="31"/>
      <c r="N87" s="60">
        <v>2008</v>
      </c>
      <c r="O87" s="56"/>
      <c r="P87" s="34">
        <f>(N83+N84)*(1+2.5/100)^(N87-2007)</f>
        <v>282795.44999999995</v>
      </c>
      <c r="Q87" s="34"/>
      <c r="R87" s="2"/>
      <c r="S87" s="34">
        <f>P87*(1+0.08)^-(N87-2007)</f>
        <v>261847.63888888882</v>
      </c>
    </row>
    <row r="88" spans="2:19" ht="14.25" customHeight="1">
      <c r="B88" s="5"/>
      <c r="C88" s="5"/>
      <c r="D88" s="5"/>
      <c r="E88" s="5"/>
      <c r="F88" s="5"/>
      <c r="G88" s="5"/>
      <c r="J88" s="22"/>
      <c r="K88" s="20"/>
      <c r="L88" s="42"/>
      <c r="M88" s="31"/>
      <c r="N88" s="60">
        <v>2009</v>
      </c>
      <c r="O88" s="56"/>
      <c r="P88" s="34">
        <f aca="true" t="shared" si="4" ref="P88:P93">P87*(1+2.5/100)^1</f>
        <v>289865.33624999993</v>
      </c>
      <c r="Q88" s="34"/>
      <c r="R88" s="2"/>
      <c r="S88" s="34">
        <f aca="true" t="shared" si="5" ref="S88:S106">P88*(1+0.08)^-(N88-2007)</f>
        <v>248512.80542695467</v>
      </c>
    </row>
    <row r="89" spans="2:19" ht="14.25" customHeight="1">
      <c r="B89" s="5"/>
      <c r="C89" s="5"/>
      <c r="D89" s="5"/>
      <c r="E89" s="5"/>
      <c r="F89" s="5"/>
      <c r="G89" s="5"/>
      <c r="J89" s="22"/>
      <c r="K89" s="20"/>
      <c r="L89" s="42"/>
      <c r="M89" s="31"/>
      <c r="N89" s="60">
        <v>2010</v>
      </c>
      <c r="O89" s="56"/>
      <c r="P89" s="34">
        <f t="shared" si="4"/>
        <v>297111.9696562499</v>
      </c>
      <c r="Q89" s="34"/>
      <c r="R89" s="2"/>
      <c r="S89" s="34">
        <f t="shared" si="5"/>
        <v>235857.0607061375</v>
      </c>
    </row>
    <row r="90" spans="2:19" ht="14.25" customHeight="1">
      <c r="B90" s="5"/>
      <c r="C90" s="5"/>
      <c r="D90" s="5"/>
      <c r="E90" s="5"/>
      <c r="F90" s="5"/>
      <c r="G90" s="5"/>
      <c r="J90" s="22"/>
      <c r="K90" s="20"/>
      <c r="L90" s="42"/>
      <c r="M90" s="31"/>
      <c r="N90" s="60">
        <v>2011</v>
      </c>
      <c r="O90" s="56"/>
      <c r="P90" s="34">
        <f t="shared" si="4"/>
        <v>304539.7688976561</v>
      </c>
      <c r="Q90" s="34"/>
      <c r="R90" s="2"/>
      <c r="S90" s="34">
        <f t="shared" si="5"/>
        <v>223845.8215035101</v>
      </c>
    </row>
    <row r="91" spans="2:19" ht="14.25" customHeight="1">
      <c r="B91" s="5"/>
      <c r="C91" s="5"/>
      <c r="D91" s="5"/>
      <c r="E91" s="5"/>
      <c r="F91" s="5"/>
      <c r="G91" s="5"/>
      <c r="J91" s="22"/>
      <c r="K91" s="20"/>
      <c r="L91" s="42"/>
      <c r="M91" s="31"/>
      <c r="N91" s="60">
        <v>2012</v>
      </c>
      <c r="O91" s="56"/>
      <c r="P91" s="34">
        <f t="shared" si="4"/>
        <v>312153.2631200975</v>
      </c>
      <c r="Q91" s="34"/>
      <c r="R91" s="2"/>
      <c r="S91" s="34">
        <f t="shared" si="5"/>
        <v>212446.26577879427</v>
      </c>
    </row>
    <row r="92" spans="2:19" ht="14.25" customHeight="1">
      <c r="B92" s="5"/>
      <c r="C92" s="5"/>
      <c r="D92" s="5"/>
      <c r="E92" s="5"/>
      <c r="F92" s="5"/>
      <c r="G92" s="5"/>
      <c r="J92" s="22"/>
      <c r="K92" s="20"/>
      <c r="L92" s="42"/>
      <c r="M92" s="31"/>
      <c r="N92" s="60">
        <v>2013</v>
      </c>
      <c r="O92" s="56"/>
      <c r="P92" s="34">
        <f t="shared" si="4"/>
        <v>319957.09469809994</v>
      </c>
      <c r="Q92" s="34"/>
      <c r="R92" s="2"/>
      <c r="S92" s="34">
        <f t="shared" si="5"/>
        <v>201627.24298450377</v>
      </c>
    </row>
    <row r="93" spans="2:19" ht="14.25" customHeight="1">
      <c r="B93" s="5"/>
      <c r="C93" s="5"/>
      <c r="D93" s="5"/>
      <c r="E93" s="5"/>
      <c r="F93" s="5"/>
      <c r="G93" s="5"/>
      <c r="J93" s="22"/>
      <c r="K93" s="20"/>
      <c r="L93" s="42"/>
      <c r="M93" s="31"/>
      <c r="N93" s="60">
        <v>2014</v>
      </c>
      <c r="O93" s="56"/>
      <c r="P93" s="34">
        <f t="shared" si="4"/>
        <v>327956.0220655524</v>
      </c>
      <c r="Q93" s="34"/>
      <c r="R93" s="2"/>
      <c r="S93" s="34">
        <f t="shared" si="5"/>
        <v>191359.18894362627</v>
      </c>
    </row>
    <row r="94" spans="2:19" ht="14.25" customHeight="1">
      <c r="B94" s="5"/>
      <c r="C94" s="5"/>
      <c r="D94" s="5"/>
      <c r="E94" s="5"/>
      <c r="F94" s="5"/>
      <c r="G94" s="5"/>
      <c r="J94" s="22"/>
      <c r="K94" s="20"/>
      <c r="L94" s="42"/>
      <c r="M94" s="31"/>
      <c r="N94" s="60">
        <v>2015</v>
      </c>
      <c r="O94" s="56"/>
      <c r="P94" s="34">
        <f>P93*(1+2.5/100)^1</f>
        <v>336154.9226171912</v>
      </c>
      <c r="Q94" s="34"/>
      <c r="R94" s="2"/>
      <c r="S94" s="34">
        <f t="shared" si="5"/>
        <v>181614.04506223788</v>
      </c>
    </row>
    <row r="95" spans="2:19" ht="14.25" customHeight="1">
      <c r="B95" s="5"/>
      <c r="C95" s="5"/>
      <c r="D95" s="5"/>
      <c r="E95" s="5"/>
      <c r="F95" s="5"/>
      <c r="G95" s="5"/>
      <c r="J95" s="22"/>
      <c r="K95" s="20"/>
      <c r="L95" s="42"/>
      <c r="M95" s="31"/>
      <c r="N95" s="60">
        <v>2016</v>
      </c>
      <c r="O95" s="56"/>
      <c r="P95" s="34">
        <f>P94*(1+2.5/100)^1</f>
        <v>344558.79568262096</v>
      </c>
      <c r="Q95" s="34"/>
      <c r="R95" s="2"/>
      <c r="S95" s="34">
        <f t="shared" si="5"/>
        <v>172365.18165629057</v>
      </c>
    </row>
    <row r="96" spans="2:19" ht="14.25" customHeight="1">
      <c r="B96" s="5"/>
      <c r="C96" s="5"/>
      <c r="D96" s="5"/>
      <c r="E96" s="5"/>
      <c r="F96" s="5"/>
      <c r="G96" s="5"/>
      <c r="J96" s="22"/>
      <c r="K96" s="20"/>
      <c r="L96" s="42"/>
      <c r="M96" s="31"/>
      <c r="N96" s="60">
        <v>2017</v>
      </c>
      <c r="O96" s="56"/>
      <c r="P96" s="34">
        <f aca="true" t="shared" si="6" ref="P96:P106">P95*(1+2.5/100)^1</f>
        <v>353172.76557468646</v>
      </c>
      <c r="Q96" s="34"/>
      <c r="R96" s="2"/>
      <c r="S96" s="34">
        <f t="shared" si="5"/>
        <v>163587.32518305353</v>
      </c>
    </row>
    <row r="97" spans="2:19" ht="14.25" customHeight="1">
      <c r="B97" s="5"/>
      <c r="C97" s="5"/>
      <c r="D97" s="5"/>
      <c r="E97" s="5"/>
      <c r="F97" s="5"/>
      <c r="G97" s="5"/>
      <c r="J97" s="22"/>
      <c r="K97" s="20"/>
      <c r="L97" s="42"/>
      <c r="M97" s="31"/>
      <c r="N97" s="60">
        <v>2018</v>
      </c>
      <c r="O97" s="56"/>
      <c r="P97" s="34">
        <f t="shared" si="6"/>
        <v>362002.0847140536</v>
      </c>
      <c r="Q97" s="34"/>
      <c r="R97" s="2"/>
      <c r="S97" s="34">
        <f t="shared" si="5"/>
        <v>155256.48917836096</v>
      </c>
    </row>
    <row r="98" spans="2:19" ht="14.25" customHeight="1">
      <c r="B98" s="5"/>
      <c r="C98" s="5"/>
      <c r="D98" s="5"/>
      <c r="E98" s="5"/>
      <c r="F98" s="5"/>
      <c r="G98" s="5"/>
      <c r="J98" s="22"/>
      <c r="K98" s="20"/>
      <c r="L98" s="42"/>
      <c r="M98" s="31"/>
      <c r="N98" s="60">
        <v>2019</v>
      </c>
      <c r="O98" s="56"/>
      <c r="P98" s="34">
        <f t="shared" si="6"/>
        <v>371052.13683190494</v>
      </c>
      <c r="Q98" s="34"/>
      <c r="R98" s="2"/>
      <c r="S98" s="34">
        <f t="shared" si="5"/>
        <v>147349.9087109444</v>
      </c>
    </row>
    <row r="99" spans="2:19" ht="14.25" customHeight="1">
      <c r="B99" s="5"/>
      <c r="C99" s="5"/>
      <c r="D99" s="5"/>
      <c r="E99" s="5"/>
      <c r="F99" s="5"/>
      <c r="G99" s="5"/>
      <c r="J99" s="22"/>
      <c r="K99" s="20"/>
      <c r="L99" s="42"/>
      <c r="M99" s="31"/>
      <c r="N99" s="60">
        <v>2020</v>
      </c>
      <c r="O99" s="56"/>
      <c r="P99" s="34">
        <f t="shared" si="6"/>
        <v>380328.4402527025</v>
      </c>
      <c r="Q99" s="34"/>
      <c r="R99" s="2"/>
      <c r="S99" s="34">
        <f t="shared" si="5"/>
        <v>139845.9781747389</v>
      </c>
    </row>
    <row r="100" spans="2:19" ht="14.25" customHeight="1">
      <c r="B100" s="5"/>
      <c r="C100" s="5"/>
      <c r="D100" s="5"/>
      <c r="E100" s="5"/>
      <c r="F100" s="5"/>
      <c r="G100" s="5"/>
      <c r="J100" s="22"/>
      <c r="K100" s="20"/>
      <c r="L100" s="42"/>
      <c r="M100" s="31"/>
      <c r="N100" s="60">
        <v>2021</v>
      </c>
      <c r="O100" s="56"/>
      <c r="P100" s="34">
        <f t="shared" si="6"/>
        <v>389836.65125902</v>
      </c>
      <c r="Q100" s="34"/>
      <c r="R100" s="2"/>
      <c r="S100" s="34">
        <f t="shared" si="5"/>
        <v>132724.19224917347</v>
      </c>
    </row>
    <row r="101" spans="2:19" ht="14.25" customHeight="1">
      <c r="B101" s="5"/>
      <c r="C101" s="5"/>
      <c r="D101" s="5"/>
      <c r="E101" s="5"/>
      <c r="F101" s="5"/>
      <c r="G101" s="5"/>
      <c r="J101" s="22"/>
      <c r="K101" s="20"/>
      <c r="L101" s="42"/>
      <c r="M101" s="31"/>
      <c r="N101" s="60">
        <v>2022</v>
      </c>
      <c r="O101" s="56"/>
      <c r="P101" s="34">
        <f t="shared" si="6"/>
        <v>399582.5675404955</v>
      </c>
      <c r="Q101" s="34"/>
      <c r="R101" s="2"/>
      <c r="S101" s="34">
        <f t="shared" si="5"/>
        <v>125965.08986611366</v>
      </c>
    </row>
    <row r="102" spans="2:19" ht="14.25" customHeight="1">
      <c r="B102" s="5"/>
      <c r="C102" s="5"/>
      <c r="D102" s="5"/>
      <c r="E102" s="5"/>
      <c r="F102" s="5"/>
      <c r="G102" s="5"/>
      <c r="J102" s="22"/>
      <c r="K102" s="20"/>
      <c r="L102" s="42"/>
      <c r="M102" s="31"/>
      <c r="N102" s="60">
        <v>2023</v>
      </c>
      <c r="O102" s="56"/>
      <c r="P102" s="34">
        <f t="shared" si="6"/>
        <v>409572.1317290078</v>
      </c>
      <c r="Q102" s="34"/>
      <c r="R102" s="2"/>
      <c r="S102" s="34">
        <f t="shared" si="5"/>
        <v>119550.20103033935</v>
      </c>
    </row>
    <row r="103" spans="2:19" ht="14.25" customHeight="1">
      <c r="B103" s="5"/>
      <c r="C103" s="5"/>
      <c r="D103" s="5"/>
      <c r="E103" s="5"/>
      <c r="F103" s="5"/>
      <c r="G103" s="5"/>
      <c r="J103" s="22"/>
      <c r="K103" s="20"/>
      <c r="L103" s="42"/>
      <c r="M103" s="31"/>
      <c r="N103" s="60">
        <v>2024</v>
      </c>
      <c r="O103" s="56"/>
      <c r="P103" s="34">
        <f t="shared" si="6"/>
        <v>419811.435022233</v>
      </c>
      <c r="Q103" s="34"/>
      <c r="R103" s="2"/>
      <c r="S103" s="34">
        <f t="shared" si="5"/>
        <v>113461.99634823874</v>
      </c>
    </row>
    <row r="104" spans="2:19" ht="14.25" customHeight="1">
      <c r="B104" s="5"/>
      <c r="C104" s="5"/>
      <c r="D104" s="5"/>
      <c r="E104" s="5"/>
      <c r="F104" s="5"/>
      <c r="G104" s="5"/>
      <c r="J104" s="22"/>
      <c r="K104" s="20"/>
      <c r="L104" s="42"/>
      <c r="M104" s="31"/>
      <c r="N104" s="60">
        <v>2025</v>
      </c>
      <c r="O104" s="56"/>
      <c r="P104" s="34">
        <f t="shared" si="6"/>
        <v>430306.72089778876</v>
      </c>
      <c r="Q104" s="34"/>
      <c r="R104" s="2"/>
      <c r="S104" s="34">
        <f t="shared" si="5"/>
        <v>107683.83912680061</v>
      </c>
    </row>
    <row r="105" spans="2:19" ht="14.25" customHeight="1">
      <c r="B105" s="5"/>
      <c r="C105" s="5"/>
      <c r="D105" s="5"/>
      <c r="E105" s="5"/>
      <c r="F105" s="5"/>
      <c r="G105" s="5"/>
      <c r="J105" s="22"/>
      <c r="K105" s="20"/>
      <c r="L105" s="42"/>
      <c r="M105" s="31"/>
      <c r="N105" s="60">
        <v>2026</v>
      </c>
      <c r="O105" s="56"/>
      <c r="P105" s="34">
        <f t="shared" si="6"/>
        <v>441064.38892023347</v>
      </c>
      <c r="Q105" s="34"/>
      <c r="R105" s="2"/>
      <c r="S105" s="34">
        <f t="shared" si="5"/>
        <v>102199.93991200984</v>
      </c>
    </row>
    <row r="106" spans="2:19" ht="14.25" customHeight="1">
      <c r="B106" s="5"/>
      <c r="C106" s="5"/>
      <c r="D106" s="5"/>
      <c r="E106" s="5"/>
      <c r="F106" s="5"/>
      <c r="G106" s="5"/>
      <c r="J106" s="22"/>
      <c r="K106" s="20"/>
      <c r="L106" s="42"/>
      <c r="M106" s="31"/>
      <c r="N106" s="60">
        <v>2027</v>
      </c>
      <c r="O106" s="56"/>
      <c r="P106" s="34">
        <f t="shared" si="6"/>
        <v>452090.99864323926</v>
      </c>
      <c r="Q106" s="34"/>
      <c r="R106" s="2"/>
      <c r="S106" s="108">
        <f t="shared" si="5"/>
        <v>96995.31334241673</v>
      </c>
    </row>
    <row r="107" spans="2:18" ht="14.25" customHeight="1">
      <c r="B107" s="5"/>
      <c r="C107" s="5"/>
      <c r="D107" s="5"/>
      <c r="E107" s="5"/>
      <c r="F107" s="5"/>
      <c r="G107" s="5"/>
      <c r="J107" s="22"/>
      <c r="K107" s="20"/>
      <c r="L107" s="42"/>
      <c r="M107" s="31"/>
      <c r="N107" s="56"/>
      <c r="O107" s="56"/>
      <c r="P107" s="54"/>
      <c r="Q107" s="54"/>
      <c r="R107" s="2"/>
    </row>
    <row r="108" spans="2:19" ht="14.25" customHeight="1" thickBot="1">
      <c r="B108" s="5"/>
      <c r="C108" s="5"/>
      <c r="D108" s="5"/>
      <c r="E108" s="5"/>
      <c r="F108" s="5"/>
      <c r="G108" s="5"/>
      <c r="J108" s="22"/>
      <c r="K108" s="20"/>
      <c r="L108" s="42"/>
      <c r="M108" s="31"/>
      <c r="O108" s="55"/>
      <c r="P108" s="55" t="s">
        <v>64</v>
      </c>
      <c r="Q108" s="34"/>
      <c r="R108" s="48">
        <f>P87*(1+0.08)^-(N87-2007)+P88*(1+0.08)^-(N88-2007)+P89*(1+0.08)^-(N89-2007)+P90*(1+0.08)^-(N90-2007)+P91*(1+0.08)^-(N91-2007)+P92*(1+0.08)^-(N92-2007)+P93*(1+0.08)^-(N93-2007)+P94*(1+0.08)^-(N94-2007)+P95*(1+0.08)^-(N95-2007)+P96*(1+0.08)^-(N96-2007)+P97*(1+0.08)^-(N97-2007)+P98*(1+0.08)^-(N98-2007)+P99*(1+0.08)^-(N99-2007)+P100*(1+0.08)^-(N100-2007)+P101*(1+0.08)^-(N101-2007)+P102*(1+0.08)^-(N102-2007)+P103*(1+0.08)^-(N103-2007)+P104*(1+0.08)^-(N104-2007)+P105*(1+0.08)^-(N105-2007)+P106*(1+0.08)^-(N106-2007)</f>
        <v>3334095.5240731346</v>
      </c>
      <c r="S108" s="109">
        <f>SUM(S87:S106)</f>
        <v>3334095.5240731346</v>
      </c>
    </row>
    <row r="109" spans="2:18" ht="14.25" customHeight="1">
      <c r="B109" s="5"/>
      <c r="C109" s="5"/>
      <c r="D109" s="5"/>
      <c r="E109" s="5"/>
      <c r="F109" s="5"/>
      <c r="G109" s="5"/>
      <c r="J109" s="22"/>
      <c r="K109" s="20"/>
      <c r="L109" s="42"/>
      <c r="M109" s="31"/>
      <c r="N109" s="55"/>
      <c r="O109" s="55"/>
      <c r="P109" s="34"/>
      <c r="Q109" s="34"/>
      <c r="R109" s="2"/>
    </row>
    <row r="110" spans="2:18" ht="14.25" customHeight="1">
      <c r="B110" s="5"/>
      <c r="C110" s="5"/>
      <c r="D110" s="5"/>
      <c r="E110" s="5"/>
      <c r="F110" s="5"/>
      <c r="G110" s="5"/>
      <c r="I110" s="12"/>
      <c r="J110" s="22"/>
      <c r="K110" s="19"/>
      <c r="L110" s="46"/>
      <c r="M110" s="30"/>
      <c r="O110" s="55"/>
      <c r="P110" s="55" t="s">
        <v>234</v>
      </c>
      <c r="Q110" s="55"/>
      <c r="R110" s="61">
        <f>R80+R108</f>
        <v>31175384.6816662</v>
      </c>
    </row>
    <row r="111" spans="2:18" ht="14.25">
      <c r="B111" s="5"/>
      <c r="C111" s="5"/>
      <c r="D111" s="5"/>
      <c r="E111" s="5"/>
      <c r="F111" s="5"/>
      <c r="G111" s="5"/>
      <c r="I111" s="12"/>
      <c r="J111" s="22"/>
      <c r="K111" s="19"/>
      <c r="L111" s="43"/>
      <c r="M111" s="9"/>
      <c r="N111" s="9"/>
      <c r="O111" s="9"/>
      <c r="P111" s="2"/>
      <c r="Q111" s="2"/>
      <c r="R111" s="2"/>
    </row>
    <row r="112" spans="2:18" ht="15">
      <c r="B112" s="5"/>
      <c r="C112" s="5"/>
      <c r="D112" s="5"/>
      <c r="E112" s="5"/>
      <c r="F112" s="5"/>
      <c r="G112" s="5"/>
      <c r="I112" s="12"/>
      <c r="J112" s="22"/>
      <c r="K112" s="19"/>
      <c r="L112" s="46"/>
      <c r="M112" s="30"/>
      <c r="N112" s="34"/>
      <c r="O112" s="34"/>
      <c r="P112" s="2"/>
      <c r="Q112" s="2"/>
      <c r="R112" s="2"/>
    </row>
    <row r="113" spans="1:15" ht="14.25">
      <c r="A113" s="5"/>
      <c r="B113" s="5"/>
      <c r="C113" s="5"/>
      <c r="D113" s="5"/>
      <c r="E113" s="5"/>
      <c r="F113" s="5"/>
      <c r="G113" s="5"/>
      <c r="H113" s="12"/>
      <c r="I113" s="12"/>
      <c r="J113" s="22"/>
      <c r="K113" s="24"/>
      <c r="L113" s="42"/>
      <c r="M113" s="9"/>
      <c r="N113" s="11"/>
      <c r="O113" s="11"/>
    </row>
    <row r="114" spans="1:15" ht="14.25">
      <c r="A114" s="5"/>
      <c r="B114" s="5"/>
      <c r="C114" s="5"/>
      <c r="D114" s="5"/>
      <c r="E114" s="5"/>
      <c r="F114" s="5"/>
      <c r="G114" s="5"/>
      <c r="H114" s="12"/>
      <c r="I114" s="12"/>
      <c r="J114" s="27"/>
      <c r="K114" s="24"/>
      <c r="L114" s="42"/>
      <c r="M114" s="9"/>
      <c r="N114" s="11"/>
      <c r="O114" s="11"/>
    </row>
    <row r="115" spans="1:15" ht="14.25">
      <c r="A115" s="5"/>
      <c r="B115" s="5"/>
      <c r="C115" s="5"/>
      <c r="D115" s="5"/>
      <c r="E115" s="5"/>
      <c r="F115" s="5"/>
      <c r="G115" s="5"/>
      <c r="H115" s="12"/>
      <c r="I115" s="12"/>
      <c r="J115" s="27"/>
      <c r="K115" s="24"/>
      <c r="L115" s="42"/>
      <c r="M115" s="5"/>
      <c r="N115" s="11"/>
      <c r="O115" s="11"/>
    </row>
    <row r="116" spans="1:15" ht="14.25">
      <c r="A116" s="5"/>
      <c r="B116" s="5"/>
      <c r="C116" s="5"/>
      <c r="D116" s="5"/>
      <c r="E116" s="5"/>
      <c r="F116" s="5"/>
      <c r="G116" s="5"/>
      <c r="H116" s="12"/>
      <c r="I116" s="12"/>
      <c r="J116" s="27"/>
      <c r="K116" s="24"/>
      <c r="L116" s="42"/>
      <c r="M116" s="5"/>
      <c r="N116" s="5"/>
      <c r="O116" s="5"/>
    </row>
    <row r="117" spans="1:15" ht="14.25">
      <c r="A117" s="5"/>
      <c r="B117" s="5"/>
      <c r="C117" s="5"/>
      <c r="D117" s="5"/>
      <c r="E117" s="5"/>
      <c r="F117" s="5"/>
      <c r="G117" s="5"/>
      <c r="H117" s="12"/>
      <c r="I117" s="12"/>
      <c r="J117" s="27"/>
      <c r="K117" s="24"/>
      <c r="L117" s="42"/>
      <c r="M117" s="9"/>
      <c r="N117" s="11"/>
      <c r="O117" s="11"/>
    </row>
    <row r="118" spans="1:15" ht="14.25">
      <c r="A118" s="5"/>
      <c r="B118" s="5"/>
      <c r="C118" s="5"/>
      <c r="D118" s="5"/>
      <c r="E118" s="5"/>
      <c r="F118" s="5"/>
      <c r="G118" s="5"/>
      <c r="H118" s="12"/>
      <c r="I118" s="12"/>
      <c r="J118" s="22"/>
      <c r="K118" s="19"/>
      <c r="L118" s="42"/>
      <c r="M118" s="9"/>
      <c r="N118" s="11"/>
      <c r="O118" s="11"/>
    </row>
    <row r="119" spans="8:15" ht="14.25">
      <c r="H119" s="12"/>
      <c r="I119" s="12"/>
      <c r="J119" s="22"/>
      <c r="K119" s="19"/>
      <c r="L119" s="42"/>
      <c r="M119" s="9"/>
      <c r="N119" s="11"/>
      <c r="O119" s="11"/>
    </row>
    <row r="120" spans="8:15" ht="14.25">
      <c r="H120" s="12"/>
      <c r="J120" s="22"/>
      <c r="K120" s="19"/>
      <c r="L120" s="42"/>
      <c r="M120" s="5"/>
      <c r="N120" s="5"/>
      <c r="O120" s="5"/>
    </row>
    <row r="121" spans="8:15" ht="14.25">
      <c r="H121" s="12"/>
      <c r="J121" s="27"/>
      <c r="K121" s="24"/>
      <c r="L121" s="42"/>
      <c r="M121" s="5"/>
      <c r="N121" s="5"/>
      <c r="O121" s="5"/>
    </row>
    <row r="122" spans="8:15" ht="14.25">
      <c r="H122" s="12"/>
      <c r="J122" s="27"/>
      <c r="K122" s="24"/>
      <c r="L122" s="43"/>
      <c r="M122" s="9"/>
      <c r="N122" s="11"/>
      <c r="O122" s="11"/>
    </row>
  </sheetData>
  <sheetProtection/>
  <mergeCells count="24">
    <mergeCell ref="A1:R1"/>
    <mergeCell ref="A2:R2"/>
    <mergeCell ref="A3:R3"/>
    <mergeCell ref="A5:R5"/>
    <mergeCell ref="A6:R6"/>
    <mergeCell ref="A41:R41"/>
    <mergeCell ref="A42:R42"/>
    <mergeCell ref="A43:R43"/>
    <mergeCell ref="N10:N12"/>
    <mergeCell ref="H11:H12"/>
    <mergeCell ref="J10:J12"/>
    <mergeCell ref="A8:R8"/>
    <mergeCell ref="B12:G12"/>
    <mergeCell ref="L10:L12"/>
    <mergeCell ref="A45:R45"/>
    <mergeCell ref="Z22:AA22"/>
    <mergeCell ref="Z25:AA25"/>
    <mergeCell ref="B52:G52"/>
    <mergeCell ref="J50:J52"/>
    <mergeCell ref="L50:L52"/>
    <mergeCell ref="N50:N52"/>
    <mergeCell ref="H51:H52"/>
    <mergeCell ref="A46:R46"/>
    <mergeCell ref="A48:R48"/>
  </mergeCells>
  <printOptions horizontalCentered="1"/>
  <pageMargins left="0.5" right="0.5" top="0.5" bottom="0.75" header="0.5" footer="0.5"/>
  <pageSetup horizontalDpi="600" verticalDpi="600" orientation="portrait" scale="59" r:id="rId2"/>
  <headerFooter alignWithMargins="0">
    <oddFooter>&amp;R&amp;8&amp;D
&amp;P of &amp;N</oddFooter>
  </headerFooter>
  <rowBreaks count="1" manualBreakCount="1">
    <brk id="40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49">
      <selection activeCell="F26" sqref="F26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91" t="s">
        <v>229</v>
      </c>
      <c r="B8" s="191"/>
      <c r="C8" s="191"/>
      <c r="D8" s="191"/>
      <c r="E8" s="191"/>
      <c r="F8" s="191"/>
      <c r="G8" s="191"/>
      <c r="H8" s="191"/>
      <c r="I8" s="191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0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0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0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5"/>
  <sheetViews>
    <sheetView zoomScale="75" zoomScaleNormal="75" zoomScalePageLayoutView="0" workbookViewId="0" topLeftCell="A73">
      <selection activeCell="F26" sqref="F26"/>
    </sheetView>
  </sheetViews>
  <sheetFormatPr defaultColWidth="9.140625" defaultRowHeight="12.75"/>
  <cols>
    <col min="1" max="1" width="60.7109375" style="0" customWidth="1"/>
    <col min="2" max="2" width="15.7109375" style="0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91" t="s">
        <v>230</v>
      </c>
      <c r="B8" s="191"/>
      <c r="C8" s="191"/>
      <c r="D8" s="191"/>
      <c r="E8" s="191"/>
      <c r="F8" s="191"/>
      <c r="G8" s="191"/>
      <c r="H8" s="191"/>
      <c r="I8" s="191"/>
      <c r="J8" s="134"/>
      <c r="K8" s="134"/>
      <c r="L8" s="134"/>
      <c r="M8" s="134"/>
      <c r="N8" s="134"/>
      <c r="O8" s="134"/>
      <c r="P8" s="134"/>
      <c r="Q8" s="134"/>
      <c r="R8" s="134"/>
    </row>
    <row r="9" spans="1:9" s="2" customFormat="1" ht="18.75">
      <c r="A9" s="192" t="s">
        <v>421</v>
      </c>
      <c r="B9" s="192"/>
      <c r="C9" s="192"/>
      <c r="D9" s="192"/>
      <c r="E9" s="192"/>
      <c r="F9" s="192"/>
      <c r="G9" s="192"/>
      <c r="H9" s="192"/>
      <c r="I9" s="192"/>
    </row>
    <row r="10" spans="1:3" s="2" customFormat="1" ht="12.75">
      <c r="A10" s="73"/>
      <c r="B10" s="73"/>
      <c r="C10" s="68"/>
    </row>
    <row r="11" spans="1:9" s="2" customFormat="1" ht="15">
      <c r="A11" s="153" t="s">
        <v>21</v>
      </c>
      <c r="B11" s="168"/>
      <c r="C11" s="5"/>
      <c r="D11" s="5"/>
      <c r="E11" s="5"/>
      <c r="F11" s="5"/>
      <c r="G11" s="5"/>
      <c r="H11" s="5"/>
      <c r="I11" s="5"/>
    </row>
    <row r="12" spans="1:9" s="2" customFormat="1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s="2" customFormat="1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s="2" customFormat="1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10" s="2" customFormat="1" ht="14.25">
      <c r="A15" s="5"/>
      <c r="B15" s="19"/>
      <c r="C15" s="5"/>
      <c r="D15" s="5"/>
      <c r="E15" s="5"/>
      <c r="F15" s="169"/>
      <c r="G15" s="169"/>
      <c r="H15" s="169"/>
      <c r="I15" s="169"/>
      <c r="J15" s="75"/>
    </row>
    <row r="16" spans="1:10" s="2" customFormat="1" ht="15">
      <c r="A16" s="170" t="s">
        <v>51</v>
      </c>
      <c r="B16" s="125"/>
      <c r="C16" s="83"/>
      <c r="D16" s="83"/>
      <c r="E16" s="83"/>
      <c r="F16" s="83"/>
      <c r="G16" s="83"/>
      <c r="H16" s="83"/>
      <c r="I16" s="83"/>
      <c r="J16" s="74"/>
    </row>
    <row r="17" spans="1:9" s="2" customFormat="1" ht="14.25">
      <c r="A17" s="5" t="s">
        <v>345</v>
      </c>
      <c r="B17" s="157">
        <f>T_S_Loadout_Cost_Worksheet!B23</f>
        <v>6.5520000000000005</v>
      </c>
      <c r="C17" s="63" t="s">
        <v>50</v>
      </c>
      <c r="D17" s="5"/>
      <c r="E17" s="5"/>
      <c r="F17" s="5"/>
      <c r="G17" s="5"/>
      <c r="H17" s="5"/>
      <c r="I17" s="5"/>
    </row>
    <row r="18" spans="1:9" s="2" customFormat="1" ht="14.25">
      <c r="A18" s="5" t="s">
        <v>346</v>
      </c>
      <c r="B18" s="160">
        <f>T_S_Loadout_Cost_Worksheet!B24</f>
        <v>5.76576</v>
      </c>
      <c r="C18" s="63" t="s">
        <v>50</v>
      </c>
      <c r="D18" s="5"/>
      <c r="E18" s="5"/>
      <c r="F18" s="5"/>
      <c r="G18" s="5"/>
      <c r="H18" s="5"/>
      <c r="I18" s="5"/>
    </row>
    <row r="19" spans="1:9" s="2" customFormat="1" ht="14.25">
      <c r="A19" s="5" t="s">
        <v>347</v>
      </c>
      <c r="B19" s="160">
        <f>T_S_Loadout_Cost_Worksheet!B25</f>
        <v>3.9967200000000003</v>
      </c>
      <c r="C19" s="63" t="s">
        <v>50</v>
      </c>
      <c r="D19" s="5"/>
      <c r="E19" s="5"/>
      <c r="F19" s="5"/>
      <c r="G19" s="5"/>
      <c r="H19" s="5"/>
      <c r="I19" s="5"/>
    </row>
    <row r="20" spans="1:9" s="2" customFormat="1" ht="14.25">
      <c r="A20" s="5" t="s">
        <v>348</v>
      </c>
      <c r="B20" s="160">
        <f>T_S_Loadout_Cost_Worksheet!B26</f>
        <v>5.76576</v>
      </c>
      <c r="C20" s="63" t="s">
        <v>50</v>
      </c>
      <c r="D20" s="5"/>
      <c r="E20" s="5"/>
      <c r="F20" s="5"/>
      <c r="G20" s="5"/>
      <c r="H20" s="5"/>
      <c r="I20" s="5"/>
    </row>
    <row r="21" spans="1:9" s="2" customFormat="1" ht="14.25">
      <c r="A21" s="24" t="s">
        <v>22</v>
      </c>
      <c r="B21" s="172">
        <f>T_S_Loadout_Cost_Worksheet!B30</f>
        <v>50</v>
      </c>
      <c r="C21" s="63" t="s">
        <v>50</v>
      </c>
      <c r="D21" s="5"/>
      <c r="E21" s="5"/>
      <c r="F21" s="5"/>
      <c r="G21" s="5"/>
      <c r="H21" s="5"/>
      <c r="I21" s="5"/>
    </row>
    <row r="22" spans="1:9" s="2" customFormat="1" ht="14.25">
      <c r="A22" s="5" t="s">
        <v>349</v>
      </c>
      <c r="B22" s="164">
        <f>T_S_Loadout_Cost_Worksheet!B40</f>
        <v>285.29718497280004</v>
      </c>
      <c r="C22" s="159" t="s">
        <v>24</v>
      </c>
      <c r="D22" s="5"/>
      <c r="E22" s="5"/>
      <c r="F22" s="5"/>
      <c r="G22" s="5"/>
      <c r="H22" s="5"/>
      <c r="I22" s="5"/>
    </row>
    <row r="23" spans="1:9" s="2" customFormat="1" ht="14.25">
      <c r="A23" s="5" t="s">
        <v>350</v>
      </c>
      <c r="B23" s="164">
        <f>T_S_Loadout_Cost_Worksheet!B41</f>
        <v>197.7628214016</v>
      </c>
      <c r="C23" s="159" t="s">
        <v>24</v>
      </c>
      <c r="D23" s="5"/>
      <c r="E23" s="5"/>
      <c r="F23" s="5"/>
      <c r="G23" s="5"/>
      <c r="H23" s="5"/>
      <c r="I23" s="5"/>
    </row>
    <row r="24" spans="1:9" s="2" customFormat="1" ht="14.25">
      <c r="A24" s="5" t="s">
        <v>351</v>
      </c>
      <c r="B24" s="164">
        <f>T_S_Loadout_Cost_Worksheet!B42</f>
        <v>285.29718497280004</v>
      </c>
      <c r="C24" s="159" t="s">
        <v>24</v>
      </c>
      <c r="D24" s="5"/>
      <c r="E24" s="5"/>
      <c r="F24" s="5"/>
      <c r="G24" s="5"/>
      <c r="H24" s="5"/>
      <c r="I24" s="5"/>
    </row>
    <row r="25" spans="1:9" s="2" customFormat="1" ht="14.25">
      <c r="A25" s="5"/>
      <c r="B25" s="160"/>
      <c r="C25" s="63"/>
      <c r="D25" s="5"/>
      <c r="E25" s="5"/>
      <c r="F25" s="5"/>
      <c r="G25" s="5"/>
      <c r="H25" s="5"/>
      <c r="I25" s="5"/>
    </row>
    <row r="26" spans="1:9" s="2" customFormat="1" ht="15">
      <c r="A26" s="153" t="s">
        <v>27</v>
      </c>
      <c r="B26" s="160"/>
      <c r="C26" s="5"/>
      <c r="D26" s="5"/>
      <c r="E26" s="5"/>
      <c r="F26" s="171"/>
      <c r="G26" s="171"/>
      <c r="H26" s="171"/>
      <c r="I26" s="171"/>
    </row>
    <row r="27" spans="1:9" s="2" customFormat="1" ht="15">
      <c r="A27" s="153" t="s">
        <v>310</v>
      </c>
      <c r="B27" s="160"/>
      <c r="C27" s="5"/>
      <c r="D27" s="5"/>
      <c r="E27" s="5"/>
      <c r="F27" s="171"/>
      <c r="G27" s="171"/>
      <c r="H27" s="171"/>
      <c r="I27" s="171"/>
    </row>
    <row r="28" spans="1:9" s="2" customFormat="1" ht="14.25">
      <c r="A28" s="24" t="s">
        <v>332</v>
      </c>
      <c r="B28" s="172">
        <v>22</v>
      </c>
      <c r="C28" s="5"/>
      <c r="D28" s="5"/>
      <c r="E28" s="5"/>
      <c r="F28" s="171"/>
      <c r="G28" s="171"/>
      <c r="H28" s="171"/>
      <c r="I28" s="171"/>
    </row>
    <row r="29" spans="1:9" s="2" customFormat="1" ht="14.25">
      <c r="A29" s="136" t="s">
        <v>31</v>
      </c>
      <c r="B29" s="172"/>
      <c r="C29" s="5"/>
      <c r="D29" s="5"/>
      <c r="E29" s="5"/>
      <c r="F29" s="171"/>
      <c r="G29" s="171"/>
      <c r="H29" s="171"/>
      <c r="I29" s="171"/>
    </row>
    <row r="30" spans="1:9" s="2" customFormat="1" ht="14.25">
      <c r="A30" s="24" t="s">
        <v>352</v>
      </c>
      <c r="B30" s="160">
        <f>B28*0.88</f>
        <v>19.36</v>
      </c>
      <c r="C30" s="159" t="s">
        <v>333</v>
      </c>
      <c r="D30" s="5"/>
      <c r="E30" s="5"/>
      <c r="F30" s="171"/>
      <c r="G30" s="171"/>
      <c r="H30" s="171"/>
      <c r="I30" s="171"/>
    </row>
    <row r="31" spans="1:9" s="2" customFormat="1" ht="14.25">
      <c r="A31" s="24" t="s">
        <v>328</v>
      </c>
      <c r="B31" s="160">
        <f>B28*0.61</f>
        <v>13.42</v>
      </c>
      <c r="C31" s="159" t="s">
        <v>334</v>
      </c>
      <c r="D31" s="5"/>
      <c r="E31" s="5"/>
      <c r="F31" s="171"/>
      <c r="G31" s="171"/>
      <c r="H31" s="171"/>
      <c r="I31" s="171"/>
    </row>
    <row r="32" spans="1:9" s="2" customFormat="1" ht="14.25">
      <c r="A32" s="24" t="s">
        <v>353</v>
      </c>
      <c r="B32" s="160">
        <f>B28*0.88</f>
        <v>19.36</v>
      </c>
      <c r="C32" s="159" t="s">
        <v>354</v>
      </c>
      <c r="D32" s="5"/>
      <c r="E32" s="5"/>
      <c r="F32" s="171"/>
      <c r="G32" s="171"/>
      <c r="H32" s="171"/>
      <c r="I32" s="171"/>
    </row>
    <row r="33" spans="1:9" s="2" customFormat="1" ht="14.25">
      <c r="A33" s="24"/>
      <c r="B33" s="160"/>
      <c r="C33" s="159"/>
      <c r="D33" s="5"/>
      <c r="E33" s="5"/>
      <c r="F33" s="171"/>
      <c r="G33" s="171"/>
      <c r="H33" s="171"/>
      <c r="I33" s="171"/>
    </row>
    <row r="34" spans="1:9" s="2" customFormat="1" ht="15">
      <c r="A34" s="153" t="s">
        <v>49</v>
      </c>
      <c r="B34" s="160"/>
      <c r="C34" s="5"/>
      <c r="D34" s="5"/>
      <c r="E34" s="5"/>
      <c r="F34" s="171"/>
      <c r="G34" s="171"/>
      <c r="H34" s="171"/>
      <c r="I34" s="171"/>
    </row>
    <row r="35" spans="1:9" s="2" customFormat="1" ht="14.25">
      <c r="A35" s="136" t="s">
        <v>76</v>
      </c>
      <c r="B35" s="160"/>
      <c r="C35" s="5"/>
      <c r="D35" s="5"/>
      <c r="E35" s="5"/>
      <c r="F35" s="171"/>
      <c r="G35" s="171"/>
      <c r="H35" s="171"/>
      <c r="I35" s="171"/>
    </row>
    <row r="36" spans="1:9" s="2" customFormat="1" ht="14.25">
      <c r="A36" s="5" t="s">
        <v>75</v>
      </c>
      <c r="B36" s="172">
        <v>2</v>
      </c>
      <c r="C36" s="5"/>
      <c r="D36" s="5"/>
      <c r="E36" s="5"/>
      <c r="F36" s="171"/>
      <c r="G36" s="171"/>
      <c r="H36" s="171"/>
      <c r="I36" s="171"/>
    </row>
    <row r="37" spans="1:9" s="2" customFormat="1" ht="14.25">
      <c r="A37" s="24" t="s">
        <v>399</v>
      </c>
      <c r="B37" s="160">
        <f>B30/B18*B21/60</f>
        <v>2.798127798127798</v>
      </c>
      <c r="C37" s="63" t="s">
        <v>24</v>
      </c>
      <c r="D37" s="63"/>
      <c r="E37" s="63"/>
      <c r="F37" s="171"/>
      <c r="G37" s="171"/>
      <c r="H37" s="171"/>
      <c r="I37" s="171"/>
    </row>
    <row r="38" spans="1:9" s="2" customFormat="1" ht="14.25">
      <c r="A38" s="24" t="s">
        <v>198</v>
      </c>
      <c r="B38" s="160">
        <f>3.3*60/25+1.5</f>
        <v>9.42</v>
      </c>
      <c r="C38" s="63" t="s">
        <v>201</v>
      </c>
      <c r="D38" s="5"/>
      <c r="E38" s="5"/>
      <c r="F38" s="171"/>
      <c r="G38" s="171"/>
      <c r="H38" s="171"/>
      <c r="I38" s="171"/>
    </row>
    <row r="39" spans="1:9" s="2" customFormat="1" ht="14.25">
      <c r="A39" s="5" t="s">
        <v>200</v>
      </c>
      <c r="B39" s="172">
        <v>4</v>
      </c>
      <c r="C39" s="5"/>
      <c r="D39" s="5"/>
      <c r="E39" s="5"/>
      <c r="F39" s="171"/>
      <c r="G39" s="171"/>
      <c r="H39" s="171"/>
      <c r="I39" s="171"/>
    </row>
    <row r="40" spans="1:9" s="2" customFormat="1" ht="14.25">
      <c r="A40" s="24" t="s">
        <v>199</v>
      </c>
      <c r="B40" s="160">
        <f>3.3*60/25+3</f>
        <v>10.92</v>
      </c>
      <c r="C40" s="63" t="s">
        <v>202</v>
      </c>
      <c r="D40" s="5"/>
      <c r="E40" s="5"/>
      <c r="F40" s="171"/>
      <c r="G40" s="171"/>
      <c r="H40" s="171"/>
      <c r="I40" s="171"/>
    </row>
    <row r="41" spans="1:9" s="2" customFormat="1" ht="14.25">
      <c r="A41" s="136" t="s">
        <v>31</v>
      </c>
      <c r="B41" s="172"/>
      <c r="C41" s="5"/>
      <c r="D41" s="5"/>
      <c r="E41" s="5"/>
      <c r="F41" s="171"/>
      <c r="G41" s="171"/>
      <c r="H41" s="171"/>
      <c r="I41" s="171"/>
    </row>
    <row r="42" spans="1:9" s="2" customFormat="1" ht="14.25">
      <c r="A42" s="24" t="s">
        <v>400</v>
      </c>
      <c r="B42" s="160">
        <f>B36+B37+B38+B39+B40</f>
        <v>29.138127798127798</v>
      </c>
      <c r="C42" s="63" t="s">
        <v>24</v>
      </c>
      <c r="D42" s="5"/>
      <c r="E42" s="5"/>
      <c r="F42" s="171"/>
      <c r="G42" s="171"/>
      <c r="H42" s="171"/>
      <c r="I42" s="171"/>
    </row>
    <row r="43" spans="1:9" s="2" customFormat="1" ht="14.25">
      <c r="A43" s="24" t="s">
        <v>401</v>
      </c>
      <c r="B43" s="160">
        <f>B42/60</f>
        <v>0.48563546330213</v>
      </c>
      <c r="C43" s="63" t="s">
        <v>24</v>
      </c>
      <c r="D43" s="5"/>
      <c r="E43" s="5"/>
      <c r="F43" s="171"/>
      <c r="G43" s="171"/>
      <c r="H43" s="171"/>
      <c r="I43" s="171"/>
    </row>
    <row r="44" spans="1:9" s="2" customFormat="1" ht="14.25">
      <c r="A44" s="136" t="s">
        <v>52</v>
      </c>
      <c r="B44" s="160"/>
      <c r="C44" s="63"/>
      <c r="D44" s="5"/>
      <c r="E44" s="5"/>
      <c r="F44" s="171"/>
      <c r="G44" s="171"/>
      <c r="H44" s="171"/>
      <c r="I44" s="171"/>
    </row>
    <row r="45" spans="1:9" s="2" customFormat="1" ht="14.25">
      <c r="A45" s="24" t="s">
        <v>355</v>
      </c>
      <c r="B45" s="160">
        <f>B30/B43</f>
        <v>39.865292926425965</v>
      </c>
      <c r="C45" s="63" t="s">
        <v>24</v>
      </c>
      <c r="D45" s="5"/>
      <c r="E45" s="5"/>
      <c r="F45" s="171"/>
      <c r="G45" s="171"/>
      <c r="H45" s="171"/>
      <c r="I45" s="171"/>
    </row>
    <row r="46" spans="1:9" s="2" customFormat="1" ht="14.25">
      <c r="A46" s="24" t="s">
        <v>329</v>
      </c>
      <c r="B46" s="160">
        <f>B31/B43</f>
        <v>27.633896233090727</v>
      </c>
      <c r="C46" s="63" t="s">
        <v>24</v>
      </c>
      <c r="D46" s="5"/>
      <c r="E46" s="5"/>
      <c r="F46" s="171"/>
      <c r="G46" s="171"/>
      <c r="H46" s="171"/>
      <c r="I46" s="171"/>
    </row>
    <row r="47" spans="1:9" s="2" customFormat="1" ht="14.25">
      <c r="A47" s="24" t="s">
        <v>356</v>
      </c>
      <c r="B47" s="160">
        <f>B32/B43</f>
        <v>39.865292926425965</v>
      </c>
      <c r="C47" s="63" t="s">
        <v>24</v>
      </c>
      <c r="D47" s="5"/>
      <c r="E47" s="5"/>
      <c r="F47" s="171"/>
      <c r="G47" s="171"/>
      <c r="H47" s="171"/>
      <c r="I47" s="171"/>
    </row>
    <row r="48" spans="1:9" s="2" customFormat="1" ht="14.25">
      <c r="A48" s="136" t="s">
        <v>32</v>
      </c>
      <c r="B48" s="172"/>
      <c r="C48" s="5"/>
      <c r="D48" s="5"/>
      <c r="E48" s="5"/>
      <c r="F48" s="171"/>
      <c r="G48" s="171"/>
      <c r="H48" s="171"/>
      <c r="I48" s="171"/>
    </row>
    <row r="49" spans="1:9" s="2" customFormat="1" ht="14.25">
      <c r="A49" s="136" t="s">
        <v>311</v>
      </c>
      <c r="B49" s="160">
        <v>1</v>
      </c>
      <c r="C49" s="63" t="s">
        <v>26</v>
      </c>
      <c r="D49" s="5"/>
      <c r="E49" s="5"/>
      <c r="F49" s="171"/>
      <c r="G49" s="171"/>
      <c r="H49" s="171"/>
      <c r="I49" s="171"/>
    </row>
    <row r="50" spans="1:9" s="2" customFormat="1" ht="14.25">
      <c r="A50" s="136" t="s">
        <v>312</v>
      </c>
      <c r="B50" s="160">
        <v>0.83</v>
      </c>
      <c r="C50" s="159" t="s">
        <v>37</v>
      </c>
      <c r="D50" s="5"/>
      <c r="E50" s="5"/>
      <c r="F50" s="171"/>
      <c r="G50" s="171"/>
      <c r="H50" s="171"/>
      <c r="I50" s="171"/>
    </row>
    <row r="51" spans="1:9" s="2" customFormat="1" ht="14.25">
      <c r="A51" s="136" t="s">
        <v>313</v>
      </c>
      <c r="B51" s="160">
        <v>0.95</v>
      </c>
      <c r="C51" s="63" t="s">
        <v>26</v>
      </c>
      <c r="D51" s="5"/>
      <c r="E51" s="5"/>
      <c r="F51" s="171"/>
      <c r="G51" s="171"/>
      <c r="H51" s="171"/>
      <c r="I51" s="171"/>
    </row>
    <row r="52" spans="1:9" s="2" customFormat="1" ht="14.25">
      <c r="A52" s="136" t="s">
        <v>31</v>
      </c>
      <c r="B52" s="160"/>
      <c r="C52" s="63"/>
      <c r="D52" s="5"/>
      <c r="E52" s="5"/>
      <c r="F52" s="171"/>
      <c r="G52" s="171"/>
      <c r="H52" s="171"/>
      <c r="I52" s="171"/>
    </row>
    <row r="53" spans="1:9" s="2" customFormat="1" ht="14.25">
      <c r="A53" s="136" t="s">
        <v>357</v>
      </c>
      <c r="B53" s="160">
        <f>B45*B49*B50*B51</f>
        <v>31.43378347248687</v>
      </c>
      <c r="C53" s="63" t="s">
        <v>24</v>
      </c>
      <c r="D53" s="5"/>
      <c r="E53" s="5"/>
      <c r="F53" s="171"/>
      <c r="G53" s="171"/>
      <c r="H53" s="171"/>
      <c r="I53" s="171"/>
    </row>
    <row r="54" spans="1:9" s="2" customFormat="1" ht="14.25">
      <c r="A54" s="136" t="s">
        <v>330</v>
      </c>
      <c r="B54" s="160">
        <f>B46*B49*B50*B51</f>
        <v>21.789327179792036</v>
      </c>
      <c r="C54" s="63" t="s">
        <v>24</v>
      </c>
      <c r="D54" s="5"/>
      <c r="E54" s="5"/>
      <c r="F54" s="171"/>
      <c r="G54" s="171"/>
      <c r="H54" s="171"/>
      <c r="I54" s="171"/>
    </row>
    <row r="55" spans="1:9" s="2" customFormat="1" ht="14.25">
      <c r="A55" s="136" t="s">
        <v>358</v>
      </c>
      <c r="B55" s="160">
        <f>B47*B49*B50*B51</f>
        <v>31.43378347248687</v>
      </c>
      <c r="C55" s="63" t="s">
        <v>24</v>
      </c>
      <c r="D55" s="5"/>
      <c r="E55" s="5"/>
      <c r="F55" s="171"/>
      <c r="G55" s="171"/>
      <c r="H55" s="171"/>
      <c r="I55" s="171"/>
    </row>
    <row r="56" spans="1:9" s="2" customFormat="1" ht="14.25">
      <c r="A56" s="136"/>
      <c r="B56" s="172"/>
      <c r="C56" s="5"/>
      <c r="D56" s="5"/>
      <c r="E56" s="5"/>
      <c r="F56" s="171"/>
      <c r="G56" s="171"/>
      <c r="H56" s="171"/>
      <c r="I56" s="171"/>
    </row>
    <row r="57" spans="1:9" s="2" customFormat="1" ht="15">
      <c r="A57" s="153" t="s">
        <v>359</v>
      </c>
      <c r="B57" s="160"/>
      <c r="C57" s="5"/>
      <c r="D57" s="5"/>
      <c r="E57" s="5"/>
      <c r="F57" s="171"/>
      <c r="G57" s="171"/>
      <c r="H57" s="171"/>
      <c r="I57" s="171"/>
    </row>
    <row r="58" spans="1:9" s="2" customFormat="1" ht="14.25">
      <c r="A58" s="136" t="s">
        <v>48</v>
      </c>
      <c r="B58" s="19"/>
      <c r="C58" s="165"/>
      <c r="D58" s="5"/>
      <c r="E58" s="5"/>
      <c r="F58" s="5"/>
      <c r="G58" s="5"/>
      <c r="H58" s="5"/>
      <c r="I58" s="5"/>
    </row>
    <row r="59" spans="1:9" s="2" customFormat="1" ht="14.25">
      <c r="A59" s="24" t="s">
        <v>360</v>
      </c>
      <c r="B59" s="19">
        <f>B12/365*7</f>
        <v>11506.849315068492</v>
      </c>
      <c r="C59" s="159" t="s">
        <v>74</v>
      </c>
      <c r="D59" s="5"/>
      <c r="E59" s="5"/>
      <c r="F59" s="5"/>
      <c r="G59" s="5"/>
      <c r="H59" s="5"/>
      <c r="I59" s="5"/>
    </row>
    <row r="60" spans="1:9" s="2" customFormat="1" ht="14.25">
      <c r="A60" s="24" t="s">
        <v>362</v>
      </c>
      <c r="B60" s="19">
        <f>B13/365*7</f>
        <v>4476.77808219178</v>
      </c>
      <c r="C60" s="159" t="s">
        <v>74</v>
      </c>
      <c r="D60" s="5"/>
      <c r="E60" s="5"/>
      <c r="F60" s="5"/>
      <c r="G60" s="5"/>
      <c r="H60" s="5"/>
      <c r="I60" s="5"/>
    </row>
    <row r="61" spans="1:9" s="2" customFormat="1" ht="14.25">
      <c r="A61" s="24" t="s">
        <v>364</v>
      </c>
      <c r="B61" s="19">
        <f>B14/365*7</f>
        <v>1119.194520547945</v>
      </c>
      <c r="C61" s="159" t="s">
        <v>74</v>
      </c>
      <c r="D61" s="5"/>
      <c r="E61" s="5"/>
      <c r="F61" s="5"/>
      <c r="G61" s="5"/>
      <c r="H61" s="5"/>
      <c r="I61" s="5"/>
    </row>
    <row r="62" spans="1:9" s="2" customFormat="1" ht="14.25">
      <c r="A62" s="24" t="s">
        <v>361</v>
      </c>
      <c r="B62" s="166">
        <f>B59/5</f>
        <v>2301.3698630136983</v>
      </c>
      <c r="C62" s="159" t="s">
        <v>73</v>
      </c>
      <c r="D62" s="5"/>
      <c r="E62" s="5"/>
      <c r="F62" s="5"/>
      <c r="G62" s="5"/>
      <c r="H62" s="5"/>
      <c r="I62" s="5"/>
    </row>
    <row r="63" spans="1:9" s="2" customFormat="1" ht="14.25">
      <c r="A63" s="24" t="s">
        <v>363</v>
      </c>
      <c r="B63" s="166">
        <f>B60/5</f>
        <v>895.355616438356</v>
      </c>
      <c r="C63" s="159" t="s">
        <v>73</v>
      </c>
      <c r="D63" s="5"/>
      <c r="E63" s="5"/>
      <c r="F63" s="5"/>
      <c r="G63" s="5"/>
      <c r="H63" s="5"/>
      <c r="I63" s="5"/>
    </row>
    <row r="64" spans="1:9" s="2" customFormat="1" ht="14.25">
      <c r="A64" s="24" t="s">
        <v>365</v>
      </c>
      <c r="B64" s="166">
        <f>B61/5</f>
        <v>223.838904109589</v>
      </c>
      <c r="C64" s="159" t="s">
        <v>73</v>
      </c>
      <c r="D64" s="5"/>
      <c r="E64" s="5"/>
      <c r="F64" s="5"/>
      <c r="G64" s="5"/>
      <c r="H64" s="5"/>
      <c r="I64" s="5"/>
    </row>
    <row r="65" spans="1:9" s="2" customFormat="1" ht="14.25">
      <c r="A65" s="5" t="s">
        <v>372</v>
      </c>
      <c r="B65" s="19">
        <f>B53*12</f>
        <v>377.20540166984244</v>
      </c>
      <c r="C65" s="159" t="s">
        <v>395</v>
      </c>
      <c r="D65" s="5"/>
      <c r="E65" s="5"/>
      <c r="F65" s="5"/>
      <c r="G65" s="5"/>
      <c r="H65" s="5"/>
      <c r="I65" s="5"/>
    </row>
    <row r="66" spans="1:9" s="2" customFormat="1" ht="14.25">
      <c r="A66" s="5" t="s">
        <v>373</v>
      </c>
      <c r="B66" s="19">
        <f>B54*12</f>
        <v>261.4719261575044</v>
      </c>
      <c r="C66" s="159" t="s">
        <v>395</v>
      </c>
      <c r="D66" s="5"/>
      <c r="E66" s="5"/>
      <c r="F66" s="5"/>
      <c r="G66" s="5"/>
      <c r="H66" s="5"/>
      <c r="I66" s="5"/>
    </row>
    <row r="67" spans="1:9" s="2" customFormat="1" ht="14.25">
      <c r="A67" s="5" t="s">
        <v>374</v>
      </c>
      <c r="B67" s="19">
        <f>B55*12</f>
        <v>377.20540166984244</v>
      </c>
      <c r="C67" s="159" t="s">
        <v>395</v>
      </c>
      <c r="D67" s="5"/>
      <c r="E67" s="5"/>
      <c r="F67" s="5"/>
      <c r="G67" s="5"/>
      <c r="H67" s="5"/>
      <c r="I67" s="5"/>
    </row>
    <row r="68" spans="1:9" s="2" customFormat="1" ht="14.25">
      <c r="A68" s="136" t="s">
        <v>31</v>
      </c>
      <c r="B68" s="19"/>
      <c r="C68" s="159"/>
      <c r="D68" s="5"/>
      <c r="E68" s="5"/>
      <c r="F68" s="5"/>
      <c r="G68" s="5"/>
      <c r="H68" s="5"/>
      <c r="I68" s="5"/>
    </row>
    <row r="69" spans="1:9" s="2" customFormat="1" ht="14.25">
      <c r="A69" s="5" t="s">
        <v>369</v>
      </c>
      <c r="B69" s="160">
        <f>B62/B65</f>
        <v>6.101105267384331</v>
      </c>
      <c r="C69" s="159" t="s">
        <v>24</v>
      </c>
      <c r="D69" s="5"/>
      <c r="E69" s="5"/>
      <c r="F69" s="5"/>
      <c r="G69" s="5"/>
      <c r="H69" s="5"/>
      <c r="I69" s="5"/>
    </row>
    <row r="70" spans="1:9" s="2" customFormat="1" ht="14.25">
      <c r="A70" s="5" t="s">
        <v>370</v>
      </c>
      <c r="B70" s="160">
        <f>B63/B66</f>
        <v>3.424289672685607</v>
      </c>
      <c r="C70" s="159" t="s">
        <v>24</v>
      </c>
      <c r="D70" s="5"/>
      <c r="E70" s="5"/>
      <c r="F70" s="5"/>
      <c r="G70" s="5"/>
      <c r="H70" s="5"/>
      <c r="I70" s="5"/>
    </row>
    <row r="71" spans="1:9" s="2" customFormat="1" ht="14.25">
      <c r="A71" s="5" t="s">
        <v>371</v>
      </c>
      <c r="B71" s="160">
        <f>B64/B67</f>
        <v>0.593413835323358</v>
      </c>
      <c r="C71" s="159" t="s">
        <v>24</v>
      </c>
      <c r="D71" s="5"/>
      <c r="E71" s="5"/>
      <c r="F71" s="5"/>
      <c r="G71" s="5"/>
      <c r="H71" s="5"/>
      <c r="I71" s="5"/>
    </row>
    <row r="72" spans="1:9" s="2" customFormat="1" ht="14.25">
      <c r="A72" s="5" t="s">
        <v>384</v>
      </c>
      <c r="B72" s="172">
        <v>10</v>
      </c>
      <c r="C72" s="159" t="s">
        <v>385</v>
      </c>
      <c r="D72" s="5"/>
      <c r="E72" s="5"/>
      <c r="F72" s="5"/>
      <c r="G72" s="5"/>
      <c r="H72" s="5"/>
      <c r="I72" s="5"/>
    </row>
    <row r="73" spans="1:18" s="62" customFormat="1" ht="18">
      <c r="A73" s="180" t="s">
        <v>15</v>
      </c>
      <c r="B73" s="180"/>
      <c r="C73" s="180"/>
      <c r="D73" s="180"/>
      <c r="E73" s="180"/>
      <c r="F73" s="180"/>
      <c r="G73" s="180"/>
      <c r="H73" s="180"/>
      <c r="I73" s="180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8" s="62" customFormat="1" ht="18">
      <c r="A74" s="181" t="s">
        <v>16</v>
      </c>
      <c r="B74" s="181"/>
      <c r="C74" s="181"/>
      <c r="D74" s="181"/>
      <c r="E74" s="181"/>
      <c r="F74" s="181"/>
      <c r="G74" s="181"/>
      <c r="H74" s="181"/>
      <c r="I74" s="181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s="62" customFormat="1" ht="18">
      <c r="A75" s="181" t="s">
        <v>17</v>
      </c>
      <c r="B75" s="181"/>
      <c r="C75" s="181"/>
      <c r="D75" s="181"/>
      <c r="E75" s="181"/>
      <c r="F75" s="181"/>
      <c r="G75" s="181"/>
      <c r="H75" s="181"/>
      <c r="I75" s="181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5" s="62" customFormat="1" ht="18">
      <c r="A76" s="101"/>
      <c r="C76" s="5"/>
      <c r="D76" s="5"/>
      <c r="E76" s="5"/>
    </row>
    <row r="77" spans="1:18" s="62" customFormat="1" ht="18">
      <c r="A77" s="180" t="s">
        <v>18</v>
      </c>
      <c r="B77" s="180"/>
      <c r="C77" s="180"/>
      <c r="D77" s="180"/>
      <c r="E77" s="180"/>
      <c r="F77" s="180"/>
      <c r="G77" s="180"/>
      <c r="H77" s="180"/>
      <c r="I77" s="180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s="62" customFormat="1" ht="18">
      <c r="A78" s="179"/>
      <c r="B78" s="179"/>
      <c r="C78" s="179"/>
      <c r="D78" s="179"/>
      <c r="E78" s="179"/>
      <c r="F78" s="179"/>
      <c r="G78" s="179"/>
      <c r="H78" s="179"/>
      <c r="I78" s="179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5" s="62" customFormat="1" ht="18" customHeight="1">
      <c r="B79" s="102"/>
      <c r="C79" s="5"/>
      <c r="D79" s="5"/>
      <c r="E79" s="5"/>
    </row>
    <row r="80" spans="1:18" ht="18" customHeight="1">
      <c r="A80" s="191" t="s">
        <v>230</v>
      </c>
      <c r="B80" s="191"/>
      <c r="C80" s="191"/>
      <c r="D80" s="191"/>
      <c r="E80" s="191"/>
      <c r="F80" s="191"/>
      <c r="G80" s="191"/>
      <c r="H80" s="191"/>
      <c r="I80" s="191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9" s="2" customFormat="1" ht="18.75">
      <c r="A81" s="192" t="s">
        <v>421</v>
      </c>
      <c r="B81" s="192"/>
      <c r="C81" s="192"/>
      <c r="D81" s="192"/>
      <c r="E81" s="192"/>
      <c r="F81" s="192"/>
      <c r="G81" s="192"/>
      <c r="H81" s="192"/>
      <c r="I81" s="192"/>
    </row>
    <row r="82" spans="1:3" s="2" customFormat="1" ht="12.75">
      <c r="A82" s="73"/>
      <c r="B82" s="73"/>
      <c r="C82" s="68"/>
    </row>
    <row r="83" spans="1:9" s="2" customFormat="1" ht="15">
      <c r="A83" s="153" t="s">
        <v>38</v>
      </c>
      <c r="B83" s="164"/>
      <c r="C83" s="165"/>
      <c r="D83" s="5"/>
      <c r="E83" s="5"/>
      <c r="F83" s="5"/>
      <c r="G83" s="5"/>
      <c r="H83" s="5"/>
      <c r="I83" s="5"/>
    </row>
    <row r="84" spans="1:9" s="2" customFormat="1" ht="15">
      <c r="A84" s="156" t="s">
        <v>310</v>
      </c>
      <c r="B84" s="164"/>
      <c r="C84" s="165"/>
      <c r="D84" s="5"/>
      <c r="E84" s="5"/>
      <c r="F84" s="5"/>
      <c r="G84" s="5"/>
      <c r="H84" s="5"/>
      <c r="I84" s="5"/>
    </row>
    <row r="85" spans="1:9" s="2" customFormat="1" ht="14.25">
      <c r="A85" s="5" t="s">
        <v>78</v>
      </c>
      <c r="B85" s="19">
        <v>365</v>
      </c>
      <c r="C85" s="161"/>
      <c r="D85" s="5"/>
      <c r="E85" s="5"/>
      <c r="F85" s="5"/>
      <c r="G85" s="5"/>
      <c r="H85" s="5"/>
      <c r="I85" s="5"/>
    </row>
    <row r="86" spans="1:9" s="2" customFormat="1" ht="14.25">
      <c r="A86" s="136" t="s">
        <v>32</v>
      </c>
      <c r="B86" s="19"/>
      <c r="C86" s="161"/>
      <c r="D86" s="5"/>
      <c r="E86" s="5"/>
      <c r="F86" s="5"/>
      <c r="G86" s="5"/>
      <c r="H86" s="5"/>
      <c r="I86" s="5"/>
    </row>
    <row r="87" spans="1:9" s="2" customFormat="1" ht="14.25">
      <c r="A87" s="5" t="s">
        <v>42</v>
      </c>
      <c r="B87" s="19">
        <v>0</v>
      </c>
      <c r="C87" s="161"/>
      <c r="D87" s="5"/>
      <c r="E87" s="5"/>
      <c r="F87" s="5"/>
      <c r="G87" s="5"/>
      <c r="H87" s="5"/>
      <c r="I87" s="5"/>
    </row>
    <row r="88" spans="1:9" s="2" customFormat="1" ht="14.25">
      <c r="A88" s="5" t="s">
        <v>43</v>
      </c>
      <c r="B88" s="19">
        <v>0</v>
      </c>
      <c r="C88" s="161"/>
      <c r="D88" s="5"/>
      <c r="E88" s="5"/>
      <c r="F88" s="5"/>
      <c r="G88" s="5"/>
      <c r="H88" s="5"/>
      <c r="I88" s="5"/>
    </row>
    <row r="89" spans="1:9" s="2" customFormat="1" ht="14.25">
      <c r="A89" s="5" t="s">
        <v>44</v>
      </c>
      <c r="B89" s="19">
        <v>51</v>
      </c>
      <c r="C89" s="161"/>
      <c r="D89" s="5"/>
      <c r="E89" s="5"/>
      <c r="F89" s="5"/>
      <c r="G89" s="5"/>
      <c r="H89" s="5"/>
      <c r="I89" s="5"/>
    </row>
    <row r="90" spans="1:9" s="2" customFormat="1" ht="14.25">
      <c r="A90" s="5" t="s">
        <v>45</v>
      </c>
      <c r="B90" s="19">
        <v>51</v>
      </c>
      <c r="C90" s="161"/>
      <c r="D90" s="5"/>
      <c r="E90" s="5"/>
      <c r="F90" s="5"/>
      <c r="G90" s="5"/>
      <c r="H90" s="5"/>
      <c r="I90" s="5"/>
    </row>
    <row r="91" spans="1:9" s="2" customFormat="1" ht="14.25">
      <c r="A91" s="5" t="s">
        <v>46</v>
      </c>
      <c r="B91" s="19">
        <v>0</v>
      </c>
      <c r="C91" s="161"/>
      <c r="D91" s="5"/>
      <c r="E91" s="5"/>
      <c r="F91" s="5"/>
      <c r="G91" s="5"/>
      <c r="H91" s="5"/>
      <c r="I91" s="5"/>
    </row>
    <row r="92" spans="1:9" s="2" customFormat="1" ht="14.25">
      <c r="A92" s="136" t="s">
        <v>31</v>
      </c>
      <c r="B92" s="19"/>
      <c r="C92" s="161"/>
      <c r="D92" s="5"/>
      <c r="E92" s="5"/>
      <c r="F92" s="5"/>
      <c r="G92" s="5"/>
      <c r="H92" s="5"/>
      <c r="I92" s="5"/>
    </row>
    <row r="93" spans="1:9" s="2" customFormat="1" ht="14.25">
      <c r="A93" s="5" t="s">
        <v>39</v>
      </c>
      <c r="B93" s="19">
        <f>B85-B87-B88-B89-B90-B91</f>
        <v>263</v>
      </c>
      <c r="C93" s="161" t="s">
        <v>24</v>
      </c>
      <c r="D93" s="5"/>
      <c r="E93" s="5"/>
      <c r="F93" s="5"/>
      <c r="G93" s="5"/>
      <c r="H93" s="5"/>
      <c r="I93" s="5"/>
    </row>
    <row r="94" spans="1:9" s="2" customFormat="1" ht="14.25">
      <c r="A94" s="136" t="s">
        <v>47</v>
      </c>
      <c r="B94" s="19"/>
      <c r="C94" s="161"/>
      <c r="D94" s="5"/>
      <c r="E94" s="5"/>
      <c r="F94" s="5"/>
      <c r="G94" s="5"/>
      <c r="H94" s="5"/>
      <c r="I94" s="5"/>
    </row>
    <row r="95" spans="1:9" s="2" customFormat="1" ht="14.25">
      <c r="A95" s="5" t="s">
        <v>53</v>
      </c>
      <c r="B95" s="19">
        <f>B72*12</f>
        <v>120</v>
      </c>
      <c r="C95" s="161" t="s">
        <v>90</v>
      </c>
      <c r="D95" s="5"/>
      <c r="E95" s="5"/>
      <c r="F95" s="5"/>
      <c r="G95" s="5"/>
      <c r="H95" s="5"/>
      <c r="I95" s="5"/>
    </row>
    <row r="96" spans="1:9" s="2" customFormat="1" ht="14.25">
      <c r="A96" s="136" t="s">
        <v>31</v>
      </c>
      <c r="B96" s="19"/>
      <c r="C96" s="161"/>
      <c r="D96" s="5"/>
      <c r="E96" s="5"/>
      <c r="F96" s="5"/>
      <c r="G96" s="5"/>
      <c r="H96" s="5"/>
      <c r="I96" s="5"/>
    </row>
    <row r="97" spans="1:9" s="2" customFormat="1" ht="14.25">
      <c r="A97" s="5" t="s">
        <v>40</v>
      </c>
      <c r="B97" s="19">
        <f>B93*B95</f>
        <v>31560</v>
      </c>
      <c r="C97" s="159" t="s">
        <v>24</v>
      </c>
      <c r="D97" s="5"/>
      <c r="E97" s="5"/>
      <c r="F97" s="5"/>
      <c r="G97" s="5"/>
      <c r="H97" s="5"/>
      <c r="I97" s="5"/>
    </row>
    <row r="98" spans="1:9" s="2" customFormat="1" ht="14.25">
      <c r="A98" s="5"/>
      <c r="B98" s="160"/>
      <c r="C98" s="5"/>
      <c r="D98" s="5"/>
      <c r="E98" s="5"/>
      <c r="F98" s="171"/>
      <c r="G98" s="171"/>
      <c r="H98" s="171"/>
      <c r="I98" s="171"/>
    </row>
    <row r="99" spans="1:9" s="2" customFormat="1" ht="15">
      <c r="A99" s="156" t="s">
        <v>245</v>
      </c>
      <c r="B99" s="24"/>
      <c r="C99" s="83"/>
      <c r="D99" s="5"/>
      <c r="E99" s="5"/>
      <c r="F99" s="5"/>
      <c r="G99" s="5"/>
      <c r="H99" s="5"/>
      <c r="I99" s="5"/>
    </row>
    <row r="100" spans="1:9" s="2" customFormat="1" ht="14.25">
      <c r="A100" s="63" t="s">
        <v>54</v>
      </c>
      <c r="B100" s="24"/>
      <c r="C100" s="83"/>
      <c r="D100" s="5"/>
      <c r="E100" s="5"/>
      <c r="F100" s="5"/>
      <c r="G100" s="5"/>
      <c r="H100" s="5"/>
      <c r="I100" s="5"/>
    </row>
    <row r="101" spans="1:9" s="2" customFormat="1" ht="14.25">
      <c r="A101" s="5" t="s">
        <v>79</v>
      </c>
      <c r="B101" s="173">
        <v>60</v>
      </c>
      <c r="C101" s="83"/>
      <c r="D101" s="5"/>
      <c r="E101" s="5"/>
      <c r="F101" s="5"/>
      <c r="G101" s="5"/>
      <c r="H101" s="5"/>
      <c r="I101" s="5"/>
    </row>
    <row r="102" spans="1:9" s="2" customFormat="1" ht="14.25">
      <c r="A102" s="136" t="s">
        <v>31</v>
      </c>
      <c r="B102" s="173"/>
      <c r="C102" s="83"/>
      <c r="D102" s="5"/>
      <c r="E102" s="5"/>
      <c r="F102" s="5"/>
      <c r="G102" s="5"/>
      <c r="H102" s="5"/>
      <c r="I102" s="5"/>
    </row>
    <row r="103" spans="1:9" s="2" customFormat="1" ht="14.25">
      <c r="A103" s="5" t="s">
        <v>77</v>
      </c>
      <c r="B103" s="174">
        <f>B97*B101</f>
        <v>1893600</v>
      </c>
      <c r="C103" s="167" t="s">
        <v>24</v>
      </c>
      <c r="D103" s="5"/>
      <c r="E103" s="5"/>
      <c r="F103" s="5"/>
      <c r="G103" s="5"/>
      <c r="H103" s="5"/>
      <c r="I103" s="5"/>
    </row>
    <row r="104" spans="2:9" s="2" customFormat="1" ht="12.75">
      <c r="B104" s="71"/>
      <c r="F104" s="77"/>
      <c r="G104" s="77"/>
      <c r="H104" s="77"/>
      <c r="I104" s="77"/>
    </row>
    <row r="105" s="2" customFormat="1" ht="12.75">
      <c r="B105" s="71"/>
    </row>
  </sheetData>
  <sheetProtection/>
  <mergeCells count="14">
    <mergeCell ref="A78:I78"/>
    <mergeCell ref="A80:I80"/>
    <mergeCell ref="A81:I81"/>
    <mergeCell ref="A73:I73"/>
    <mergeCell ref="A74:I74"/>
    <mergeCell ref="A75:I75"/>
    <mergeCell ref="A77:I77"/>
    <mergeCell ref="A9:I9"/>
    <mergeCell ref="A1:I1"/>
    <mergeCell ref="A2:I2"/>
    <mergeCell ref="A3:I3"/>
    <mergeCell ref="A5:I5"/>
    <mergeCell ref="A6:I6"/>
    <mergeCell ref="A8:I8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9"/>
  <sheetViews>
    <sheetView tabSelected="1" zoomScale="75" zoomScaleNormal="75" zoomScaleSheetLayoutView="85" zoomScalePageLayoutView="0" workbookViewId="0" topLeftCell="A89">
      <selection activeCell="J104" sqref="J104"/>
    </sheetView>
  </sheetViews>
  <sheetFormatPr defaultColWidth="9.140625" defaultRowHeight="12.75"/>
  <cols>
    <col min="1" max="1" width="2.7109375" style="6" customWidth="1"/>
    <col min="2" max="3" width="2.7109375" style="0" customWidth="1"/>
    <col min="4" max="4" width="13.28125" style="0" customWidth="1"/>
    <col min="5" max="7" width="12.7109375" style="0" customWidth="1"/>
    <col min="8" max="8" width="5.7109375" style="4" customWidth="1"/>
    <col min="9" max="9" width="1.28515625" style="4" customWidth="1"/>
    <col min="10" max="10" width="14.00390625" style="18" customWidth="1"/>
    <col min="11" max="11" width="1.28515625" style="17" customWidth="1"/>
    <col min="12" max="12" width="16.7109375" style="38" customWidth="1"/>
    <col min="13" max="13" width="1.28515625" style="6" customWidth="1"/>
    <col min="14" max="14" width="15.7109375" style="6" customWidth="1"/>
    <col min="15" max="15" width="1.7109375" style="6" customWidth="1"/>
    <col min="16" max="16" width="20.7109375" style="0" customWidth="1"/>
    <col min="17" max="17" width="1.7109375" style="0" customWidth="1"/>
    <col min="18" max="19" width="20.7109375" style="0" customWidth="1"/>
    <col min="20" max="23" width="12.7109375" style="0" customWidth="1"/>
    <col min="26" max="26" width="9.28125" style="0" bestFit="1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9" s="62" customFormat="1" ht="18">
      <c r="A4" s="101"/>
      <c r="C4" s="5"/>
      <c r="D4" s="5"/>
      <c r="E4" s="5"/>
      <c r="R4" s="62" t="s">
        <v>422</v>
      </c>
      <c r="S4" s="62">
        <v>15999</v>
      </c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2:5" s="62" customFormat="1" ht="18" customHeight="1">
      <c r="B7" s="102"/>
      <c r="C7" s="5"/>
      <c r="D7" s="5"/>
      <c r="E7" s="5"/>
    </row>
    <row r="8" spans="1:18" ht="18" customHeight="1">
      <c r="A8" s="191" t="s">
        <v>231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6:17" ht="14.25">
      <c r="P9" s="1"/>
      <c r="Q9" s="1"/>
    </row>
    <row r="10" spans="1:17" ht="14.25" customHeight="1">
      <c r="A10" s="4"/>
      <c r="B10" s="5"/>
      <c r="C10" s="5"/>
      <c r="D10" s="5"/>
      <c r="E10" s="5"/>
      <c r="F10" s="5"/>
      <c r="G10" s="5"/>
      <c r="J10" s="185" t="s">
        <v>2</v>
      </c>
      <c r="L10" s="187" t="s">
        <v>62</v>
      </c>
      <c r="N10" s="189" t="s">
        <v>63</v>
      </c>
      <c r="O10" s="7"/>
      <c r="P10" s="36"/>
      <c r="Q10" s="36"/>
    </row>
    <row r="11" spans="2:17" ht="14.25">
      <c r="B11" s="5"/>
      <c r="C11" s="5"/>
      <c r="D11" s="5"/>
      <c r="E11" s="5"/>
      <c r="F11" s="5"/>
      <c r="G11" s="5"/>
      <c r="H11" s="189" t="s">
        <v>1</v>
      </c>
      <c r="I11" s="7"/>
      <c r="J11" s="185"/>
      <c r="K11" s="25"/>
      <c r="L11" s="187"/>
      <c r="M11" s="7"/>
      <c r="N11" s="189"/>
      <c r="O11" s="7"/>
      <c r="P11" s="36"/>
      <c r="Q11" s="36"/>
    </row>
    <row r="12" spans="1:15" ht="14.25">
      <c r="A12" s="13"/>
      <c r="B12" s="184" t="s">
        <v>0</v>
      </c>
      <c r="C12" s="184"/>
      <c r="D12" s="184"/>
      <c r="E12" s="184"/>
      <c r="F12" s="184"/>
      <c r="G12" s="184"/>
      <c r="H12" s="190"/>
      <c r="I12" s="8"/>
      <c r="J12" s="186"/>
      <c r="K12" s="26"/>
      <c r="L12" s="188"/>
      <c r="M12" s="8"/>
      <c r="N12" s="190"/>
      <c r="O12" s="7"/>
    </row>
    <row r="13" spans="2:15" ht="14.25">
      <c r="B13" s="6"/>
      <c r="C13" s="6"/>
      <c r="D13" s="6"/>
      <c r="E13" s="6"/>
      <c r="F13" s="6"/>
      <c r="G13" s="6"/>
      <c r="J13" s="23"/>
      <c r="K13" s="20"/>
      <c r="M13" s="3"/>
      <c r="N13" s="3"/>
      <c r="O13" s="3"/>
    </row>
    <row r="14" spans="1:15" ht="14.25">
      <c r="A14" s="6" t="s">
        <v>4</v>
      </c>
      <c r="B14" s="6" t="s">
        <v>13</v>
      </c>
      <c r="C14" s="6"/>
      <c r="D14" s="6"/>
      <c r="E14" s="6"/>
      <c r="F14" s="6"/>
      <c r="G14" s="6"/>
      <c r="J14" s="23"/>
      <c r="K14" s="20"/>
      <c r="M14" s="3"/>
      <c r="N14" s="3"/>
      <c r="O14" s="3"/>
    </row>
    <row r="15" spans="2:23" ht="14.25">
      <c r="B15" s="84" t="s">
        <v>65</v>
      </c>
      <c r="C15" s="6" t="s">
        <v>138</v>
      </c>
      <c r="D15" s="6"/>
      <c r="E15" s="6"/>
      <c r="F15" s="6"/>
      <c r="G15" s="6"/>
      <c r="H15" s="4" t="s">
        <v>8</v>
      </c>
      <c r="J15" s="21">
        <v>0</v>
      </c>
      <c r="K15" s="20"/>
      <c r="L15" s="41">
        <v>1336296</v>
      </c>
      <c r="M15" s="39"/>
      <c r="N15" s="32">
        <f>J15*L15</f>
        <v>0</v>
      </c>
      <c r="O15" s="51"/>
      <c r="P15" s="35"/>
      <c r="Q15" s="35"/>
      <c r="R15" s="35"/>
      <c r="S15" s="35"/>
      <c r="T15" s="35"/>
      <c r="U15" s="35"/>
      <c r="V15" s="35"/>
      <c r="W15" s="50"/>
    </row>
    <row r="16" spans="2:23" ht="14.25">
      <c r="B16" s="84" t="s">
        <v>66</v>
      </c>
      <c r="C16" s="6" t="s">
        <v>139</v>
      </c>
      <c r="D16" s="6"/>
      <c r="E16" s="6"/>
      <c r="F16" s="6"/>
      <c r="G16" s="6"/>
      <c r="H16" s="4" t="s">
        <v>3</v>
      </c>
      <c r="J16" s="29"/>
      <c r="K16" s="20"/>
      <c r="L16" s="41"/>
      <c r="M16" s="39"/>
      <c r="N16" s="32">
        <f>J16*L16</f>
        <v>0</v>
      </c>
      <c r="O16" s="51"/>
      <c r="P16" s="35"/>
      <c r="Q16" s="35"/>
      <c r="R16" s="35"/>
      <c r="S16" s="35"/>
      <c r="T16" s="35"/>
      <c r="U16" s="35"/>
      <c r="V16" s="35"/>
      <c r="W16" s="50"/>
    </row>
    <row r="17" spans="2:23" ht="14.25">
      <c r="B17" s="6"/>
      <c r="C17" s="6"/>
      <c r="D17" s="6"/>
      <c r="E17" s="6"/>
      <c r="F17" s="6"/>
      <c r="G17" s="6"/>
      <c r="J17" s="23"/>
      <c r="K17" s="20"/>
      <c r="M17" s="3"/>
      <c r="N17" s="3"/>
      <c r="O17" s="3"/>
      <c r="W17" s="50"/>
    </row>
    <row r="18" spans="1:23" ht="14.25">
      <c r="A18" s="6" t="s">
        <v>9</v>
      </c>
      <c r="B18" s="6" t="s">
        <v>240</v>
      </c>
      <c r="C18" s="6"/>
      <c r="D18" s="6"/>
      <c r="E18" s="6"/>
      <c r="F18" s="6"/>
      <c r="G18" s="6"/>
      <c r="H18" s="4" t="s">
        <v>3</v>
      </c>
      <c r="J18" s="21">
        <v>1</v>
      </c>
      <c r="K18" s="20"/>
      <c r="L18" s="175">
        <f>S18</f>
        <v>90431.09700000001</v>
      </c>
      <c r="M18" s="31"/>
      <c r="N18" s="32"/>
      <c r="O18" s="33"/>
      <c r="P18" s="88" t="s">
        <v>67</v>
      </c>
      <c r="Q18" s="10"/>
      <c r="S18" s="10">
        <f>0.05*(SUM(N21:N39))</f>
        <v>90431.09700000001</v>
      </c>
      <c r="T18" s="15"/>
      <c r="W18" s="50"/>
    </row>
    <row r="19" spans="2:23" ht="14.25">
      <c r="B19" s="6"/>
      <c r="C19" s="6"/>
      <c r="D19" s="6"/>
      <c r="E19" s="6"/>
      <c r="F19" s="6"/>
      <c r="G19" s="6"/>
      <c r="J19" s="23"/>
      <c r="K19" s="20"/>
      <c r="M19" s="31"/>
      <c r="N19" s="31"/>
      <c r="O19" s="31"/>
      <c r="S19" s="16"/>
      <c r="T19" s="15"/>
      <c r="W19" s="50"/>
    </row>
    <row r="20" spans="1:23" ht="14.25">
      <c r="A20" s="6" t="s">
        <v>5</v>
      </c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39"/>
      <c r="M20" s="31"/>
      <c r="N20" s="31"/>
      <c r="O20" s="31"/>
      <c r="S20" s="15"/>
      <c r="T20" s="15"/>
      <c r="W20" s="50"/>
    </row>
    <row r="21" spans="2:23" ht="14.25">
      <c r="B21" s="84" t="s">
        <v>65</v>
      </c>
      <c r="C21" s="6" t="s">
        <v>136</v>
      </c>
      <c r="D21" s="6"/>
      <c r="E21" s="6"/>
      <c r="F21" s="6"/>
      <c r="G21" s="6"/>
      <c r="H21" s="4" t="s">
        <v>8</v>
      </c>
      <c r="J21" s="28">
        <v>0</v>
      </c>
      <c r="K21" s="20"/>
      <c r="L21" s="41">
        <v>5500</v>
      </c>
      <c r="M21" s="31"/>
      <c r="N21" s="32">
        <f>J21*L21</f>
        <v>0</v>
      </c>
      <c r="O21" s="33"/>
      <c r="P21" s="35"/>
      <c r="Q21" s="35"/>
      <c r="R21" s="35"/>
      <c r="S21" s="35"/>
      <c r="T21" s="35"/>
      <c r="U21" s="35"/>
      <c r="V21" s="35"/>
      <c r="W21" s="50"/>
    </row>
    <row r="22" spans="2:21" ht="14.25">
      <c r="B22" s="84" t="s">
        <v>66</v>
      </c>
      <c r="C22" s="6" t="s">
        <v>144</v>
      </c>
      <c r="D22" s="6"/>
      <c r="E22" s="6"/>
      <c r="F22" s="6"/>
      <c r="G22" s="6"/>
      <c r="H22" s="12"/>
      <c r="I22" s="12"/>
      <c r="J22" s="22"/>
      <c r="K22" s="19"/>
      <c r="L22" s="51"/>
      <c r="M22" s="33"/>
      <c r="N22" s="33"/>
      <c r="O22" s="33"/>
      <c r="R22" s="79"/>
      <c r="U22" s="35"/>
    </row>
    <row r="23" spans="2:27" ht="14.25">
      <c r="B23" s="84"/>
      <c r="C23" s="6"/>
      <c r="D23" s="124" t="s">
        <v>211</v>
      </c>
      <c r="E23" s="6"/>
      <c r="F23" s="6"/>
      <c r="G23" s="6"/>
      <c r="H23" s="12"/>
      <c r="I23" s="12"/>
      <c r="J23" s="22"/>
      <c r="K23" s="19"/>
      <c r="L23" s="51"/>
      <c r="M23" s="33"/>
      <c r="N23" s="33"/>
      <c r="O23" s="33"/>
      <c r="R23" s="79"/>
      <c r="U23" s="35"/>
      <c r="Z23" s="112"/>
      <c r="AA23" s="112"/>
    </row>
    <row r="24" spans="2:27" ht="14.25">
      <c r="B24" s="6"/>
      <c r="C24" s="6" t="s">
        <v>145</v>
      </c>
      <c r="D24" s="6" t="s">
        <v>270</v>
      </c>
      <c r="E24" s="6"/>
      <c r="F24" s="6"/>
      <c r="G24" s="6"/>
      <c r="O24" s="33"/>
      <c r="R24" s="79"/>
      <c r="S24" s="89"/>
      <c r="U24" s="35"/>
      <c r="Z24" s="81"/>
      <c r="AA24" s="80"/>
    </row>
    <row r="25" spans="2:27" ht="14.25">
      <c r="B25" s="84"/>
      <c r="C25" s="6"/>
      <c r="D25" s="6" t="s">
        <v>225</v>
      </c>
      <c r="E25" s="6"/>
      <c r="F25" s="6"/>
      <c r="G25" s="6"/>
      <c r="H25" s="12" t="s">
        <v>84</v>
      </c>
      <c r="I25" s="12"/>
      <c r="J25" s="21">
        <f>S4</f>
        <v>15999</v>
      </c>
      <c r="K25" s="19"/>
      <c r="L25" s="41">
        <v>37.5</v>
      </c>
      <c r="M25" s="31"/>
      <c r="N25" s="32">
        <f aca="true" t="shared" si="0" ref="N25:N30">J25*L25</f>
        <v>599962.5</v>
      </c>
      <c r="O25" s="33"/>
      <c r="R25" s="79"/>
      <c r="U25" s="35"/>
      <c r="Z25" s="112"/>
      <c r="AA25" s="112"/>
    </row>
    <row r="26" spans="2:27" ht="14.25">
      <c r="B26" s="84"/>
      <c r="C26" s="6" t="s">
        <v>206</v>
      </c>
      <c r="D26" s="6" t="s">
        <v>271</v>
      </c>
      <c r="E26" s="6"/>
      <c r="F26" s="6"/>
      <c r="G26" s="6"/>
      <c r="H26" s="12" t="s">
        <v>84</v>
      </c>
      <c r="I26" s="12"/>
      <c r="J26" s="21">
        <f>S4</f>
        <v>15999</v>
      </c>
      <c r="K26" s="19"/>
      <c r="L26" s="41">
        <v>14</v>
      </c>
      <c r="M26" s="31"/>
      <c r="N26" s="32">
        <f t="shared" si="0"/>
        <v>223986</v>
      </c>
      <c r="O26" s="33"/>
      <c r="R26" s="79"/>
      <c r="U26" s="35"/>
      <c r="Z26" s="112"/>
      <c r="AA26" s="112"/>
    </row>
    <row r="27" spans="2:27" ht="14.25">
      <c r="B27" s="84"/>
      <c r="C27" s="6" t="s">
        <v>207</v>
      </c>
      <c r="D27" s="6" t="s">
        <v>208</v>
      </c>
      <c r="E27" s="6"/>
      <c r="F27" s="6"/>
      <c r="G27" s="6"/>
      <c r="H27" s="12" t="s">
        <v>84</v>
      </c>
      <c r="I27" s="12"/>
      <c r="J27" s="21">
        <f>2*S4</f>
        <v>31998</v>
      </c>
      <c r="K27" s="19"/>
      <c r="L27" s="41">
        <v>11.5</v>
      </c>
      <c r="M27" s="31"/>
      <c r="N27" s="32">
        <f t="shared" si="0"/>
        <v>367977</v>
      </c>
      <c r="O27" s="33"/>
      <c r="R27" s="79"/>
      <c r="U27" s="35"/>
      <c r="Z27" s="112"/>
      <c r="AA27" s="112"/>
    </row>
    <row r="28" spans="2:27" ht="14.25">
      <c r="B28" s="84"/>
      <c r="C28" s="6" t="s">
        <v>175</v>
      </c>
      <c r="D28" s="6" t="s">
        <v>209</v>
      </c>
      <c r="E28" s="6"/>
      <c r="F28" s="6"/>
      <c r="G28" s="6"/>
      <c r="H28" s="12" t="s">
        <v>111</v>
      </c>
      <c r="I28" s="12"/>
      <c r="J28" s="21">
        <v>3</v>
      </c>
      <c r="K28" s="19"/>
      <c r="L28" s="41">
        <v>36250</v>
      </c>
      <c r="M28" s="31"/>
      <c r="N28" s="32">
        <f t="shared" si="0"/>
        <v>108750</v>
      </c>
      <c r="O28" s="33"/>
      <c r="R28" s="79"/>
      <c r="U28" s="35"/>
      <c r="Z28" s="112"/>
      <c r="AA28" s="112"/>
    </row>
    <row r="29" spans="2:27" ht="14.25">
      <c r="B29" s="84"/>
      <c r="C29" s="6" t="s">
        <v>141</v>
      </c>
      <c r="D29" s="6" t="s">
        <v>265</v>
      </c>
      <c r="E29" s="6"/>
      <c r="F29" s="6"/>
      <c r="G29" s="6"/>
      <c r="H29" s="12" t="s">
        <v>111</v>
      </c>
      <c r="I29" s="12"/>
      <c r="J29" s="21">
        <v>4</v>
      </c>
      <c r="K29" s="19"/>
      <c r="L29" s="41">
        <v>1500</v>
      </c>
      <c r="M29" s="31"/>
      <c r="N29" s="32">
        <f t="shared" si="0"/>
        <v>6000</v>
      </c>
      <c r="O29" s="33"/>
      <c r="R29" s="79"/>
      <c r="U29" s="35"/>
      <c r="Z29" s="112"/>
      <c r="AA29" s="112"/>
    </row>
    <row r="30" spans="2:27" ht="14.25">
      <c r="B30" s="6"/>
      <c r="C30" s="6" t="s">
        <v>142</v>
      </c>
      <c r="D30" s="6" t="s">
        <v>177</v>
      </c>
      <c r="E30" s="6"/>
      <c r="F30" s="6"/>
      <c r="G30" s="6"/>
      <c r="H30" s="12" t="s">
        <v>111</v>
      </c>
      <c r="I30" s="12"/>
      <c r="J30" s="21">
        <v>1</v>
      </c>
      <c r="K30" s="19"/>
      <c r="L30" s="41">
        <v>125000</v>
      </c>
      <c r="M30" s="31"/>
      <c r="N30" s="32">
        <f t="shared" si="0"/>
        <v>125000</v>
      </c>
      <c r="O30" s="33"/>
      <c r="R30" s="79"/>
      <c r="S30" s="89"/>
      <c r="U30" s="35"/>
      <c r="Z30" s="182"/>
      <c r="AA30" s="182"/>
    </row>
    <row r="31" spans="2:27" ht="14.25">
      <c r="B31" s="84"/>
      <c r="C31" s="6" t="s">
        <v>143</v>
      </c>
      <c r="D31" s="6" t="s">
        <v>402</v>
      </c>
      <c r="E31" s="6"/>
      <c r="F31" s="6"/>
      <c r="G31" s="6"/>
      <c r="H31" s="12" t="s">
        <v>111</v>
      </c>
      <c r="I31" s="12"/>
      <c r="J31" s="21">
        <f>J28+J30</f>
        <v>4</v>
      </c>
      <c r="K31" s="19"/>
      <c r="L31" s="41">
        <v>40000</v>
      </c>
      <c r="M31" s="31"/>
      <c r="N31" s="32">
        <f>J31*L31</f>
        <v>160000</v>
      </c>
      <c r="O31" s="33"/>
      <c r="R31" s="79"/>
      <c r="U31" s="35"/>
      <c r="Z31" s="112"/>
      <c r="AA31" s="112"/>
    </row>
    <row r="32" spans="2:27" ht="14.25">
      <c r="B32" s="6"/>
      <c r="C32" s="6"/>
      <c r="D32" s="124" t="s">
        <v>212</v>
      </c>
      <c r="E32" s="6"/>
      <c r="F32" s="6"/>
      <c r="G32" s="6"/>
      <c r="H32" s="12"/>
      <c r="I32" s="12"/>
      <c r="J32" s="22"/>
      <c r="K32" s="19"/>
      <c r="L32" s="51"/>
      <c r="M32" s="31"/>
      <c r="N32" s="33"/>
      <c r="O32" s="33"/>
      <c r="R32" s="79"/>
      <c r="S32" s="89"/>
      <c r="U32" s="35"/>
      <c r="Z32" s="81"/>
      <c r="AA32" s="80"/>
    </row>
    <row r="33" spans="2:27" ht="14.25">
      <c r="B33" s="6"/>
      <c r="C33" s="6" t="s">
        <v>216</v>
      </c>
      <c r="D33" s="6" t="s">
        <v>272</v>
      </c>
      <c r="E33" s="6"/>
      <c r="F33" s="6"/>
      <c r="G33" s="6"/>
      <c r="H33" s="12" t="s">
        <v>213</v>
      </c>
      <c r="I33" s="12"/>
      <c r="J33" s="21">
        <f>J25/1000*8</f>
        <v>127.992</v>
      </c>
      <c r="K33" s="19"/>
      <c r="L33" s="41">
        <f>5*50+2*150+1*95</f>
        <v>645</v>
      </c>
      <c r="M33" s="31"/>
      <c r="N33" s="32">
        <f>J33*L33</f>
        <v>82554.84</v>
      </c>
      <c r="O33" s="33"/>
      <c r="P33" s="89" t="s">
        <v>273</v>
      </c>
      <c r="R33" s="79"/>
      <c r="S33" s="89"/>
      <c r="U33" s="35"/>
      <c r="Z33" s="81"/>
      <c r="AA33" s="80"/>
    </row>
    <row r="34" spans="2:27" ht="14.25">
      <c r="B34" s="6"/>
      <c r="C34" s="6" t="s">
        <v>217</v>
      </c>
      <c r="D34" s="6" t="s">
        <v>262</v>
      </c>
      <c r="E34" s="6"/>
      <c r="F34" s="6"/>
      <c r="G34" s="6"/>
      <c r="H34" s="12" t="s">
        <v>213</v>
      </c>
      <c r="I34" s="12"/>
      <c r="J34" s="21">
        <f>J26/1000*8</f>
        <v>127.992</v>
      </c>
      <c r="K34" s="19"/>
      <c r="L34" s="41">
        <f>5*50+2*150</f>
        <v>550</v>
      </c>
      <c r="M34" s="31"/>
      <c r="N34" s="32">
        <f>J34*L34</f>
        <v>70395.6</v>
      </c>
      <c r="O34" s="33"/>
      <c r="P34" s="89" t="s">
        <v>263</v>
      </c>
      <c r="R34" s="79"/>
      <c r="S34" s="89"/>
      <c r="U34" s="35"/>
      <c r="Z34" s="81"/>
      <c r="AA34" s="80"/>
    </row>
    <row r="35" spans="2:27" ht="14.25">
      <c r="B35" s="6"/>
      <c r="C35" s="6" t="s">
        <v>155</v>
      </c>
      <c r="D35" s="6" t="s">
        <v>214</v>
      </c>
      <c r="E35" s="6"/>
      <c r="F35" s="6"/>
      <c r="G35" s="6"/>
      <c r="H35" s="12" t="s">
        <v>213</v>
      </c>
      <c r="I35" s="12"/>
      <c r="J35" s="21">
        <f>J27/1000*8</f>
        <v>255.984</v>
      </c>
      <c r="K35" s="19"/>
      <c r="L35" s="41">
        <v>250</v>
      </c>
      <c r="M35" s="31"/>
      <c r="N35" s="32">
        <f>J35*L35</f>
        <v>63996</v>
      </c>
      <c r="O35" s="33"/>
      <c r="P35" s="89" t="s">
        <v>215</v>
      </c>
      <c r="R35" s="79"/>
      <c r="S35" s="89"/>
      <c r="U35" s="35"/>
      <c r="Z35" s="81"/>
      <c r="AA35" s="80"/>
    </row>
    <row r="36" spans="2:27" ht="14.25">
      <c r="B36" s="6"/>
      <c r="C36" s="6"/>
      <c r="D36" s="124" t="s">
        <v>246</v>
      </c>
      <c r="E36" s="6"/>
      <c r="F36" s="6"/>
      <c r="G36" s="6"/>
      <c r="H36" s="12"/>
      <c r="I36" s="12"/>
      <c r="J36" s="22"/>
      <c r="K36" s="19"/>
      <c r="L36" s="51"/>
      <c r="M36" s="33"/>
      <c r="N36" s="33"/>
      <c r="O36" s="33"/>
      <c r="P36" s="89"/>
      <c r="R36" s="79"/>
      <c r="S36" s="89"/>
      <c r="U36" s="35"/>
      <c r="Z36" s="81"/>
      <c r="AA36" s="80"/>
    </row>
    <row r="37" spans="2:27" ht="14.25">
      <c r="B37" s="6"/>
      <c r="C37" s="6" t="s">
        <v>158</v>
      </c>
      <c r="D37" s="6" t="s">
        <v>264</v>
      </c>
      <c r="E37" s="6"/>
      <c r="F37" s="6"/>
      <c r="G37" s="6"/>
      <c r="H37" s="12" t="s">
        <v>7</v>
      </c>
      <c r="I37" s="12"/>
      <c r="J37" s="21"/>
      <c r="K37" s="19"/>
      <c r="L37" s="41"/>
      <c r="M37" s="31"/>
      <c r="N37" s="32">
        <f>J37*L37</f>
        <v>0</v>
      </c>
      <c r="O37" s="33"/>
      <c r="R37" s="79"/>
      <c r="S37" s="89" t="s">
        <v>85</v>
      </c>
      <c r="U37" s="35"/>
      <c r="Z37" s="182" t="s">
        <v>58</v>
      </c>
      <c r="AA37" s="182"/>
    </row>
    <row r="38" spans="2:27" ht="14.25">
      <c r="B38" s="6"/>
      <c r="C38" s="6" t="s">
        <v>160</v>
      </c>
      <c r="D38" s="6" t="s">
        <v>219</v>
      </c>
      <c r="E38" s="6"/>
      <c r="F38" s="6"/>
      <c r="G38" s="6"/>
      <c r="H38" s="12" t="s">
        <v>3</v>
      </c>
      <c r="I38" s="12"/>
      <c r="J38" s="21"/>
      <c r="K38" s="19"/>
      <c r="L38" s="41"/>
      <c r="M38" s="31"/>
      <c r="N38" s="32">
        <f>J38*L38</f>
        <v>0</v>
      </c>
      <c r="O38" s="33"/>
      <c r="R38" s="79"/>
      <c r="S38" s="89" t="s">
        <v>85</v>
      </c>
      <c r="U38" s="35"/>
      <c r="Z38" s="81">
        <v>6.6</v>
      </c>
      <c r="AA38" s="80" t="s">
        <v>56</v>
      </c>
    </row>
    <row r="39" spans="2:27" ht="14.25">
      <c r="B39" s="6"/>
      <c r="C39" s="6" t="s">
        <v>162</v>
      </c>
      <c r="D39" s="6" t="s">
        <v>218</v>
      </c>
      <c r="E39" s="6"/>
      <c r="F39" s="6"/>
      <c r="G39" s="6"/>
      <c r="H39" s="12" t="s">
        <v>3</v>
      </c>
      <c r="I39" s="12"/>
      <c r="J39" s="21"/>
      <c r="K39" s="19"/>
      <c r="L39" s="41"/>
      <c r="M39" s="31"/>
      <c r="N39" s="32">
        <f>J39*L39</f>
        <v>0</v>
      </c>
      <c r="O39" s="33"/>
      <c r="R39" s="79"/>
      <c r="S39" s="89" t="s">
        <v>85</v>
      </c>
      <c r="U39" s="35"/>
      <c r="Z39" s="81"/>
      <c r="AA39" s="80"/>
    </row>
    <row r="40" spans="2:27" ht="14.25">
      <c r="B40" s="6"/>
      <c r="C40" s="6"/>
      <c r="D40" s="6"/>
      <c r="E40" s="6"/>
      <c r="F40" s="6"/>
      <c r="G40" s="6"/>
      <c r="H40" s="12"/>
      <c r="I40" s="12"/>
      <c r="J40" s="22"/>
      <c r="K40" s="19"/>
      <c r="L40" s="51"/>
      <c r="M40" s="31"/>
      <c r="N40" s="33"/>
      <c r="O40" s="33"/>
      <c r="R40" s="79"/>
      <c r="S40" s="89"/>
      <c r="U40" s="35"/>
      <c r="Z40" s="183" t="s">
        <v>59</v>
      </c>
      <c r="AA40" s="183"/>
    </row>
    <row r="41" spans="5:27" ht="15">
      <c r="E41" s="6"/>
      <c r="F41" s="6"/>
      <c r="G41" s="6"/>
      <c r="J41" s="23"/>
      <c r="K41" s="20"/>
      <c r="L41" s="44" t="s">
        <v>98</v>
      </c>
      <c r="M41" s="14"/>
      <c r="N41" s="34">
        <f>SUM(N15:N39)</f>
        <v>1808621.9400000002</v>
      </c>
      <c r="O41" s="34"/>
      <c r="P41" s="11"/>
      <c r="Q41" s="11"/>
      <c r="R41" s="11"/>
      <c r="Z41" s="82">
        <v>8</v>
      </c>
      <c r="AA41" s="80" t="s">
        <v>57</v>
      </c>
    </row>
    <row r="42" spans="5:19" ht="15">
      <c r="E42" s="6"/>
      <c r="F42" s="6"/>
      <c r="G42" s="6"/>
      <c r="J42" s="23"/>
      <c r="K42" s="20"/>
      <c r="L42" s="44"/>
      <c r="M42" s="14"/>
      <c r="N42" s="34"/>
      <c r="O42" s="34"/>
      <c r="P42" s="11"/>
      <c r="Q42" s="11"/>
      <c r="R42" s="11"/>
      <c r="S42" s="37"/>
    </row>
    <row r="43" spans="2:18" ht="15.75" thickBot="1">
      <c r="B43" s="5"/>
      <c r="C43" s="5"/>
      <c r="D43" s="5"/>
      <c r="E43" s="5"/>
      <c r="F43" s="5"/>
      <c r="G43" s="5"/>
      <c r="J43" s="22"/>
      <c r="K43" s="19"/>
      <c r="L43" s="46" t="s">
        <v>14</v>
      </c>
      <c r="M43" s="30"/>
      <c r="N43" s="48">
        <f>N41*0.25</f>
        <v>452155.48500000004</v>
      </c>
      <c r="O43" s="34"/>
      <c r="P43" s="11"/>
      <c r="Q43" s="11"/>
      <c r="R43" s="11"/>
    </row>
    <row r="44" spans="2:18" ht="14.25">
      <c r="B44" s="5"/>
      <c r="C44" s="5"/>
      <c r="D44" s="5"/>
      <c r="E44" s="5"/>
      <c r="F44" s="5"/>
      <c r="G44" s="5"/>
      <c r="J44" s="22"/>
      <c r="K44" s="19"/>
      <c r="L44" s="43"/>
      <c r="M44" s="9"/>
      <c r="N44" s="33"/>
      <c r="O44" s="33"/>
      <c r="P44" s="11"/>
      <c r="Q44" s="11"/>
      <c r="R44" s="11"/>
    </row>
    <row r="45" spans="2:19" ht="15">
      <c r="B45" s="5"/>
      <c r="C45" s="5"/>
      <c r="D45" s="5"/>
      <c r="E45" s="5"/>
      <c r="F45" s="5"/>
      <c r="G45" s="5"/>
      <c r="J45" s="22"/>
      <c r="K45" s="19"/>
      <c r="L45" s="44" t="s">
        <v>99</v>
      </c>
      <c r="M45" s="9"/>
      <c r="N45" s="34">
        <f>SUM(N41:N43)</f>
        <v>2260777.4250000003</v>
      </c>
      <c r="O45" s="34"/>
      <c r="P45" s="11"/>
      <c r="Q45" s="11"/>
      <c r="R45" s="11"/>
      <c r="S45" s="37"/>
    </row>
    <row r="46" spans="2:19" ht="15">
      <c r="B46" s="5"/>
      <c r="C46" s="5"/>
      <c r="D46" s="5"/>
      <c r="E46" s="5"/>
      <c r="F46" s="5"/>
      <c r="G46" s="5"/>
      <c r="J46" s="22"/>
      <c r="K46" s="19"/>
      <c r="L46" s="44"/>
      <c r="M46" s="9"/>
      <c r="N46" s="34"/>
      <c r="O46" s="34"/>
      <c r="P46" s="11"/>
      <c r="Q46" s="11"/>
      <c r="R46" s="11"/>
      <c r="S46" s="37"/>
    </row>
    <row r="47" spans="2:19" ht="15">
      <c r="B47" s="5"/>
      <c r="C47" s="5"/>
      <c r="D47" s="5"/>
      <c r="E47" s="5"/>
      <c r="F47" s="5"/>
      <c r="G47" s="5"/>
      <c r="J47" s="22"/>
      <c r="K47" s="19"/>
      <c r="M47" s="9"/>
      <c r="N47" s="44" t="s">
        <v>97</v>
      </c>
      <c r="O47" s="44"/>
      <c r="P47" s="34">
        <f>N45*(1+2.5/100)^(2008-2007)</f>
        <v>2317296.860625</v>
      </c>
      <c r="Q47" s="34"/>
      <c r="R47" s="54"/>
      <c r="S47" s="37"/>
    </row>
    <row r="48" spans="2:19" ht="15">
      <c r="B48" s="5"/>
      <c r="C48" s="5"/>
      <c r="D48" s="5"/>
      <c r="E48" s="5"/>
      <c r="F48" s="5"/>
      <c r="G48" s="5"/>
      <c r="J48" s="22"/>
      <c r="K48" s="19"/>
      <c r="M48" s="9"/>
      <c r="N48" s="44"/>
      <c r="O48" s="44"/>
      <c r="P48" s="34"/>
      <c r="Q48" s="34"/>
      <c r="R48" s="54"/>
      <c r="S48" s="37"/>
    </row>
    <row r="49" spans="5:18" ht="15">
      <c r="E49" s="6"/>
      <c r="F49" s="6"/>
      <c r="G49" s="6"/>
      <c r="J49" s="23"/>
      <c r="K49" s="20"/>
      <c r="L49" s="45"/>
      <c r="M49" s="3"/>
      <c r="P49" s="55" t="s">
        <v>61</v>
      </c>
      <c r="Q49" s="55"/>
      <c r="R49" s="61">
        <f>P47*(1+8/100)^-(2008-2007)</f>
        <v>2145645.2413194445</v>
      </c>
    </row>
    <row r="50" spans="1:18" s="62" customFormat="1" ht="18">
      <c r="A50" s="180" t="s">
        <v>15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s="62" customFormat="1" ht="18">
      <c r="A51" s="181" t="s">
        <v>16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s="62" customFormat="1" ht="18">
      <c r="A52" s="181" t="s">
        <v>17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5" s="62" customFormat="1" ht="18">
      <c r="A53" s="101"/>
      <c r="C53" s="5"/>
      <c r="D53" s="5"/>
      <c r="E53" s="5"/>
    </row>
    <row r="54" spans="1:18" s="62" customFormat="1" ht="18">
      <c r="A54" s="180" t="s">
        <v>18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s="62" customFormat="1" ht="18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2:5" s="62" customFormat="1" ht="18" customHeight="1">
      <c r="B56" s="102"/>
      <c r="C56" s="5"/>
      <c r="D56" s="5"/>
      <c r="E56" s="5"/>
    </row>
    <row r="57" spans="1:18" ht="18" customHeight="1">
      <c r="A57" s="191" t="s">
        <v>232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</row>
    <row r="58" spans="16:17" ht="14.25">
      <c r="P58" s="1"/>
      <c r="Q58" s="1"/>
    </row>
    <row r="59" spans="1:17" ht="14.25" customHeight="1">
      <c r="A59" s="4"/>
      <c r="B59" s="5"/>
      <c r="C59" s="5"/>
      <c r="D59" s="5"/>
      <c r="E59" s="5"/>
      <c r="F59" s="5"/>
      <c r="G59" s="5"/>
      <c r="J59" s="185" t="s">
        <v>2</v>
      </c>
      <c r="L59" s="187" t="s">
        <v>62</v>
      </c>
      <c r="N59" s="189" t="s">
        <v>63</v>
      </c>
      <c r="O59" s="7"/>
      <c r="P59" s="36"/>
      <c r="Q59" s="36"/>
    </row>
    <row r="60" spans="2:17" ht="14.25">
      <c r="B60" s="5"/>
      <c r="C60" s="5"/>
      <c r="D60" s="5"/>
      <c r="E60" s="5"/>
      <c r="F60" s="5"/>
      <c r="G60" s="5"/>
      <c r="H60" s="189" t="s">
        <v>1</v>
      </c>
      <c r="I60" s="7"/>
      <c r="J60" s="185"/>
      <c r="K60" s="25"/>
      <c r="L60" s="187"/>
      <c r="M60" s="7"/>
      <c r="N60" s="189"/>
      <c r="O60" s="7"/>
      <c r="P60" s="36"/>
      <c r="Q60" s="36"/>
    </row>
    <row r="61" spans="1:15" ht="14.25">
      <c r="A61" s="13"/>
      <c r="B61" s="184" t="s">
        <v>0</v>
      </c>
      <c r="C61" s="184"/>
      <c r="D61" s="184"/>
      <c r="E61" s="184"/>
      <c r="F61" s="184"/>
      <c r="G61" s="184"/>
      <c r="H61" s="190"/>
      <c r="I61" s="8"/>
      <c r="J61" s="186"/>
      <c r="K61" s="26"/>
      <c r="L61" s="188"/>
      <c r="M61" s="8"/>
      <c r="N61" s="190"/>
      <c r="O61" s="7"/>
    </row>
    <row r="62" spans="1:15" ht="14.25">
      <c r="A62" s="5"/>
      <c r="B62" s="12"/>
      <c r="C62" s="12"/>
      <c r="D62" s="12"/>
      <c r="E62" s="12"/>
      <c r="F62" s="12"/>
      <c r="G62" s="12"/>
      <c r="H62" s="7"/>
      <c r="I62" s="7"/>
      <c r="J62" s="25"/>
      <c r="K62" s="25"/>
      <c r="L62" s="49"/>
      <c r="M62" s="7"/>
      <c r="N62" s="7"/>
      <c r="O62" s="7"/>
    </row>
    <row r="63" spans="1:16" s="16" customFormat="1" ht="15">
      <c r="A63" s="24" t="s">
        <v>6</v>
      </c>
      <c r="B63" s="125" t="s">
        <v>404</v>
      </c>
      <c r="C63" s="27"/>
      <c r="D63" s="27"/>
      <c r="E63" s="27"/>
      <c r="F63" s="27"/>
      <c r="G63" s="27"/>
      <c r="H63" s="18" t="s">
        <v>12</v>
      </c>
      <c r="I63" s="18"/>
      <c r="J63" s="87">
        <v>1</v>
      </c>
      <c r="K63" s="17"/>
      <c r="L63" s="40">
        <f>'C_S_Loadout_Cost_Worksheet (1)'!B81</f>
        <v>410280</v>
      </c>
      <c r="M63" s="17"/>
      <c r="N63" s="127">
        <f>J63*L63</f>
        <v>410280</v>
      </c>
      <c r="O63" s="128"/>
      <c r="P63" s="76" t="s">
        <v>388</v>
      </c>
    </row>
    <row r="64" spans="1:16" s="16" customFormat="1" ht="14.25" customHeight="1">
      <c r="A64" s="24"/>
      <c r="B64" s="126"/>
      <c r="C64" s="24"/>
      <c r="D64" s="24"/>
      <c r="E64" s="24"/>
      <c r="F64" s="27"/>
      <c r="G64" s="27"/>
      <c r="H64" s="18"/>
      <c r="I64" s="18"/>
      <c r="J64" s="27"/>
      <c r="K64" s="17"/>
      <c r="L64" s="42"/>
      <c r="M64" s="17"/>
      <c r="N64" s="176"/>
      <c r="O64" s="128"/>
      <c r="P64" s="76"/>
    </row>
    <row r="65" spans="1:19" ht="14.25" customHeight="1">
      <c r="A65" s="5" t="s">
        <v>69</v>
      </c>
      <c r="B65" s="83" t="s">
        <v>210</v>
      </c>
      <c r="C65" s="5"/>
      <c r="D65" s="5"/>
      <c r="E65" s="5"/>
      <c r="F65" s="12"/>
      <c r="G65" s="12"/>
      <c r="S65" s="89"/>
    </row>
    <row r="66" spans="1:19" ht="14.25" customHeight="1">
      <c r="A66" s="5"/>
      <c r="B66" s="126" t="s">
        <v>65</v>
      </c>
      <c r="C66" s="5" t="s">
        <v>266</v>
      </c>
      <c r="D66" s="5"/>
      <c r="E66" s="5"/>
      <c r="F66" s="12"/>
      <c r="G66" s="12"/>
      <c r="H66" s="4" t="s">
        <v>12</v>
      </c>
      <c r="J66" s="87">
        <v>1</v>
      </c>
      <c r="L66" s="40">
        <f>(4*150+150)*746/1000000*50*12*260</f>
        <v>87282.00000000001</v>
      </c>
      <c r="N66" s="32">
        <f>J66*L66</f>
        <v>87282.00000000001</v>
      </c>
      <c r="O66" s="34"/>
      <c r="P66" s="72" t="s">
        <v>268</v>
      </c>
      <c r="S66" s="89"/>
    </row>
    <row r="67" spans="1:19" ht="14.25" customHeight="1">
      <c r="A67" s="5"/>
      <c r="B67" s="129" t="s">
        <v>66</v>
      </c>
      <c r="C67" s="5" t="s">
        <v>267</v>
      </c>
      <c r="D67" s="5"/>
      <c r="E67" s="5"/>
      <c r="F67" s="12"/>
      <c r="G67" s="12"/>
      <c r="H67" s="4" t="s">
        <v>12</v>
      </c>
      <c r="J67" s="87">
        <v>1</v>
      </c>
      <c r="L67" s="40">
        <f>2*50*12*'C_S_Loadout_Cost_Worksheet (1)'!B71</f>
        <v>315600</v>
      </c>
      <c r="N67" s="32">
        <f>J67*L67</f>
        <v>315600</v>
      </c>
      <c r="O67" s="34"/>
      <c r="P67" s="72" t="s">
        <v>269</v>
      </c>
      <c r="S67" s="89"/>
    </row>
    <row r="68" spans="1:19" ht="14.25" customHeight="1">
      <c r="A68" s="5"/>
      <c r="B68" s="83"/>
      <c r="C68" s="5"/>
      <c r="D68" s="5"/>
      <c r="E68" s="5"/>
      <c r="F68" s="12"/>
      <c r="G68" s="12"/>
      <c r="J68" s="27"/>
      <c r="L68" s="42"/>
      <c r="N68" s="33"/>
      <c r="O68" s="34"/>
      <c r="P68" s="72"/>
      <c r="S68" s="89"/>
    </row>
    <row r="69" spans="1:15" s="16" customFormat="1" ht="14.25">
      <c r="A69" s="24" t="s">
        <v>115</v>
      </c>
      <c r="B69" s="125" t="s">
        <v>171</v>
      </c>
      <c r="C69" s="27"/>
      <c r="D69" s="27"/>
      <c r="E69" s="27"/>
      <c r="F69" s="27"/>
      <c r="G69" s="27"/>
      <c r="H69" s="25"/>
      <c r="I69" s="25"/>
      <c r="J69" s="25"/>
      <c r="K69" s="25"/>
      <c r="L69" s="49"/>
      <c r="M69" s="25"/>
      <c r="N69" s="25"/>
      <c r="O69" s="25"/>
    </row>
    <row r="70" spans="1:16" s="16" customFormat="1" ht="14.25" customHeight="1">
      <c r="A70" s="24"/>
      <c r="B70" s="126" t="s">
        <v>65</v>
      </c>
      <c r="C70" s="24" t="s">
        <v>81</v>
      </c>
      <c r="D70" s="24"/>
      <c r="E70" s="24"/>
      <c r="F70" s="27"/>
      <c r="G70" s="27"/>
      <c r="H70" s="18" t="s">
        <v>12</v>
      </c>
      <c r="I70" s="18"/>
      <c r="J70" s="87">
        <v>1</v>
      </c>
      <c r="K70" s="17"/>
      <c r="L70" s="40">
        <f>'C_S_Loadout_Cost_Worksheet (2)'!B81</f>
        <v>410280</v>
      </c>
      <c r="M70" s="17"/>
      <c r="N70" s="127">
        <f>J70*L70</f>
        <v>410280</v>
      </c>
      <c r="O70" s="128"/>
      <c r="P70" s="76" t="s">
        <v>387</v>
      </c>
    </row>
    <row r="71" spans="1:18" s="16" customFormat="1" ht="14.25" customHeight="1">
      <c r="A71" s="17"/>
      <c r="B71" s="129" t="s">
        <v>66</v>
      </c>
      <c r="C71" s="130" t="s">
        <v>82</v>
      </c>
      <c r="D71" s="130"/>
      <c r="E71" s="24"/>
      <c r="F71" s="24"/>
      <c r="G71" s="24"/>
      <c r="H71" s="18" t="s">
        <v>12</v>
      </c>
      <c r="I71" s="18"/>
      <c r="J71" s="87">
        <v>1</v>
      </c>
      <c r="K71" s="17"/>
      <c r="L71" s="40">
        <f>'C_S_Hauling_Cost_Worksheet (2)'!B103</f>
        <v>757440</v>
      </c>
      <c r="M71" s="17"/>
      <c r="N71" s="127">
        <f>J71*L71</f>
        <v>757440</v>
      </c>
      <c r="O71" s="128"/>
      <c r="P71" s="76" t="s">
        <v>397</v>
      </c>
      <c r="Q71" s="78"/>
      <c r="R71" s="78"/>
    </row>
    <row r="72" spans="1:15" ht="14.25">
      <c r="A72" s="5"/>
      <c r="B72" s="12"/>
      <c r="C72" s="12"/>
      <c r="D72" s="12"/>
      <c r="E72" s="12"/>
      <c r="F72" s="12"/>
      <c r="G72" s="12"/>
      <c r="H72" s="7"/>
      <c r="I72" s="7"/>
      <c r="J72" s="25"/>
      <c r="K72" s="25"/>
      <c r="L72" s="49"/>
      <c r="M72" s="7"/>
      <c r="N72" s="7"/>
      <c r="O72" s="7"/>
    </row>
    <row r="73" spans="2:18" ht="120.75" thickBot="1">
      <c r="B73" s="5"/>
      <c r="C73" s="5"/>
      <c r="D73" s="5"/>
      <c r="E73" s="5"/>
      <c r="F73" s="5"/>
      <c r="G73" s="5"/>
      <c r="J73" s="22"/>
      <c r="K73" s="20"/>
      <c r="L73" s="42"/>
      <c r="M73" s="31"/>
      <c r="N73" s="53" t="s">
        <v>11</v>
      </c>
      <c r="O73" s="52"/>
      <c r="P73" s="59" t="s">
        <v>251</v>
      </c>
      <c r="Q73" s="58"/>
      <c r="R73" s="2"/>
    </row>
    <row r="74" spans="2:19" ht="14.25" customHeight="1">
      <c r="B74" s="5"/>
      <c r="C74" s="5"/>
      <c r="D74" s="5"/>
      <c r="E74" s="5"/>
      <c r="F74" s="5"/>
      <c r="G74" s="5"/>
      <c r="J74" s="22"/>
      <c r="K74" s="20"/>
      <c r="L74" s="42"/>
      <c r="M74" s="31"/>
      <c r="N74" s="60">
        <v>2008</v>
      </c>
      <c r="O74" s="56"/>
      <c r="P74" s="34">
        <f>(N63+N66+N67+N70+N71)*(1+2.5/100)^(N74-2007)</f>
        <v>2030404.0499999998</v>
      </c>
      <c r="Q74" s="34"/>
      <c r="R74" s="2"/>
      <c r="S74" s="34">
        <f aca="true" t="shared" si="1" ref="S74:S93">P74*(1+0.08)^-(N74-2007)</f>
        <v>1880003.7499999995</v>
      </c>
    </row>
    <row r="75" spans="2:19" ht="14.25" customHeight="1">
      <c r="B75" s="5"/>
      <c r="C75" s="5"/>
      <c r="D75" s="5"/>
      <c r="E75" s="5"/>
      <c r="F75" s="5"/>
      <c r="G75" s="5"/>
      <c r="J75" s="22"/>
      <c r="K75" s="20"/>
      <c r="L75" s="42"/>
      <c r="M75" s="31"/>
      <c r="N75" s="60">
        <v>2009</v>
      </c>
      <c r="O75" s="56"/>
      <c r="P75" s="34">
        <f aca="true" t="shared" si="2" ref="P75:P93">P74*(1+2.5/100)^1</f>
        <v>2081164.1512499996</v>
      </c>
      <c r="Q75" s="34"/>
      <c r="R75" s="34"/>
      <c r="S75" s="34">
        <f t="shared" si="1"/>
        <v>1784262.8182870366</v>
      </c>
    </row>
    <row r="76" spans="2:19" ht="14.25" customHeight="1">
      <c r="B76" s="5"/>
      <c r="C76" s="5"/>
      <c r="D76" s="5"/>
      <c r="E76" s="5"/>
      <c r="F76" s="5"/>
      <c r="G76" s="5"/>
      <c r="J76" s="22"/>
      <c r="K76" s="20"/>
      <c r="L76" s="42"/>
      <c r="M76" s="31"/>
      <c r="N76" s="60">
        <v>2010</v>
      </c>
      <c r="O76" s="56"/>
      <c r="P76" s="34">
        <f t="shared" si="2"/>
        <v>2133193.2550312495</v>
      </c>
      <c r="Q76" s="34"/>
      <c r="R76" s="2"/>
      <c r="S76" s="34">
        <f t="shared" si="1"/>
        <v>1693397.582170567</v>
      </c>
    </row>
    <row r="77" spans="2:19" ht="14.25" customHeight="1">
      <c r="B77" s="5"/>
      <c r="C77" s="5"/>
      <c r="D77" s="5"/>
      <c r="E77" s="5"/>
      <c r="F77" s="5"/>
      <c r="G77" s="5"/>
      <c r="J77" s="22"/>
      <c r="K77" s="20"/>
      <c r="L77" s="42"/>
      <c r="M77" s="31"/>
      <c r="N77" s="60">
        <v>2011</v>
      </c>
      <c r="O77" s="56"/>
      <c r="P77" s="34">
        <f t="shared" si="2"/>
        <v>2186523.0864070305</v>
      </c>
      <c r="Q77" s="34"/>
      <c r="R77" s="2"/>
      <c r="S77" s="34">
        <f t="shared" si="1"/>
        <v>1607159.7423378064</v>
      </c>
    </row>
    <row r="78" spans="2:19" ht="14.25" customHeight="1">
      <c r="B78" s="5"/>
      <c r="C78" s="5"/>
      <c r="D78" s="5"/>
      <c r="E78" s="5"/>
      <c r="F78" s="5"/>
      <c r="G78" s="5"/>
      <c r="J78" s="22"/>
      <c r="K78" s="20"/>
      <c r="L78" s="42"/>
      <c r="M78" s="31"/>
      <c r="N78" s="60">
        <v>2012</v>
      </c>
      <c r="O78" s="56"/>
      <c r="P78" s="34">
        <f t="shared" si="2"/>
        <v>2241186.163567206</v>
      </c>
      <c r="Q78" s="34"/>
      <c r="R78" s="2"/>
      <c r="S78" s="34">
        <f t="shared" si="1"/>
        <v>1525313.6443483806</v>
      </c>
    </row>
    <row r="79" spans="2:19" ht="14.25" customHeight="1">
      <c r="B79" s="5"/>
      <c r="C79" s="5"/>
      <c r="D79" s="5"/>
      <c r="E79" s="5"/>
      <c r="F79" s="5"/>
      <c r="G79" s="5"/>
      <c r="J79" s="22"/>
      <c r="K79" s="20"/>
      <c r="L79" s="42"/>
      <c r="M79" s="31"/>
      <c r="N79" s="60">
        <v>2013</v>
      </c>
      <c r="O79" s="56"/>
      <c r="P79" s="34">
        <f t="shared" si="2"/>
        <v>2297215.8176563857</v>
      </c>
      <c r="Q79" s="34"/>
      <c r="R79" s="2"/>
      <c r="S79" s="34">
        <f t="shared" si="1"/>
        <v>1447635.6346824905</v>
      </c>
    </row>
    <row r="80" spans="2:19" ht="14.25" customHeight="1">
      <c r="B80" s="5"/>
      <c r="C80" s="5"/>
      <c r="D80" s="5"/>
      <c r="E80" s="5"/>
      <c r="F80" s="5"/>
      <c r="G80" s="5"/>
      <c r="J80" s="22"/>
      <c r="K80" s="20"/>
      <c r="L80" s="42"/>
      <c r="M80" s="31"/>
      <c r="N80" s="60">
        <v>2014</v>
      </c>
      <c r="O80" s="56"/>
      <c r="P80" s="34">
        <f t="shared" si="2"/>
        <v>2354646.2130977954</v>
      </c>
      <c r="Q80" s="34"/>
      <c r="R80" s="2"/>
      <c r="S80" s="34">
        <f t="shared" si="1"/>
        <v>1373913.4495829192</v>
      </c>
    </row>
    <row r="81" spans="2:19" ht="14.25" customHeight="1">
      <c r="B81" s="5"/>
      <c r="C81" s="5"/>
      <c r="D81" s="5"/>
      <c r="E81" s="5"/>
      <c r="F81" s="5"/>
      <c r="G81" s="5"/>
      <c r="J81" s="22"/>
      <c r="K81" s="20"/>
      <c r="L81" s="42"/>
      <c r="M81" s="31"/>
      <c r="N81" s="60">
        <v>2015</v>
      </c>
      <c r="O81" s="56"/>
      <c r="P81" s="34">
        <f t="shared" si="2"/>
        <v>2413512.3684252403</v>
      </c>
      <c r="Q81" s="34"/>
      <c r="R81" s="2"/>
      <c r="S81" s="34">
        <f t="shared" si="1"/>
        <v>1303945.635020826</v>
      </c>
    </row>
    <row r="82" spans="2:19" ht="14.25" customHeight="1">
      <c r="B82" s="5"/>
      <c r="C82" s="5"/>
      <c r="D82" s="5"/>
      <c r="E82" s="5"/>
      <c r="F82" s="5"/>
      <c r="G82" s="5"/>
      <c r="J82" s="22"/>
      <c r="K82" s="20"/>
      <c r="L82" s="42"/>
      <c r="M82" s="31"/>
      <c r="N82" s="60">
        <v>2016</v>
      </c>
      <c r="O82" s="56"/>
      <c r="P82" s="34">
        <f t="shared" si="2"/>
        <v>2473850.177635871</v>
      </c>
      <c r="Q82" s="34"/>
      <c r="R82" s="2"/>
      <c r="S82" s="34">
        <f t="shared" si="1"/>
        <v>1237540.996200321</v>
      </c>
    </row>
    <row r="83" spans="2:19" ht="14.25" customHeight="1">
      <c r="B83" s="5"/>
      <c r="C83" s="5"/>
      <c r="D83" s="5"/>
      <c r="E83" s="5"/>
      <c r="F83" s="5"/>
      <c r="G83" s="5"/>
      <c r="J83" s="22"/>
      <c r="K83" s="20"/>
      <c r="L83" s="42"/>
      <c r="M83" s="31"/>
      <c r="N83" s="60">
        <v>2017</v>
      </c>
      <c r="O83" s="56"/>
      <c r="P83" s="34">
        <f t="shared" si="2"/>
        <v>2535696.4320767676</v>
      </c>
      <c r="Q83" s="34"/>
      <c r="R83" s="2"/>
      <c r="S83" s="34">
        <f t="shared" si="1"/>
        <v>1174518.0750975267</v>
      </c>
    </row>
    <row r="84" spans="2:19" ht="14.25" customHeight="1">
      <c r="B84" s="5"/>
      <c r="C84" s="5"/>
      <c r="D84" s="5"/>
      <c r="E84" s="5"/>
      <c r="F84" s="5"/>
      <c r="G84" s="5"/>
      <c r="J84" s="22"/>
      <c r="K84" s="20"/>
      <c r="L84" s="42"/>
      <c r="M84" s="31"/>
      <c r="N84" s="60">
        <v>2018</v>
      </c>
      <c r="O84" s="56"/>
      <c r="P84" s="34">
        <f t="shared" si="2"/>
        <v>2599088.8428786867</v>
      </c>
      <c r="Q84" s="34"/>
      <c r="R84" s="2"/>
      <c r="S84" s="34">
        <f t="shared" si="1"/>
        <v>1114704.654606449</v>
      </c>
    </row>
    <row r="85" spans="2:19" ht="14.25" customHeight="1">
      <c r="B85" s="5"/>
      <c r="C85" s="5"/>
      <c r="D85" s="5"/>
      <c r="E85" s="5"/>
      <c r="F85" s="5"/>
      <c r="G85" s="5"/>
      <c r="J85" s="22"/>
      <c r="K85" s="20"/>
      <c r="L85" s="42"/>
      <c r="M85" s="31"/>
      <c r="N85" s="60">
        <v>2019</v>
      </c>
      <c r="O85" s="56"/>
      <c r="P85" s="34">
        <f t="shared" si="2"/>
        <v>2664066.0639506537</v>
      </c>
      <c r="Q85" s="34"/>
      <c r="R85" s="2"/>
      <c r="S85" s="34">
        <f t="shared" si="1"/>
        <v>1057937.2879366758</v>
      </c>
    </row>
    <row r="86" spans="2:19" ht="14.25" customHeight="1">
      <c r="B86" s="5"/>
      <c r="C86" s="5"/>
      <c r="D86" s="5"/>
      <c r="E86" s="5"/>
      <c r="F86" s="5"/>
      <c r="G86" s="5"/>
      <c r="J86" s="22"/>
      <c r="K86" s="20"/>
      <c r="L86" s="42"/>
      <c r="M86" s="31"/>
      <c r="N86" s="60">
        <v>2020</v>
      </c>
      <c r="O86" s="56"/>
      <c r="P86" s="34">
        <f t="shared" si="2"/>
        <v>2730667.7155494196</v>
      </c>
      <c r="Q86" s="34"/>
      <c r="R86" s="2"/>
      <c r="S86" s="34">
        <f t="shared" si="1"/>
        <v>1004060.8519769375</v>
      </c>
    </row>
    <row r="87" spans="2:19" ht="14.25" customHeight="1">
      <c r="B87" s="5"/>
      <c r="C87" s="5"/>
      <c r="D87" s="5"/>
      <c r="E87" s="5"/>
      <c r="F87" s="5"/>
      <c r="G87" s="5"/>
      <c r="J87" s="22"/>
      <c r="K87" s="20"/>
      <c r="L87" s="42"/>
      <c r="M87" s="31"/>
      <c r="N87" s="60">
        <v>2021</v>
      </c>
      <c r="O87" s="56"/>
      <c r="P87" s="34">
        <f t="shared" si="2"/>
        <v>2798934.408438155</v>
      </c>
      <c r="Q87" s="34"/>
      <c r="R87" s="2"/>
      <c r="S87" s="34">
        <f t="shared" si="1"/>
        <v>952928.1234040378</v>
      </c>
    </row>
    <row r="88" spans="2:19" ht="14.25" customHeight="1">
      <c r="B88" s="5"/>
      <c r="C88" s="5"/>
      <c r="D88" s="5"/>
      <c r="E88" s="5"/>
      <c r="F88" s="5"/>
      <c r="G88" s="5"/>
      <c r="J88" s="22"/>
      <c r="K88" s="20"/>
      <c r="L88" s="42"/>
      <c r="M88" s="31"/>
      <c r="N88" s="60">
        <v>2022</v>
      </c>
      <c r="O88" s="56"/>
      <c r="P88" s="34">
        <f t="shared" si="2"/>
        <v>2868907.7686491087</v>
      </c>
      <c r="Q88" s="34"/>
      <c r="R88" s="2"/>
      <c r="S88" s="34">
        <f t="shared" si="1"/>
        <v>904399.3763788319</v>
      </c>
    </row>
    <row r="89" spans="2:19" ht="14.25" customHeight="1">
      <c r="B89" s="5"/>
      <c r="C89" s="5"/>
      <c r="D89" s="5"/>
      <c r="E89" s="5"/>
      <c r="F89" s="5"/>
      <c r="G89" s="5"/>
      <c r="J89" s="22"/>
      <c r="K89" s="20"/>
      <c r="L89" s="42"/>
      <c r="M89" s="31"/>
      <c r="N89" s="60">
        <v>2023</v>
      </c>
      <c r="O89" s="56"/>
      <c r="P89" s="34">
        <f t="shared" si="2"/>
        <v>2940630.4628653363</v>
      </c>
      <c r="Q89" s="34"/>
      <c r="R89" s="2"/>
      <c r="S89" s="34">
        <f t="shared" si="1"/>
        <v>858342.00072991</v>
      </c>
    </row>
    <row r="90" spans="2:19" ht="14.25" customHeight="1">
      <c r="B90" s="5"/>
      <c r="C90" s="5"/>
      <c r="D90" s="5"/>
      <c r="E90" s="5"/>
      <c r="F90" s="5"/>
      <c r="G90" s="5"/>
      <c r="J90" s="22"/>
      <c r="K90" s="20"/>
      <c r="L90" s="42"/>
      <c r="M90" s="31"/>
      <c r="N90" s="60">
        <v>2024</v>
      </c>
      <c r="O90" s="56"/>
      <c r="P90" s="34">
        <f t="shared" si="2"/>
        <v>3014146.2244369695</v>
      </c>
      <c r="Q90" s="34"/>
      <c r="R90" s="2"/>
      <c r="S90" s="34">
        <f t="shared" si="1"/>
        <v>814630.1395816276</v>
      </c>
    </row>
    <row r="91" spans="2:19" ht="14.25" customHeight="1">
      <c r="B91" s="5"/>
      <c r="C91" s="5"/>
      <c r="D91" s="5"/>
      <c r="E91" s="5"/>
      <c r="F91" s="5"/>
      <c r="G91" s="5"/>
      <c r="J91" s="22"/>
      <c r="K91" s="20"/>
      <c r="L91" s="42"/>
      <c r="M91" s="31"/>
      <c r="N91" s="60">
        <v>2025</v>
      </c>
      <c r="O91" s="56"/>
      <c r="P91" s="34">
        <f t="shared" si="2"/>
        <v>3089499.8800478936</v>
      </c>
      <c r="Q91" s="34"/>
      <c r="R91" s="2"/>
      <c r="S91" s="34">
        <f t="shared" si="1"/>
        <v>773144.3454362666</v>
      </c>
    </row>
    <row r="92" spans="2:19" ht="14.25" customHeight="1">
      <c r="B92" s="5"/>
      <c r="C92" s="5"/>
      <c r="D92" s="5"/>
      <c r="E92" s="5"/>
      <c r="F92" s="5"/>
      <c r="G92" s="5"/>
      <c r="J92" s="22"/>
      <c r="K92" s="20"/>
      <c r="L92" s="42"/>
      <c r="M92" s="31"/>
      <c r="N92" s="60">
        <v>2026</v>
      </c>
      <c r="O92" s="56"/>
      <c r="P92" s="34">
        <f t="shared" si="2"/>
        <v>3166737.377049091</v>
      </c>
      <c r="Q92" s="34"/>
      <c r="R92" s="2"/>
      <c r="S92" s="34">
        <f t="shared" si="1"/>
        <v>733771.2537705308</v>
      </c>
    </row>
    <row r="93" spans="2:19" ht="14.25" customHeight="1">
      <c r="B93" s="5"/>
      <c r="C93" s="5"/>
      <c r="D93" s="5"/>
      <c r="E93" s="5"/>
      <c r="F93" s="5"/>
      <c r="G93" s="5"/>
      <c r="J93" s="22"/>
      <c r="K93" s="20"/>
      <c r="L93" s="42"/>
      <c r="M93" s="31"/>
      <c r="N93" s="60">
        <v>2027</v>
      </c>
      <c r="O93" s="56"/>
      <c r="P93" s="34">
        <f t="shared" si="2"/>
        <v>3245905.811475318</v>
      </c>
      <c r="Q93" s="34"/>
      <c r="R93" s="2"/>
      <c r="S93" s="108">
        <f t="shared" si="1"/>
        <v>696403.2732544389</v>
      </c>
    </row>
    <row r="94" spans="2:18" ht="14.25" customHeight="1">
      <c r="B94" s="5"/>
      <c r="C94" s="5"/>
      <c r="D94" s="5"/>
      <c r="E94" s="5"/>
      <c r="F94" s="5"/>
      <c r="G94" s="5"/>
      <c r="J94" s="22"/>
      <c r="K94" s="20"/>
      <c r="L94" s="42"/>
      <c r="M94" s="31"/>
      <c r="N94" s="56"/>
      <c r="O94" s="56"/>
      <c r="P94" s="54"/>
      <c r="Q94" s="54"/>
      <c r="R94" s="2"/>
    </row>
    <row r="95" spans="2:19" ht="14.25" customHeight="1">
      <c r="B95" s="5"/>
      <c r="C95" s="5"/>
      <c r="D95" s="5"/>
      <c r="E95" s="5"/>
      <c r="F95" s="5"/>
      <c r="G95" s="5"/>
      <c r="J95" s="22"/>
      <c r="K95" s="20"/>
      <c r="L95" s="42"/>
      <c r="M95" s="31"/>
      <c r="O95" s="55"/>
      <c r="P95" s="55" t="s">
        <v>64</v>
      </c>
      <c r="Q95" s="55"/>
      <c r="R95" s="34">
        <f>P74*(1+0.08)^-(N74-2007)+P75*(1+0.08)^-(N75-2007)+P76*(1+0.08)^-(N76-2007)+P77*(1+0.08)^-(N77-2007)+P78*(1+0.08)^-(N78-2007)+P79*(1+0.08)^-(N79-2007)+P80*(1+0.08)^-(N80-2007)+P81*(1+0.08)^-(N81-2007)+P82*(1+0.08)^-(N82-2007)+P83*(1+0.08)^-(N83-2007)+P84*(1+0.08)^-(N84-2007)+P85*(1+0.08)^-(N85-2007)+P86*(1+0.08)^-(N86-2007)+P87*(1+0.08)^-(N87-2007)+P88*(1+0.08)^-(N88-2007)+P89*(1+0.08)^-(N89-2007)+P90*(1+0.08)^-(N90-2007)+P91*(1+0.08)^-(N91-2007)+P92*(1+0.08)^-(N92-2007)+P93*(1+0.08)^-(N93-2007)</f>
        <v>23938012.634803582</v>
      </c>
      <c r="S95" s="109">
        <f>SUM(S74:S93)</f>
        <v>23938012.634803582</v>
      </c>
    </row>
    <row r="96" spans="2:17" ht="14.25" customHeight="1">
      <c r="B96" s="5"/>
      <c r="C96" s="5"/>
      <c r="D96" s="5"/>
      <c r="E96" s="5"/>
      <c r="F96" s="5"/>
      <c r="G96" s="5"/>
      <c r="I96" s="12"/>
      <c r="J96" s="22"/>
      <c r="K96" s="19"/>
      <c r="L96" s="46"/>
      <c r="M96" s="30"/>
      <c r="N96" s="57"/>
      <c r="O96" s="57"/>
      <c r="P96" s="2"/>
      <c r="Q96" s="2"/>
    </row>
    <row r="97" spans="1:18" ht="14.25" customHeight="1">
      <c r="A97" s="6" t="s">
        <v>409</v>
      </c>
      <c r="B97" s="5" t="s">
        <v>220</v>
      </c>
      <c r="C97" s="5"/>
      <c r="D97" s="5"/>
      <c r="E97" s="5"/>
      <c r="F97" s="5"/>
      <c r="G97" s="5"/>
      <c r="Q97" s="2"/>
      <c r="R97" s="2"/>
    </row>
    <row r="98" spans="2:18" ht="14.25" customHeight="1">
      <c r="B98" s="115" t="s">
        <v>65</v>
      </c>
      <c r="C98" s="5" t="s">
        <v>277</v>
      </c>
      <c r="D98" s="5"/>
      <c r="E98" s="5"/>
      <c r="F98" s="5"/>
      <c r="G98" s="5"/>
      <c r="H98" s="4" t="s">
        <v>12</v>
      </c>
      <c r="I98" s="12"/>
      <c r="J98" s="21">
        <v>1</v>
      </c>
      <c r="K98" s="19"/>
      <c r="L98" s="135">
        <f>0.02*(SUM(N25:N39))</f>
        <v>36172.4388</v>
      </c>
      <c r="M98" s="3"/>
      <c r="N98" s="32">
        <f>J98*L98</f>
        <v>36172.4388</v>
      </c>
      <c r="O98" s="33"/>
      <c r="P98" s="72" t="s">
        <v>146</v>
      </c>
      <c r="Q98" s="2"/>
      <c r="R98" s="2"/>
    </row>
    <row r="99" spans="2:18" ht="14.25" customHeight="1">
      <c r="B99" s="115" t="s">
        <v>66</v>
      </c>
      <c r="C99" s="5" t="s">
        <v>278</v>
      </c>
      <c r="D99" s="5"/>
      <c r="E99" s="5"/>
      <c r="F99" s="5"/>
      <c r="G99" s="5"/>
      <c r="H99" s="4" t="s">
        <v>12</v>
      </c>
      <c r="I99" s="12"/>
      <c r="J99" s="21">
        <v>1</v>
      </c>
      <c r="K99" s="19"/>
      <c r="L99" s="40">
        <f>2*40*12*'C_S_Loadout_Cost_Worksheet (1)'!B71</f>
        <v>252480</v>
      </c>
      <c r="M99" s="3"/>
      <c r="N99" s="32">
        <f>J99*L99</f>
        <v>252480</v>
      </c>
      <c r="O99" s="33"/>
      <c r="P99" s="72" t="s">
        <v>406</v>
      </c>
      <c r="Q99" s="2"/>
      <c r="R99" s="2"/>
    </row>
    <row r="100" spans="2:18" ht="14.25" customHeight="1">
      <c r="B100" s="115" t="s">
        <v>68</v>
      </c>
      <c r="C100" s="5" t="s">
        <v>222</v>
      </c>
      <c r="D100" s="5"/>
      <c r="E100" s="5"/>
      <c r="F100" s="5"/>
      <c r="G100" s="5"/>
      <c r="I100" s="12"/>
      <c r="J100" s="22"/>
      <c r="K100" s="19"/>
      <c r="L100" s="114"/>
      <c r="M100" s="3"/>
      <c r="N100" s="33"/>
      <c r="O100" s="33"/>
      <c r="P100" s="72"/>
      <c r="Q100" s="2"/>
      <c r="R100" s="2"/>
    </row>
    <row r="101" spans="3:23" ht="14.25">
      <c r="C101" s="6" t="s">
        <v>117</v>
      </c>
      <c r="D101" s="6" t="s">
        <v>240</v>
      </c>
      <c r="E101" s="6"/>
      <c r="F101" s="6"/>
      <c r="G101" s="6"/>
      <c r="H101" s="4" t="s">
        <v>3</v>
      </c>
      <c r="J101" s="21">
        <v>1</v>
      </c>
      <c r="K101" s="20"/>
      <c r="L101" s="175">
        <f>S101</f>
        <v>21598.65</v>
      </c>
      <c r="M101" s="31"/>
      <c r="N101" s="32">
        <f>J101*L101</f>
        <v>21598.65</v>
      </c>
      <c r="O101" s="33"/>
      <c r="P101" s="88" t="s">
        <v>314</v>
      </c>
      <c r="Q101" s="10"/>
      <c r="S101" s="10">
        <f>0.05*(SUM(N103:N105))</f>
        <v>21598.65</v>
      </c>
      <c r="T101" s="15"/>
      <c r="W101" s="50"/>
    </row>
    <row r="102" spans="2:27" ht="14.25">
      <c r="B102" s="84"/>
      <c r="C102" s="6"/>
      <c r="D102" s="124" t="s">
        <v>211</v>
      </c>
      <c r="E102" s="6"/>
      <c r="F102" s="6"/>
      <c r="G102" s="6"/>
      <c r="H102" s="12"/>
      <c r="I102" s="12"/>
      <c r="J102" s="22"/>
      <c r="K102" s="19"/>
      <c r="L102" s="51"/>
      <c r="M102" s="33"/>
      <c r="N102" s="33"/>
      <c r="O102" s="33"/>
      <c r="R102" s="79"/>
      <c r="U102" s="35"/>
      <c r="Z102" s="112"/>
      <c r="AA102" s="112"/>
    </row>
    <row r="103" spans="2:27" ht="14.25">
      <c r="B103" s="84"/>
      <c r="C103" s="6" t="s">
        <v>206</v>
      </c>
      <c r="D103" s="6" t="s">
        <v>208</v>
      </c>
      <c r="E103" s="6"/>
      <c r="F103" s="6"/>
      <c r="G103" s="6"/>
      <c r="H103" s="12" t="s">
        <v>84</v>
      </c>
      <c r="I103" s="12"/>
      <c r="J103" s="21">
        <f>2*S4</f>
        <v>31998</v>
      </c>
      <c r="K103" s="19"/>
      <c r="L103" s="41">
        <v>11.5</v>
      </c>
      <c r="M103" s="31"/>
      <c r="N103" s="32">
        <f>J103*L103</f>
        <v>367977</v>
      </c>
      <c r="O103" s="33"/>
      <c r="R103" s="79"/>
      <c r="U103" s="35"/>
      <c r="Z103" s="112"/>
      <c r="AA103" s="112"/>
    </row>
    <row r="104" spans="2:27" ht="14.25">
      <c r="B104" s="6"/>
      <c r="C104" s="6"/>
      <c r="D104" s="124" t="s">
        <v>212</v>
      </c>
      <c r="E104" s="6"/>
      <c r="F104" s="6"/>
      <c r="G104" s="6"/>
      <c r="H104" s="12"/>
      <c r="I104" s="12"/>
      <c r="J104" s="22"/>
      <c r="K104" s="19"/>
      <c r="L104" s="51"/>
      <c r="M104" s="31"/>
      <c r="N104" s="33"/>
      <c r="O104" s="33"/>
      <c r="R104" s="79"/>
      <c r="S104" s="89"/>
      <c r="U104" s="35"/>
      <c r="Z104" s="81"/>
      <c r="AA104" s="80"/>
    </row>
    <row r="105" spans="2:27" ht="14.25">
      <c r="B105" s="6"/>
      <c r="C105" s="6" t="s">
        <v>207</v>
      </c>
      <c r="D105" s="6" t="s">
        <v>214</v>
      </c>
      <c r="E105" s="6"/>
      <c r="F105" s="6"/>
      <c r="G105" s="6"/>
      <c r="H105" s="12" t="s">
        <v>213</v>
      </c>
      <c r="I105" s="12"/>
      <c r="J105" s="21">
        <f>J103/1000*8</f>
        <v>255.984</v>
      </c>
      <c r="K105" s="19"/>
      <c r="L105" s="41">
        <v>250</v>
      </c>
      <c r="M105" s="31"/>
      <c r="N105" s="32">
        <f>J105*L105</f>
        <v>63996</v>
      </c>
      <c r="O105" s="33"/>
      <c r="P105" s="89" t="s">
        <v>215</v>
      </c>
      <c r="R105" s="79"/>
      <c r="S105" s="89"/>
      <c r="U105" s="35"/>
      <c r="Z105" s="81">
        <v>3.3</v>
      </c>
      <c r="AA105" s="80" t="s">
        <v>56</v>
      </c>
    </row>
    <row r="106" spans="2:27" ht="14.25">
      <c r="B106" s="6"/>
      <c r="C106" s="6"/>
      <c r="D106" s="6"/>
      <c r="E106" s="6"/>
      <c r="F106" s="6"/>
      <c r="G106" s="6"/>
      <c r="H106" s="12"/>
      <c r="I106" s="12"/>
      <c r="J106" s="22"/>
      <c r="K106" s="19"/>
      <c r="L106" s="51"/>
      <c r="M106" s="31"/>
      <c r="N106" s="33"/>
      <c r="O106" s="33"/>
      <c r="R106" s="79"/>
      <c r="S106" s="89"/>
      <c r="U106" s="35"/>
      <c r="Z106" s="81"/>
      <c r="AA106" s="80"/>
    </row>
    <row r="107" spans="5:18" ht="15">
      <c r="E107" s="6"/>
      <c r="F107" s="6"/>
      <c r="G107" s="6"/>
      <c r="J107" s="23"/>
      <c r="K107" s="20"/>
      <c r="L107" s="44" t="s">
        <v>247</v>
      </c>
      <c r="M107" s="14"/>
      <c r="N107" s="34">
        <f>SUM(N101:N105)</f>
        <v>453571.65</v>
      </c>
      <c r="O107" s="34"/>
      <c r="P107" s="11"/>
      <c r="Q107" s="11"/>
      <c r="R107" s="11"/>
    </row>
    <row r="108" spans="5:19" ht="15">
      <c r="E108" s="6"/>
      <c r="F108" s="6"/>
      <c r="G108" s="6"/>
      <c r="J108" s="23"/>
      <c r="K108" s="20"/>
      <c r="L108" s="44"/>
      <c r="M108" s="14"/>
      <c r="N108" s="34"/>
      <c r="O108" s="34"/>
      <c r="P108" s="11"/>
      <c r="Q108" s="11"/>
      <c r="R108" s="11"/>
      <c r="S108" s="37"/>
    </row>
    <row r="109" spans="2:18" ht="15.75" thickBot="1">
      <c r="B109" s="5"/>
      <c r="C109" s="5"/>
      <c r="D109" s="5"/>
      <c r="E109" s="5"/>
      <c r="F109" s="5"/>
      <c r="G109" s="5"/>
      <c r="J109" s="22"/>
      <c r="K109" s="19"/>
      <c r="L109" s="46" t="s">
        <v>14</v>
      </c>
      <c r="M109" s="30"/>
      <c r="N109" s="48">
        <f>N107*0.25</f>
        <v>113392.9125</v>
      </c>
      <c r="O109" s="34"/>
      <c r="P109" s="11"/>
      <c r="Q109" s="11"/>
      <c r="R109" s="11"/>
    </row>
    <row r="110" spans="2:18" ht="14.25">
      <c r="B110" s="5"/>
      <c r="C110" s="5"/>
      <c r="D110" s="5"/>
      <c r="E110" s="5"/>
      <c r="F110" s="5"/>
      <c r="G110" s="5"/>
      <c r="J110" s="22"/>
      <c r="K110" s="19"/>
      <c r="L110" s="43"/>
      <c r="M110" s="9"/>
      <c r="N110" s="33"/>
      <c r="O110" s="33"/>
      <c r="P110" s="11"/>
      <c r="Q110" s="11"/>
      <c r="R110" s="11"/>
    </row>
    <row r="111" spans="2:19" ht="15">
      <c r="B111" s="5"/>
      <c r="C111" s="5"/>
      <c r="D111" s="5"/>
      <c r="E111" s="5"/>
      <c r="F111" s="5"/>
      <c r="G111" s="5"/>
      <c r="J111" s="22"/>
      <c r="K111" s="19"/>
      <c r="L111" s="44" t="s">
        <v>248</v>
      </c>
      <c r="M111" s="9"/>
      <c r="N111" s="34">
        <f>SUM(N107:N109)</f>
        <v>566964.5625</v>
      </c>
      <c r="O111" s="34"/>
      <c r="P111" s="11"/>
      <c r="Q111" s="11"/>
      <c r="R111" s="11"/>
      <c r="S111" s="37"/>
    </row>
    <row r="112" spans="2:19" ht="15">
      <c r="B112" s="5"/>
      <c r="C112" s="5"/>
      <c r="D112" s="5"/>
      <c r="E112" s="5"/>
      <c r="F112" s="5"/>
      <c r="G112" s="5"/>
      <c r="J112" s="22"/>
      <c r="K112" s="19"/>
      <c r="L112" s="44"/>
      <c r="M112" s="9"/>
      <c r="N112" s="34"/>
      <c r="O112" s="34"/>
      <c r="P112" s="11"/>
      <c r="Q112" s="11"/>
      <c r="R112" s="11"/>
      <c r="S112" s="37"/>
    </row>
    <row r="113" spans="2:27" ht="15">
      <c r="B113" s="6"/>
      <c r="C113" s="6"/>
      <c r="D113" s="6"/>
      <c r="E113" s="6"/>
      <c r="F113" s="6"/>
      <c r="G113" s="6"/>
      <c r="H113" s="12"/>
      <c r="I113" s="12"/>
      <c r="J113" s="22"/>
      <c r="K113" s="19"/>
      <c r="N113" s="44" t="s">
        <v>249</v>
      </c>
      <c r="O113" s="33"/>
      <c r="P113" s="34">
        <f>N111*(1+2.5/100)^(2018-2007)</f>
        <v>743906.637902382</v>
      </c>
      <c r="R113" s="79"/>
      <c r="S113" s="89"/>
      <c r="U113" s="35"/>
      <c r="Z113" s="81"/>
      <c r="AA113" s="80"/>
    </row>
    <row r="114" spans="1:18" s="62" customFormat="1" ht="18">
      <c r="A114" s="180" t="s">
        <v>15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s="62" customFormat="1" ht="18">
      <c r="A115" s="181" t="s">
        <v>16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s="62" customFormat="1" ht="18">
      <c r="A116" s="181" t="s">
        <v>17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5" s="62" customFormat="1" ht="18">
      <c r="A117" s="101"/>
      <c r="C117" s="5"/>
      <c r="D117" s="5"/>
      <c r="E117" s="5"/>
    </row>
    <row r="118" spans="1:18" s="62" customFormat="1" ht="18">
      <c r="A118" s="180" t="s">
        <v>18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s="62" customFormat="1" ht="18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2:5" s="62" customFormat="1" ht="18" customHeight="1">
      <c r="B120" s="102"/>
      <c r="C120" s="5"/>
      <c r="D120" s="5"/>
      <c r="E120" s="5"/>
    </row>
    <row r="121" spans="1:18" ht="18" customHeight="1">
      <c r="A121" s="191" t="s">
        <v>232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</row>
    <row r="122" spans="16:17" ht="14.25">
      <c r="P122" s="1"/>
      <c r="Q122" s="1"/>
    </row>
    <row r="123" spans="2:18" ht="90.75" thickBot="1">
      <c r="B123" s="5"/>
      <c r="C123" s="5"/>
      <c r="D123" s="5"/>
      <c r="E123" s="5"/>
      <c r="F123" s="5"/>
      <c r="G123" s="5"/>
      <c r="J123" s="22"/>
      <c r="K123" s="20"/>
      <c r="L123" s="42"/>
      <c r="M123" s="31"/>
      <c r="N123" s="53" t="s">
        <v>11</v>
      </c>
      <c r="O123" s="52"/>
      <c r="P123" s="59" t="s">
        <v>250</v>
      </c>
      <c r="Q123" s="58"/>
      <c r="R123" s="2"/>
    </row>
    <row r="124" spans="2:19" ht="14.25" customHeight="1">
      <c r="B124" s="5"/>
      <c r="C124" s="5"/>
      <c r="D124" s="5"/>
      <c r="E124" s="5"/>
      <c r="F124" s="5"/>
      <c r="G124" s="5"/>
      <c r="J124" s="22"/>
      <c r="K124" s="20"/>
      <c r="L124" s="42"/>
      <c r="M124" s="31"/>
      <c r="N124" s="60">
        <v>2008</v>
      </c>
      <c r="O124" s="56"/>
      <c r="P124" s="34">
        <f>(N98+N99)*(1+2.5/100)^(N124-2007)</f>
        <v>295868.74977</v>
      </c>
      <c r="Q124" s="34"/>
      <c r="R124" s="2"/>
      <c r="S124" s="34">
        <f aca="true" t="shared" si="3" ref="S124:S143">P124*(1+0.08)^-(N124-2007)</f>
        <v>273952.5460833333</v>
      </c>
    </row>
    <row r="125" spans="2:19" ht="14.25" customHeight="1">
      <c r="B125" s="5"/>
      <c r="C125" s="5"/>
      <c r="D125" s="5"/>
      <c r="E125" s="5"/>
      <c r="F125" s="5"/>
      <c r="G125" s="5"/>
      <c r="J125" s="22"/>
      <c r="K125" s="20"/>
      <c r="L125" s="42"/>
      <c r="M125" s="31"/>
      <c r="N125" s="60">
        <v>2009</v>
      </c>
      <c r="O125" s="56"/>
      <c r="P125" s="34">
        <f aca="true" t="shared" si="4" ref="P125:P143">P124*(1+2.5/100)^1</f>
        <v>303265.46851424995</v>
      </c>
      <c r="Q125" s="34"/>
      <c r="R125" s="2"/>
      <c r="S125" s="34">
        <f t="shared" si="3"/>
        <v>260001.25901427463</v>
      </c>
    </row>
    <row r="126" spans="2:19" ht="14.25" customHeight="1">
      <c r="B126" s="5"/>
      <c r="C126" s="5"/>
      <c r="D126" s="5"/>
      <c r="E126" s="5"/>
      <c r="F126" s="5"/>
      <c r="G126" s="5"/>
      <c r="J126" s="22"/>
      <c r="K126" s="20"/>
      <c r="L126" s="42"/>
      <c r="M126" s="31"/>
      <c r="N126" s="60">
        <v>2010</v>
      </c>
      <c r="O126" s="56"/>
      <c r="P126" s="34">
        <f t="shared" si="4"/>
        <v>310847.1052271062</v>
      </c>
      <c r="Q126" s="34"/>
      <c r="R126" s="2"/>
      <c r="S126" s="34">
        <f t="shared" si="3"/>
        <v>246760.45415706618</v>
      </c>
    </row>
    <row r="127" spans="2:19" ht="14.25" customHeight="1">
      <c r="B127" s="5"/>
      <c r="C127" s="5"/>
      <c r="D127" s="5"/>
      <c r="E127" s="5"/>
      <c r="F127" s="5"/>
      <c r="G127" s="5"/>
      <c r="J127" s="22"/>
      <c r="K127" s="20"/>
      <c r="L127" s="42"/>
      <c r="M127" s="31"/>
      <c r="N127" s="60">
        <v>2011</v>
      </c>
      <c r="O127" s="56"/>
      <c r="P127" s="34">
        <f t="shared" si="4"/>
        <v>318618.28285778384</v>
      </c>
      <c r="Q127" s="34"/>
      <c r="R127" s="2"/>
      <c r="S127" s="34">
        <f t="shared" si="3"/>
        <v>234193.94954721557</v>
      </c>
    </row>
    <row r="128" spans="2:19" ht="14.25" customHeight="1">
      <c r="B128" s="5"/>
      <c r="C128" s="5"/>
      <c r="D128" s="5"/>
      <c r="E128" s="5"/>
      <c r="F128" s="5"/>
      <c r="G128" s="5"/>
      <c r="J128" s="22"/>
      <c r="K128" s="20"/>
      <c r="L128" s="42"/>
      <c r="M128" s="31"/>
      <c r="N128" s="60">
        <v>2012</v>
      </c>
      <c r="O128" s="56"/>
      <c r="P128" s="34">
        <f t="shared" si="4"/>
        <v>326583.7399292284</v>
      </c>
      <c r="Q128" s="34"/>
      <c r="R128" s="2"/>
      <c r="S128" s="34">
        <f t="shared" si="3"/>
        <v>222267.405820274</v>
      </c>
    </row>
    <row r="129" spans="2:19" ht="14.25" customHeight="1">
      <c r="B129" s="5"/>
      <c r="C129" s="5"/>
      <c r="D129" s="5"/>
      <c r="E129" s="5"/>
      <c r="F129" s="5"/>
      <c r="G129" s="5"/>
      <c r="J129" s="22"/>
      <c r="K129" s="20"/>
      <c r="L129" s="42"/>
      <c r="M129" s="31"/>
      <c r="N129" s="60">
        <v>2013</v>
      </c>
      <c r="O129" s="56"/>
      <c r="P129" s="34">
        <f t="shared" si="4"/>
        <v>334748.33342745906</v>
      </c>
      <c r="Q129" s="34"/>
      <c r="R129" s="2"/>
      <c r="S129" s="34">
        <f t="shared" si="3"/>
        <v>210948.23237572293</v>
      </c>
    </row>
    <row r="130" spans="2:19" ht="14.25" customHeight="1">
      <c r="B130" s="5"/>
      <c r="C130" s="5"/>
      <c r="D130" s="5"/>
      <c r="E130" s="5"/>
      <c r="F130" s="5"/>
      <c r="G130" s="5"/>
      <c r="J130" s="22"/>
      <c r="K130" s="20"/>
      <c r="L130" s="42"/>
      <c r="M130" s="31"/>
      <c r="N130" s="60">
        <v>2014</v>
      </c>
      <c r="O130" s="56"/>
      <c r="P130" s="34">
        <f t="shared" si="4"/>
        <v>343117.04176314553</v>
      </c>
      <c r="Q130" s="34"/>
      <c r="R130" s="2"/>
      <c r="S130" s="34">
        <f t="shared" si="3"/>
        <v>200205.49831955187</v>
      </c>
    </row>
    <row r="131" spans="2:19" ht="14.25" customHeight="1">
      <c r="B131" s="5"/>
      <c r="C131" s="5"/>
      <c r="D131" s="5"/>
      <c r="E131" s="5"/>
      <c r="F131" s="5"/>
      <c r="G131" s="5"/>
      <c r="J131" s="22"/>
      <c r="K131" s="20"/>
      <c r="L131" s="42"/>
      <c r="M131" s="31"/>
      <c r="N131" s="60">
        <v>2015</v>
      </c>
      <c r="O131" s="56"/>
      <c r="P131" s="34">
        <f t="shared" si="4"/>
        <v>351694.96780722414</v>
      </c>
      <c r="Q131" s="34"/>
      <c r="R131" s="2"/>
      <c r="S131" s="34">
        <f t="shared" si="3"/>
        <v>190009.84794216725</v>
      </c>
    </row>
    <row r="132" spans="2:19" ht="14.25" customHeight="1">
      <c r="B132" s="5"/>
      <c r="C132" s="5"/>
      <c r="D132" s="5"/>
      <c r="E132" s="5"/>
      <c r="F132" s="5"/>
      <c r="G132" s="5"/>
      <c r="J132" s="22"/>
      <c r="K132" s="20"/>
      <c r="L132" s="42"/>
      <c r="M132" s="31"/>
      <c r="N132" s="60">
        <v>2016</v>
      </c>
      <c r="O132" s="56"/>
      <c r="P132" s="34">
        <f>P131*(1+2.5/100)^1</f>
        <v>360487.34200240474</v>
      </c>
      <c r="Q132" s="34"/>
      <c r="R132" s="2"/>
      <c r="S132" s="34">
        <f>P132*(1+0.08)^-(N132-2007)</f>
        <v>180333.420500668</v>
      </c>
    </row>
    <row r="133" spans="2:19" ht="14.25" customHeight="1">
      <c r="B133" s="5"/>
      <c r="C133" s="5"/>
      <c r="D133" s="5"/>
      <c r="E133" s="5"/>
      <c r="F133" s="5"/>
      <c r="G133" s="5"/>
      <c r="J133" s="22"/>
      <c r="K133" s="20"/>
      <c r="L133" s="42"/>
      <c r="M133" s="31"/>
      <c r="N133" s="60">
        <v>2017</v>
      </c>
      <c r="O133" s="56"/>
      <c r="P133" s="34">
        <f>P132*(1+2.5/100)^1</f>
        <v>369499.5255524648</v>
      </c>
      <c r="Q133" s="34"/>
      <c r="R133" s="2"/>
      <c r="S133" s="34">
        <f>P133*(1+0.08)^-(N133-2007)</f>
        <v>171149.7740862821</v>
      </c>
    </row>
    <row r="134" spans="2:19" ht="14.25" customHeight="1">
      <c r="B134" s="5"/>
      <c r="C134" s="5"/>
      <c r="D134" s="5"/>
      <c r="E134" s="5"/>
      <c r="F134" s="5"/>
      <c r="G134" s="5"/>
      <c r="J134" s="22"/>
      <c r="K134" s="20"/>
      <c r="L134" s="42"/>
      <c r="M134" s="31"/>
      <c r="N134" s="60">
        <v>2018</v>
      </c>
      <c r="O134" s="56"/>
      <c r="P134" s="34">
        <f>P133*(1+2.5/100)^1+P113</f>
        <v>1122643.6515936584</v>
      </c>
      <c r="Q134" s="34"/>
      <c r="R134" s="116">
        <f>P133*(1+2.5/100)^1</f>
        <v>378737.0136912764</v>
      </c>
      <c r="S134" s="34">
        <f>P134*(1+0.08)^-(N134-2007)</f>
        <v>481482.6193127719</v>
      </c>
    </row>
    <row r="135" spans="2:19" ht="14.25" customHeight="1">
      <c r="B135" s="5"/>
      <c r="C135" s="5"/>
      <c r="D135" s="5"/>
      <c r="E135" s="5"/>
      <c r="F135" s="5"/>
      <c r="G135" s="5"/>
      <c r="J135" s="22"/>
      <c r="K135" s="20"/>
      <c r="L135" s="42"/>
      <c r="M135" s="31"/>
      <c r="N135" s="60">
        <v>2019</v>
      </c>
      <c r="O135" s="56"/>
      <c r="P135" s="34">
        <f>R134*(1+2.5/100)^1</f>
        <v>388205.4390335583</v>
      </c>
      <c r="Q135" s="34"/>
      <c r="R135" s="2"/>
      <c r="S135" s="34">
        <f>P135*(1+0.08)^-(N135-2007)</f>
        <v>154161.72102143354</v>
      </c>
    </row>
    <row r="136" spans="2:19" ht="14.25" customHeight="1">
      <c r="B136" s="5"/>
      <c r="C136" s="5"/>
      <c r="D136" s="5"/>
      <c r="E136" s="5"/>
      <c r="F136" s="5"/>
      <c r="G136" s="5"/>
      <c r="J136" s="22"/>
      <c r="K136" s="20"/>
      <c r="L136" s="42"/>
      <c r="M136" s="31"/>
      <c r="N136" s="60">
        <v>2020</v>
      </c>
      <c r="O136" s="56"/>
      <c r="P136" s="34">
        <f>P135*(1+2.5/100)^1</f>
        <v>397910.57500939723</v>
      </c>
      <c r="Q136" s="34"/>
      <c r="R136" s="2"/>
      <c r="S136" s="34">
        <f t="shared" si="3"/>
        <v>146310.89263608275</v>
      </c>
    </row>
    <row r="137" spans="2:19" ht="14.25" customHeight="1">
      <c r="B137" s="5"/>
      <c r="C137" s="5"/>
      <c r="D137" s="5"/>
      <c r="E137" s="5"/>
      <c r="F137" s="5"/>
      <c r="G137" s="5"/>
      <c r="J137" s="22"/>
      <c r="K137" s="20"/>
      <c r="L137" s="42"/>
      <c r="M137" s="31"/>
      <c r="N137" s="60">
        <v>2021</v>
      </c>
      <c r="O137" s="56"/>
      <c r="P137" s="34">
        <f t="shared" si="4"/>
        <v>407858.3393846321</v>
      </c>
      <c r="Q137" s="34"/>
      <c r="R137" s="2"/>
      <c r="S137" s="34">
        <f t="shared" si="3"/>
        <v>138859.87495554148</v>
      </c>
    </row>
    <row r="138" spans="2:19" ht="14.25" customHeight="1">
      <c r="B138" s="5"/>
      <c r="C138" s="5"/>
      <c r="D138" s="5"/>
      <c r="E138" s="5"/>
      <c r="F138" s="5"/>
      <c r="G138" s="5"/>
      <c r="J138" s="22"/>
      <c r="K138" s="20"/>
      <c r="L138" s="42"/>
      <c r="M138" s="31"/>
      <c r="N138" s="60">
        <v>2022</v>
      </c>
      <c r="O138" s="56"/>
      <c r="P138" s="34">
        <f t="shared" si="4"/>
        <v>418054.7978692479</v>
      </c>
      <c r="Q138" s="34"/>
      <c r="R138" s="2"/>
      <c r="S138" s="34">
        <f t="shared" si="3"/>
        <v>131788.30724947221</v>
      </c>
    </row>
    <row r="139" spans="2:19" ht="14.25" customHeight="1">
      <c r="B139" s="5"/>
      <c r="C139" s="5"/>
      <c r="D139" s="5"/>
      <c r="E139" s="5"/>
      <c r="F139" s="5"/>
      <c r="G139" s="5"/>
      <c r="J139" s="22"/>
      <c r="K139" s="20"/>
      <c r="L139" s="42"/>
      <c r="M139" s="31"/>
      <c r="N139" s="60">
        <v>2023</v>
      </c>
      <c r="O139" s="56"/>
      <c r="P139" s="34">
        <f t="shared" si="4"/>
        <v>428506.16781597905</v>
      </c>
      <c r="Q139" s="34"/>
      <c r="R139" s="2"/>
      <c r="S139" s="34">
        <f t="shared" si="3"/>
        <v>125076.86567658241</v>
      </c>
    </row>
    <row r="140" spans="2:19" ht="14.25" customHeight="1">
      <c r="B140" s="5"/>
      <c r="C140" s="5"/>
      <c r="D140" s="5"/>
      <c r="E140" s="5"/>
      <c r="F140" s="5"/>
      <c r="G140" s="5"/>
      <c r="J140" s="22"/>
      <c r="K140" s="20"/>
      <c r="L140" s="42"/>
      <c r="M140" s="31"/>
      <c r="N140" s="60">
        <v>2024</v>
      </c>
      <c r="O140" s="56"/>
      <c r="P140" s="34">
        <f t="shared" si="4"/>
        <v>439218.8220113785</v>
      </c>
      <c r="Q140" s="34"/>
      <c r="R140" s="2"/>
      <c r="S140" s="34">
        <f t="shared" si="3"/>
        <v>118707.21048008978</v>
      </c>
    </row>
    <row r="141" spans="2:19" ht="14.25" customHeight="1">
      <c r="B141" s="5"/>
      <c r="C141" s="5"/>
      <c r="D141" s="5"/>
      <c r="E141" s="5"/>
      <c r="F141" s="5"/>
      <c r="G141" s="5"/>
      <c r="J141" s="22"/>
      <c r="K141" s="20"/>
      <c r="L141" s="42"/>
      <c r="M141" s="31"/>
      <c r="N141" s="60">
        <v>2025</v>
      </c>
      <c r="O141" s="56"/>
      <c r="P141" s="34">
        <f t="shared" si="4"/>
        <v>450199.2925616629</v>
      </c>
      <c r="Q141" s="34"/>
      <c r="R141" s="2"/>
      <c r="S141" s="34">
        <f t="shared" si="3"/>
        <v>112661.9358723074</v>
      </c>
    </row>
    <row r="142" spans="2:19" ht="14.25" customHeight="1">
      <c r="B142" s="5"/>
      <c r="C142" s="5"/>
      <c r="D142" s="5"/>
      <c r="E142" s="5"/>
      <c r="F142" s="5"/>
      <c r="G142" s="5"/>
      <c r="J142" s="22"/>
      <c r="K142" s="20"/>
      <c r="L142" s="42"/>
      <c r="M142" s="31"/>
      <c r="N142" s="60">
        <v>2026</v>
      </c>
      <c r="O142" s="56"/>
      <c r="P142" s="34">
        <f t="shared" si="4"/>
        <v>461454.27487570443</v>
      </c>
      <c r="Q142" s="34"/>
      <c r="R142" s="2"/>
      <c r="S142" s="34">
        <f t="shared" si="3"/>
        <v>106924.52247140284</v>
      </c>
    </row>
    <row r="143" spans="2:19" ht="14.25" customHeight="1">
      <c r="B143" s="5"/>
      <c r="C143" s="5"/>
      <c r="D143" s="5"/>
      <c r="E143" s="5"/>
      <c r="F143" s="5"/>
      <c r="G143" s="5"/>
      <c r="J143" s="22"/>
      <c r="K143" s="20"/>
      <c r="L143" s="42"/>
      <c r="M143" s="31"/>
      <c r="N143" s="60">
        <v>2027</v>
      </c>
      <c r="O143" s="56"/>
      <c r="P143" s="34">
        <f t="shared" si="4"/>
        <v>472990.631747597</v>
      </c>
      <c r="Q143" s="34"/>
      <c r="R143" s="2"/>
      <c r="S143" s="108">
        <f t="shared" si="3"/>
        <v>101479.29216035917</v>
      </c>
    </row>
    <row r="144" spans="2:18" ht="14.25" customHeight="1">
      <c r="B144" s="5"/>
      <c r="C144" s="5"/>
      <c r="D144" s="5"/>
      <c r="E144" s="5"/>
      <c r="F144" s="5"/>
      <c r="G144" s="5"/>
      <c r="J144" s="22"/>
      <c r="K144" s="20"/>
      <c r="L144" s="42"/>
      <c r="M144" s="31"/>
      <c r="N144" s="56"/>
      <c r="O144" s="56"/>
      <c r="P144" s="54"/>
      <c r="Q144" s="54"/>
      <c r="R144" s="2"/>
    </row>
    <row r="145" spans="2:19" ht="14.25" customHeight="1" thickBot="1">
      <c r="B145" s="5"/>
      <c r="C145" s="5"/>
      <c r="D145" s="5"/>
      <c r="E145" s="5"/>
      <c r="F145" s="5"/>
      <c r="G145" s="5"/>
      <c r="J145" s="22"/>
      <c r="K145" s="20"/>
      <c r="L145" s="42"/>
      <c r="M145" s="31"/>
      <c r="O145" s="55"/>
      <c r="P145" s="55" t="s">
        <v>64</v>
      </c>
      <c r="Q145" s="34"/>
      <c r="R145" s="48">
        <f>P124*(1+0.08)^-(N124-2007)+P125*(1+0.08)^-(N125-2007)+P126*(1+0.08)^-(N126-2007)+P127*(1+0.08)^-(N127-2007)+P128*(1+0.08)^-(N128-2007)+P129*(1+0.08)^-(N129-2007)+P130*(1+0.08)^-(N130-2007)+P131*(1+0.08)^-(N131-2007)+P132*(1+0.08)^-(N132-2007)+P133*(1+0.08)^-(N133-2007)+P134*(1+0.08)^-(N134-2007)+P135*(1+0.08)^-(N135-2007)+P136*(1+0.08)^-(N136-2007)+P137*(1+0.08)^-(N137-2007)+P138*(1+0.08)^-(N138-2007)+P139*(1+0.08)^-(N139-2007)+P140*(1+0.08)^-(N140-2007)+P141*(1+0.08)^-(N141-2007)+P142*(1+0.08)^-(N142-2007)+P143*(1+0.08)^-(N143-2007)</f>
        <v>3807275.6296825986</v>
      </c>
      <c r="S145" s="109">
        <f>SUM(S124:S143)</f>
        <v>3807275.6296825986</v>
      </c>
    </row>
    <row r="146" spans="2:18" ht="14.25" customHeight="1">
      <c r="B146" s="5"/>
      <c r="C146" s="5"/>
      <c r="D146" s="5"/>
      <c r="E146" s="5"/>
      <c r="F146" s="5"/>
      <c r="G146" s="5"/>
      <c r="J146" s="22"/>
      <c r="K146" s="20"/>
      <c r="L146" s="42"/>
      <c r="M146" s="31"/>
      <c r="N146" s="55"/>
      <c r="O146" s="55"/>
      <c r="P146" s="34"/>
      <c r="Q146" s="34"/>
      <c r="R146" s="2"/>
    </row>
    <row r="147" spans="2:18" ht="14.25" customHeight="1">
      <c r="B147" s="5"/>
      <c r="C147" s="5"/>
      <c r="D147" s="5"/>
      <c r="E147" s="5"/>
      <c r="F147" s="5"/>
      <c r="G147" s="5"/>
      <c r="I147" s="12"/>
      <c r="J147" s="22"/>
      <c r="K147" s="19"/>
      <c r="L147" s="46"/>
      <c r="M147" s="30"/>
      <c r="O147" s="55"/>
      <c r="P147" s="55" t="s">
        <v>407</v>
      </c>
      <c r="Q147" s="55"/>
      <c r="R147" s="61">
        <f>R95+R145</f>
        <v>27745288.26448618</v>
      </c>
    </row>
    <row r="148" spans="2:18" ht="14.25">
      <c r="B148" s="5"/>
      <c r="C148" s="5"/>
      <c r="D148" s="5"/>
      <c r="E148" s="5"/>
      <c r="F148" s="5"/>
      <c r="G148" s="5"/>
      <c r="I148" s="12"/>
      <c r="J148" s="22"/>
      <c r="K148" s="19"/>
      <c r="L148" s="43"/>
      <c r="M148" s="9"/>
      <c r="N148" s="9"/>
      <c r="O148" s="9"/>
      <c r="P148" s="2"/>
      <c r="Q148" s="2"/>
      <c r="R148" s="2"/>
    </row>
    <row r="149" spans="2:18" ht="15">
      <c r="B149" s="5"/>
      <c r="C149" s="5"/>
      <c r="D149" s="5"/>
      <c r="E149" s="5"/>
      <c r="F149" s="5"/>
      <c r="G149" s="5"/>
      <c r="I149" s="12"/>
      <c r="J149" s="22"/>
      <c r="K149" s="19"/>
      <c r="L149" s="46"/>
      <c r="M149" s="30"/>
      <c r="N149" s="34"/>
      <c r="O149" s="34"/>
      <c r="P149" s="2"/>
      <c r="Q149" s="2"/>
      <c r="R149" s="2"/>
    </row>
    <row r="150" spans="1:15" ht="14.25">
      <c r="A150" s="5"/>
      <c r="B150" s="5"/>
      <c r="C150" s="5"/>
      <c r="D150" s="5"/>
      <c r="E150" s="5"/>
      <c r="F150" s="5"/>
      <c r="G150" s="5"/>
      <c r="H150" s="12"/>
      <c r="I150" s="12"/>
      <c r="J150" s="22"/>
      <c r="K150" s="24"/>
      <c r="L150" s="42"/>
      <c r="M150" s="9"/>
      <c r="N150" s="11"/>
      <c r="O150" s="11"/>
    </row>
    <row r="151" spans="1:15" ht="14.25">
      <c r="A151" s="5"/>
      <c r="B151" s="5"/>
      <c r="C151" s="5"/>
      <c r="D151" s="5"/>
      <c r="E151" s="5"/>
      <c r="F151" s="5"/>
      <c r="G151" s="5"/>
      <c r="H151" s="12"/>
      <c r="I151" s="12"/>
      <c r="J151" s="27"/>
      <c r="K151" s="24"/>
      <c r="L151" s="42"/>
      <c r="M151" s="9"/>
      <c r="N151" s="11"/>
      <c r="O151" s="11"/>
    </row>
    <row r="152" spans="1:15" ht="14.25">
      <c r="A152" s="5"/>
      <c r="B152" s="5"/>
      <c r="C152" s="5"/>
      <c r="D152" s="5"/>
      <c r="E152" s="5"/>
      <c r="F152" s="5"/>
      <c r="G152" s="5"/>
      <c r="H152" s="12"/>
      <c r="I152" s="12"/>
      <c r="J152" s="27"/>
      <c r="K152" s="24"/>
      <c r="L152" s="42"/>
      <c r="M152" s="5"/>
      <c r="N152" s="11"/>
      <c r="O152" s="11"/>
    </row>
    <row r="153" spans="1:15" ht="14.25">
      <c r="A153" s="5"/>
      <c r="B153" s="5"/>
      <c r="C153" s="5"/>
      <c r="D153" s="5"/>
      <c r="E153" s="5"/>
      <c r="F153" s="5"/>
      <c r="G153" s="5"/>
      <c r="H153" s="12"/>
      <c r="I153" s="12"/>
      <c r="J153" s="27"/>
      <c r="K153" s="24"/>
      <c r="L153" s="42"/>
      <c r="M153" s="5"/>
      <c r="N153" s="5"/>
      <c r="O153" s="5"/>
    </row>
    <row r="154" spans="1:15" ht="14.25">
      <c r="A154" s="5"/>
      <c r="B154" s="5"/>
      <c r="C154" s="5"/>
      <c r="D154" s="5"/>
      <c r="E154" s="5"/>
      <c r="F154" s="5"/>
      <c r="G154" s="5"/>
      <c r="H154" s="12"/>
      <c r="I154" s="12"/>
      <c r="J154" s="27"/>
      <c r="K154" s="24"/>
      <c r="L154" s="42"/>
      <c r="M154" s="9"/>
      <c r="N154" s="11"/>
      <c r="O154" s="11"/>
    </row>
    <row r="155" spans="1:15" ht="14.25">
      <c r="A155" s="5"/>
      <c r="B155" s="5"/>
      <c r="C155" s="5"/>
      <c r="D155" s="5"/>
      <c r="E155" s="5"/>
      <c r="F155" s="5"/>
      <c r="G155" s="5"/>
      <c r="H155" s="12"/>
      <c r="I155" s="12"/>
      <c r="J155" s="22"/>
      <c r="K155" s="19"/>
      <c r="L155" s="42"/>
      <c r="M155" s="9"/>
      <c r="N155" s="11"/>
      <c r="O155" s="11"/>
    </row>
    <row r="156" spans="8:15" ht="14.25">
      <c r="H156" s="12"/>
      <c r="I156" s="12"/>
      <c r="J156" s="22"/>
      <c r="K156" s="19"/>
      <c r="L156" s="42"/>
      <c r="M156" s="9"/>
      <c r="N156" s="11"/>
      <c r="O156" s="11"/>
    </row>
    <row r="157" spans="8:15" ht="14.25">
      <c r="H157" s="12"/>
      <c r="J157" s="22"/>
      <c r="K157" s="19"/>
      <c r="L157" s="42"/>
      <c r="M157" s="5"/>
      <c r="N157" s="5"/>
      <c r="O157" s="5"/>
    </row>
    <row r="158" spans="8:15" ht="14.25">
      <c r="H158" s="12"/>
      <c r="J158" s="27"/>
      <c r="K158" s="24"/>
      <c r="L158" s="42"/>
      <c r="M158" s="5"/>
      <c r="N158" s="5"/>
      <c r="O158" s="5"/>
    </row>
    <row r="159" spans="8:15" ht="14.25">
      <c r="H159" s="12"/>
      <c r="J159" s="27"/>
      <c r="K159" s="24"/>
      <c r="L159" s="43"/>
      <c r="M159" s="9"/>
      <c r="N159" s="11"/>
      <c r="O159" s="11"/>
    </row>
  </sheetData>
  <sheetProtection/>
  <mergeCells count="31">
    <mergeCell ref="A116:R116"/>
    <mergeCell ref="A118:R118"/>
    <mergeCell ref="A119:R119"/>
    <mergeCell ref="A121:R121"/>
    <mergeCell ref="H60:H61"/>
    <mergeCell ref="A52:R52"/>
    <mergeCell ref="A114:R114"/>
    <mergeCell ref="A115:R115"/>
    <mergeCell ref="B61:G61"/>
    <mergeCell ref="J59:J61"/>
    <mergeCell ref="A1:R1"/>
    <mergeCell ref="A2:R2"/>
    <mergeCell ref="A3:R3"/>
    <mergeCell ref="A5:R5"/>
    <mergeCell ref="A6:R6"/>
    <mergeCell ref="A8:R8"/>
    <mergeCell ref="B12:G12"/>
    <mergeCell ref="L10:L12"/>
    <mergeCell ref="N10:N12"/>
    <mergeCell ref="H11:H12"/>
    <mergeCell ref="J10:J12"/>
    <mergeCell ref="Z37:AA37"/>
    <mergeCell ref="L59:L61"/>
    <mergeCell ref="N59:N61"/>
    <mergeCell ref="A50:R50"/>
    <mergeCell ref="A51:R51"/>
    <mergeCell ref="A57:R57"/>
    <mergeCell ref="Z30:AA30"/>
    <mergeCell ref="Z40:AA40"/>
    <mergeCell ref="A54:R54"/>
    <mergeCell ref="A55:R55"/>
  </mergeCells>
  <printOptions horizontalCentered="1"/>
  <pageMargins left="0.5" right="0.5" top="0.5" bottom="0.75" header="0.5" footer="0.5"/>
  <pageSetup horizontalDpi="600" verticalDpi="600" orientation="portrait" scale="59" r:id="rId2"/>
  <headerFooter alignWithMargins="0">
    <oddFooter>&amp;R&amp;8&amp;D
&amp;P of &amp;N</oddFooter>
  </headerFooter>
  <rowBreaks count="2" manualBreakCount="2">
    <brk id="49" max="17" man="1"/>
    <brk id="113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91" t="s">
        <v>392</v>
      </c>
      <c r="B8" s="191"/>
      <c r="C8" s="191"/>
      <c r="D8" s="191"/>
      <c r="E8" s="191"/>
      <c r="F8" s="191"/>
      <c r="G8" s="191"/>
      <c r="H8" s="191"/>
      <c r="I8" s="191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0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0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0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91" t="s">
        <v>393</v>
      </c>
      <c r="B8" s="191"/>
      <c r="C8" s="191"/>
      <c r="D8" s="191"/>
      <c r="E8" s="191"/>
      <c r="F8" s="191"/>
      <c r="G8" s="191"/>
      <c r="H8" s="191"/>
      <c r="I8" s="191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4476.77808219178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895.355616438356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0.377285111062468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05"/>
  <sheetViews>
    <sheetView zoomScale="75" zoomScaleNormal="75" zoomScalePageLayoutView="0" workbookViewId="0" topLeftCell="A76">
      <selection activeCell="F26" sqref="F26"/>
    </sheetView>
  </sheetViews>
  <sheetFormatPr defaultColWidth="9.140625" defaultRowHeight="12.75"/>
  <cols>
    <col min="1" max="1" width="60.7109375" style="0" customWidth="1"/>
    <col min="2" max="2" width="15.7109375" style="0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91" t="s">
        <v>405</v>
      </c>
      <c r="B8" s="191"/>
      <c r="C8" s="191"/>
      <c r="D8" s="191"/>
      <c r="E8" s="191"/>
      <c r="F8" s="191"/>
      <c r="G8" s="191"/>
      <c r="H8" s="191"/>
      <c r="I8" s="191"/>
      <c r="J8" s="134"/>
      <c r="K8" s="134"/>
      <c r="L8" s="134"/>
      <c r="M8" s="134"/>
      <c r="N8" s="134"/>
      <c r="O8" s="134"/>
      <c r="P8" s="134"/>
      <c r="Q8" s="134"/>
      <c r="R8" s="134"/>
    </row>
    <row r="9" spans="1:9" s="2" customFormat="1" ht="18.75">
      <c r="A9" s="192" t="s">
        <v>421</v>
      </c>
      <c r="B9" s="192"/>
      <c r="C9" s="192"/>
      <c r="D9" s="192"/>
      <c r="E9" s="192"/>
      <c r="F9" s="192"/>
      <c r="G9" s="192"/>
      <c r="H9" s="192"/>
      <c r="I9" s="192"/>
    </row>
    <row r="10" spans="1:3" s="2" customFormat="1" ht="12.75">
      <c r="A10" s="73"/>
      <c r="B10" s="73"/>
      <c r="C10" s="68"/>
    </row>
    <row r="11" spans="1:9" s="2" customFormat="1" ht="15">
      <c r="A11" s="153" t="s">
        <v>21</v>
      </c>
      <c r="B11" s="168"/>
      <c r="C11" s="5"/>
      <c r="D11" s="5"/>
      <c r="E11" s="5"/>
      <c r="F11" s="5"/>
      <c r="G11" s="5"/>
      <c r="H11" s="5"/>
      <c r="I11" s="5"/>
    </row>
    <row r="12" spans="1:9" s="2" customFormat="1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s="2" customFormat="1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s="2" customFormat="1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10" s="2" customFormat="1" ht="14.25">
      <c r="A15" s="5"/>
      <c r="B15" s="19"/>
      <c r="C15" s="5"/>
      <c r="D15" s="5"/>
      <c r="E15" s="5"/>
      <c r="F15" s="169"/>
      <c r="G15" s="169"/>
      <c r="H15" s="169"/>
      <c r="I15" s="169"/>
      <c r="J15" s="75"/>
    </row>
    <row r="16" spans="1:10" s="2" customFormat="1" ht="15">
      <c r="A16" s="170" t="s">
        <v>51</v>
      </c>
      <c r="B16" s="125"/>
      <c r="C16" s="83"/>
      <c r="D16" s="83"/>
      <c r="E16" s="83"/>
      <c r="F16" s="83"/>
      <c r="G16" s="83"/>
      <c r="H16" s="83"/>
      <c r="I16" s="83"/>
      <c r="J16" s="74"/>
    </row>
    <row r="17" spans="1:9" s="2" customFormat="1" ht="14.25">
      <c r="A17" s="5" t="s">
        <v>345</v>
      </c>
      <c r="B17" s="157">
        <f>T_S_Loadout_Cost_Worksheet!B23</f>
        <v>6.5520000000000005</v>
      </c>
      <c r="C17" s="63" t="s">
        <v>50</v>
      </c>
      <c r="D17" s="5"/>
      <c r="E17" s="5"/>
      <c r="F17" s="5"/>
      <c r="G17" s="5"/>
      <c r="H17" s="5"/>
      <c r="I17" s="5"/>
    </row>
    <row r="18" spans="1:9" s="2" customFormat="1" ht="14.25">
      <c r="A18" s="5" t="s">
        <v>346</v>
      </c>
      <c r="B18" s="160">
        <f>T_S_Loadout_Cost_Worksheet!B24</f>
        <v>5.76576</v>
      </c>
      <c r="C18" s="63" t="s">
        <v>50</v>
      </c>
      <c r="D18" s="5"/>
      <c r="E18" s="5"/>
      <c r="F18" s="5"/>
      <c r="G18" s="5"/>
      <c r="H18" s="5"/>
      <c r="I18" s="5"/>
    </row>
    <row r="19" spans="1:9" s="2" customFormat="1" ht="14.25">
      <c r="A19" s="5" t="s">
        <v>347</v>
      </c>
      <c r="B19" s="160">
        <f>T_S_Loadout_Cost_Worksheet!B25</f>
        <v>3.9967200000000003</v>
      </c>
      <c r="C19" s="63" t="s">
        <v>50</v>
      </c>
      <c r="D19" s="5"/>
      <c r="E19" s="5"/>
      <c r="F19" s="5"/>
      <c r="G19" s="5"/>
      <c r="H19" s="5"/>
      <c r="I19" s="5"/>
    </row>
    <row r="20" spans="1:9" s="2" customFormat="1" ht="14.25">
      <c r="A20" s="5" t="s">
        <v>348</v>
      </c>
      <c r="B20" s="160">
        <f>T_S_Loadout_Cost_Worksheet!B26</f>
        <v>5.76576</v>
      </c>
      <c r="C20" s="63" t="s">
        <v>50</v>
      </c>
      <c r="D20" s="5"/>
      <c r="E20" s="5"/>
      <c r="F20" s="5"/>
      <c r="G20" s="5"/>
      <c r="H20" s="5"/>
      <c r="I20" s="5"/>
    </row>
    <row r="21" spans="1:9" s="2" customFormat="1" ht="14.25">
      <c r="A21" s="24" t="s">
        <v>22</v>
      </c>
      <c r="B21" s="172">
        <f>T_S_Loadout_Cost_Worksheet!B30</f>
        <v>50</v>
      </c>
      <c r="C21" s="63" t="s">
        <v>50</v>
      </c>
      <c r="D21" s="5"/>
      <c r="E21" s="5"/>
      <c r="F21" s="5"/>
      <c r="G21" s="5"/>
      <c r="H21" s="5"/>
      <c r="I21" s="5"/>
    </row>
    <row r="22" spans="1:9" s="2" customFormat="1" ht="14.25">
      <c r="A22" s="5" t="s">
        <v>349</v>
      </c>
      <c r="B22" s="164">
        <f>T_S_Loadout_Cost_Worksheet!B40</f>
        <v>285.29718497280004</v>
      </c>
      <c r="C22" s="159" t="s">
        <v>24</v>
      </c>
      <c r="D22" s="5"/>
      <c r="E22" s="5"/>
      <c r="F22" s="5"/>
      <c r="G22" s="5"/>
      <c r="H22" s="5"/>
      <c r="I22" s="5"/>
    </row>
    <row r="23" spans="1:9" s="2" customFormat="1" ht="14.25">
      <c r="A23" s="5" t="s">
        <v>350</v>
      </c>
      <c r="B23" s="164">
        <f>T_S_Loadout_Cost_Worksheet!B41</f>
        <v>197.7628214016</v>
      </c>
      <c r="C23" s="159" t="s">
        <v>24</v>
      </c>
      <c r="D23" s="5"/>
      <c r="E23" s="5"/>
      <c r="F23" s="5"/>
      <c r="G23" s="5"/>
      <c r="H23" s="5"/>
      <c r="I23" s="5"/>
    </row>
    <row r="24" spans="1:9" s="2" customFormat="1" ht="14.25">
      <c r="A24" s="5" t="s">
        <v>351</v>
      </c>
      <c r="B24" s="164">
        <f>T_S_Loadout_Cost_Worksheet!B42</f>
        <v>285.29718497280004</v>
      </c>
      <c r="C24" s="159" t="s">
        <v>24</v>
      </c>
      <c r="D24" s="5"/>
      <c r="E24" s="5"/>
      <c r="F24" s="5"/>
      <c r="G24" s="5"/>
      <c r="H24" s="5"/>
      <c r="I24" s="5"/>
    </row>
    <row r="25" spans="1:9" s="2" customFormat="1" ht="14.25">
      <c r="A25" s="5"/>
      <c r="B25" s="160"/>
      <c r="C25" s="63"/>
      <c r="D25" s="5"/>
      <c r="E25" s="5"/>
      <c r="F25" s="5"/>
      <c r="G25" s="5"/>
      <c r="H25" s="5"/>
      <c r="I25" s="5"/>
    </row>
    <row r="26" spans="1:9" s="2" customFormat="1" ht="15">
      <c r="A26" s="153" t="s">
        <v>27</v>
      </c>
      <c r="B26" s="160"/>
      <c r="C26" s="5"/>
      <c r="D26" s="5"/>
      <c r="E26" s="5"/>
      <c r="F26" s="171"/>
      <c r="G26" s="171"/>
      <c r="H26" s="171"/>
      <c r="I26" s="171"/>
    </row>
    <row r="27" spans="1:9" s="2" customFormat="1" ht="15">
      <c r="A27" s="153" t="s">
        <v>310</v>
      </c>
      <c r="B27" s="160"/>
      <c r="C27" s="5"/>
      <c r="D27" s="5"/>
      <c r="E27" s="5"/>
      <c r="F27" s="171"/>
      <c r="G27" s="171"/>
      <c r="H27" s="171"/>
      <c r="I27" s="171"/>
    </row>
    <row r="28" spans="1:9" s="2" customFormat="1" ht="14.25">
      <c r="A28" s="24" t="s">
        <v>332</v>
      </c>
      <c r="B28" s="172">
        <v>22</v>
      </c>
      <c r="C28" s="5"/>
      <c r="D28" s="5"/>
      <c r="E28" s="5"/>
      <c r="F28" s="171"/>
      <c r="G28" s="171"/>
      <c r="H28" s="171"/>
      <c r="I28" s="171"/>
    </row>
    <row r="29" spans="1:9" s="2" customFormat="1" ht="14.25">
      <c r="A29" s="136" t="s">
        <v>31</v>
      </c>
      <c r="B29" s="172"/>
      <c r="C29" s="5"/>
      <c r="D29" s="5"/>
      <c r="E29" s="5"/>
      <c r="F29" s="171"/>
      <c r="G29" s="171"/>
      <c r="H29" s="171"/>
      <c r="I29" s="171"/>
    </row>
    <row r="30" spans="1:9" s="2" customFormat="1" ht="14.25">
      <c r="A30" s="24" t="s">
        <v>352</v>
      </c>
      <c r="B30" s="160">
        <f>B28*0.88</f>
        <v>19.36</v>
      </c>
      <c r="C30" s="159" t="s">
        <v>333</v>
      </c>
      <c r="D30" s="5"/>
      <c r="E30" s="5"/>
      <c r="F30" s="171"/>
      <c r="G30" s="171"/>
      <c r="H30" s="171"/>
      <c r="I30" s="171"/>
    </row>
    <row r="31" spans="1:9" s="2" customFormat="1" ht="14.25">
      <c r="A31" s="24" t="s">
        <v>328</v>
      </c>
      <c r="B31" s="160">
        <f>B28*0.61</f>
        <v>13.42</v>
      </c>
      <c r="C31" s="159" t="s">
        <v>334</v>
      </c>
      <c r="D31" s="5"/>
      <c r="E31" s="5"/>
      <c r="F31" s="171"/>
      <c r="G31" s="171"/>
      <c r="H31" s="171"/>
      <c r="I31" s="171"/>
    </row>
    <row r="32" spans="1:9" s="2" customFormat="1" ht="14.25">
      <c r="A32" s="24" t="s">
        <v>353</v>
      </c>
      <c r="B32" s="160">
        <f>B28*0.88</f>
        <v>19.36</v>
      </c>
      <c r="C32" s="159" t="s">
        <v>354</v>
      </c>
      <c r="D32" s="5"/>
      <c r="E32" s="5"/>
      <c r="F32" s="171"/>
      <c r="G32" s="171"/>
      <c r="H32" s="171"/>
      <c r="I32" s="171"/>
    </row>
    <row r="33" spans="1:9" s="2" customFormat="1" ht="14.25">
      <c r="A33" s="24"/>
      <c r="B33" s="160"/>
      <c r="C33" s="159"/>
      <c r="D33" s="5"/>
      <c r="E33" s="5"/>
      <c r="F33" s="171"/>
      <c r="G33" s="171"/>
      <c r="H33" s="171"/>
      <c r="I33" s="171"/>
    </row>
    <row r="34" spans="1:9" s="2" customFormat="1" ht="15">
      <c r="A34" s="153" t="s">
        <v>49</v>
      </c>
      <c r="B34" s="160"/>
      <c r="C34" s="5"/>
      <c r="D34" s="5"/>
      <c r="E34" s="5"/>
      <c r="F34" s="171"/>
      <c r="G34" s="171"/>
      <c r="H34" s="171"/>
      <c r="I34" s="171"/>
    </row>
    <row r="35" spans="1:9" s="2" customFormat="1" ht="14.25">
      <c r="A35" s="136" t="s">
        <v>76</v>
      </c>
      <c r="B35" s="160"/>
      <c r="C35" s="5"/>
      <c r="D35" s="5"/>
      <c r="E35" s="5"/>
      <c r="F35" s="171"/>
      <c r="G35" s="171"/>
      <c r="H35" s="171"/>
      <c r="I35" s="171"/>
    </row>
    <row r="36" spans="1:9" s="2" customFormat="1" ht="14.25">
      <c r="A36" s="5" t="s">
        <v>75</v>
      </c>
      <c r="B36" s="172">
        <v>2</v>
      </c>
      <c r="C36" s="5"/>
      <c r="D36" s="5"/>
      <c r="E36" s="5"/>
      <c r="F36" s="171"/>
      <c r="G36" s="171"/>
      <c r="H36" s="171"/>
      <c r="I36" s="171"/>
    </row>
    <row r="37" spans="1:9" s="2" customFormat="1" ht="14.25">
      <c r="A37" s="24" t="s">
        <v>399</v>
      </c>
      <c r="B37" s="160">
        <f>B30/B18*B21/60</f>
        <v>2.798127798127798</v>
      </c>
      <c r="C37" s="63" t="s">
        <v>24</v>
      </c>
      <c r="D37" s="63"/>
      <c r="E37" s="63"/>
      <c r="F37" s="171"/>
      <c r="G37" s="171"/>
      <c r="H37" s="171"/>
      <c r="I37" s="171"/>
    </row>
    <row r="38" spans="1:9" s="2" customFormat="1" ht="14.25">
      <c r="A38" s="24" t="s">
        <v>198</v>
      </c>
      <c r="B38" s="160">
        <f>1500/5280*60/15</f>
        <v>1.1363636363636365</v>
      </c>
      <c r="C38" s="63" t="s">
        <v>386</v>
      </c>
      <c r="D38" s="5"/>
      <c r="E38" s="5"/>
      <c r="F38" s="171"/>
      <c r="G38" s="171"/>
      <c r="H38" s="171"/>
      <c r="I38" s="171"/>
    </row>
    <row r="39" spans="1:9" s="2" customFormat="1" ht="14.25">
      <c r="A39" s="5" t="s">
        <v>200</v>
      </c>
      <c r="B39" s="172">
        <v>4</v>
      </c>
      <c r="C39" s="5"/>
      <c r="D39" s="5"/>
      <c r="E39" s="5"/>
      <c r="F39" s="171"/>
      <c r="G39" s="171"/>
      <c r="H39" s="171"/>
      <c r="I39" s="171"/>
    </row>
    <row r="40" spans="1:9" s="2" customFormat="1" ht="14.25">
      <c r="A40" s="24" t="s">
        <v>199</v>
      </c>
      <c r="B40" s="160">
        <f>1500/5280*60/15</f>
        <v>1.1363636363636365</v>
      </c>
      <c r="C40" s="63" t="s">
        <v>386</v>
      </c>
      <c r="D40" s="5"/>
      <c r="E40" s="5"/>
      <c r="F40" s="171"/>
      <c r="G40" s="171"/>
      <c r="H40" s="171"/>
      <c r="I40" s="171"/>
    </row>
    <row r="41" spans="1:9" s="2" customFormat="1" ht="14.25">
      <c r="A41" s="136" t="s">
        <v>31</v>
      </c>
      <c r="B41" s="172"/>
      <c r="C41" s="5"/>
      <c r="D41" s="5"/>
      <c r="E41" s="5"/>
      <c r="F41" s="171"/>
      <c r="G41" s="171"/>
      <c r="H41" s="171"/>
      <c r="I41" s="171"/>
    </row>
    <row r="42" spans="1:9" s="2" customFormat="1" ht="14.25">
      <c r="A42" s="24" t="s">
        <v>400</v>
      </c>
      <c r="B42" s="160">
        <f>B36+B37+B38+B39+B40</f>
        <v>11.070855070855071</v>
      </c>
      <c r="C42" s="63" t="s">
        <v>24</v>
      </c>
      <c r="D42" s="5"/>
      <c r="E42" s="5"/>
      <c r="F42" s="171"/>
      <c r="G42" s="171"/>
      <c r="H42" s="171"/>
      <c r="I42" s="171"/>
    </row>
    <row r="43" spans="1:9" s="2" customFormat="1" ht="14.25">
      <c r="A43" s="24" t="s">
        <v>401</v>
      </c>
      <c r="B43" s="160">
        <f>B42/60</f>
        <v>0.18451425118091785</v>
      </c>
      <c r="C43" s="63" t="s">
        <v>24</v>
      </c>
      <c r="D43" s="5"/>
      <c r="E43" s="5"/>
      <c r="F43" s="171"/>
      <c r="G43" s="171"/>
      <c r="H43" s="171"/>
      <c r="I43" s="171"/>
    </row>
    <row r="44" spans="1:9" s="2" customFormat="1" ht="14.25">
      <c r="A44" s="136" t="s">
        <v>52</v>
      </c>
      <c r="B44" s="160"/>
      <c r="C44" s="63"/>
      <c r="D44" s="5"/>
      <c r="E44" s="5"/>
      <c r="F44" s="171"/>
      <c r="G44" s="171"/>
      <c r="H44" s="171"/>
      <c r="I44" s="171"/>
    </row>
    <row r="45" spans="1:9" s="2" customFormat="1" ht="14.25">
      <c r="A45" s="24" t="s">
        <v>355</v>
      </c>
      <c r="B45" s="160">
        <f>B30/B43</f>
        <v>104.92414475355265</v>
      </c>
      <c r="C45" s="63" t="s">
        <v>24</v>
      </c>
      <c r="D45" s="5"/>
      <c r="E45" s="5"/>
      <c r="F45" s="171"/>
      <c r="G45" s="171"/>
      <c r="H45" s="171"/>
      <c r="I45" s="171"/>
    </row>
    <row r="46" spans="1:9" s="2" customFormat="1" ht="14.25">
      <c r="A46" s="24" t="s">
        <v>329</v>
      </c>
      <c r="B46" s="160">
        <f>B31/B43</f>
        <v>72.73150943143992</v>
      </c>
      <c r="C46" s="63" t="s">
        <v>24</v>
      </c>
      <c r="D46" s="5"/>
      <c r="E46" s="5"/>
      <c r="F46" s="171"/>
      <c r="G46" s="171"/>
      <c r="H46" s="171"/>
      <c r="I46" s="171"/>
    </row>
    <row r="47" spans="1:9" s="2" customFormat="1" ht="14.25">
      <c r="A47" s="24" t="s">
        <v>356</v>
      </c>
      <c r="B47" s="160">
        <f>B32/B43</f>
        <v>104.92414475355265</v>
      </c>
      <c r="C47" s="63" t="s">
        <v>24</v>
      </c>
      <c r="D47" s="5"/>
      <c r="E47" s="5"/>
      <c r="F47" s="171"/>
      <c r="G47" s="171"/>
      <c r="H47" s="171"/>
      <c r="I47" s="171"/>
    </row>
    <row r="48" spans="1:9" s="2" customFormat="1" ht="14.25">
      <c r="A48" s="136" t="s">
        <v>32</v>
      </c>
      <c r="B48" s="172"/>
      <c r="C48" s="5"/>
      <c r="D48" s="5"/>
      <c r="E48" s="5"/>
      <c r="F48" s="171"/>
      <c r="G48" s="171"/>
      <c r="H48" s="171"/>
      <c r="I48" s="171"/>
    </row>
    <row r="49" spans="1:9" s="2" customFormat="1" ht="14.25">
      <c r="A49" s="136" t="s">
        <v>311</v>
      </c>
      <c r="B49" s="160">
        <v>1</v>
      </c>
      <c r="C49" s="63" t="s">
        <v>26</v>
      </c>
      <c r="D49" s="5"/>
      <c r="E49" s="5"/>
      <c r="F49" s="171"/>
      <c r="G49" s="171"/>
      <c r="H49" s="171"/>
      <c r="I49" s="171"/>
    </row>
    <row r="50" spans="1:9" s="2" customFormat="1" ht="14.25">
      <c r="A50" s="136" t="s">
        <v>312</v>
      </c>
      <c r="B50" s="160">
        <v>0.83</v>
      </c>
      <c r="C50" s="159" t="s">
        <v>37</v>
      </c>
      <c r="D50" s="5"/>
      <c r="E50" s="5"/>
      <c r="F50" s="171"/>
      <c r="G50" s="171"/>
      <c r="H50" s="171"/>
      <c r="I50" s="171"/>
    </row>
    <row r="51" spans="1:9" s="2" customFormat="1" ht="14.25">
      <c r="A51" s="136" t="s">
        <v>313</v>
      </c>
      <c r="B51" s="160">
        <v>0.95</v>
      </c>
      <c r="C51" s="63" t="s">
        <v>26</v>
      </c>
      <c r="D51" s="5"/>
      <c r="E51" s="5"/>
      <c r="F51" s="171"/>
      <c r="G51" s="171"/>
      <c r="H51" s="171"/>
      <c r="I51" s="171"/>
    </row>
    <row r="52" spans="1:9" s="2" customFormat="1" ht="14.25">
      <c r="A52" s="136" t="s">
        <v>31</v>
      </c>
      <c r="B52" s="160"/>
      <c r="C52" s="63"/>
      <c r="D52" s="5"/>
      <c r="E52" s="5"/>
      <c r="F52" s="171"/>
      <c r="G52" s="171"/>
      <c r="H52" s="171"/>
      <c r="I52" s="171"/>
    </row>
    <row r="53" spans="1:9" s="2" customFormat="1" ht="14.25">
      <c r="A53" s="136" t="s">
        <v>357</v>
      </c>
      <c r="B53" s="160">
        <f>B45*B49*B50*B51</f>
        <v>82.73268813817626</v>
      </c>
      <c r="C53" s="63" t="s">
        <v>24</v>
      </c>
      <c r="D53" s="5"/>
      <c r="E53" s="5"/>
      <c r="F53" s="171"/>
      <c r="G53" s="171"/>
      <c r="H53" s="171"/>
      <c r="I53" s="171"/>
    </row>
    <row r="54" spans="1:9" s="2" customFormat="1" ht="14.25">
      <c r="A54" s="136" t="s">
        <v>330</v>
      </c>
      <c r="B54" s="160">
        <f>B46*B49*B50*B51</f>
        <v>57.34879518669037</v>
      </c>
      <c r="C54" s="63" t="s">
        <v>24</v>
      </c>
      <c r="D54" s="5"/>
      <c r="E54" s="5"/>
      <c r="F54" s="171"/>
      <c r="G54" s="171"/>
      <c r="H54" s="171"/>
      <c r="I54" s="171"/>
    </row>
    <row r="55" spans="1:9" s="2" customFormat="1" ht="14.25">
      <c r="A55" s="136" t="s">
        <v>358</v>
      </c>
      <c r="B55" s="160">
        <f>B47*B49*B50*B51</f>
        <v>82.73268813817626</v>
      </c>
      <c r="C55" s="63" t="s">
        <v>24</v>
      </c>
      <c r="D55" s="5"/>
      <c r="E55" s="5"/>
      <c r="F55" s="171"/>
      <c r="G55" s="171"/>
      <c r="H55" s="171"/>
      <c r="I55" s="171"/>
    </row>
    <row r="56" spans="1:9" s="2" customFormat="1" ht="14.25">
      <c r="A56" s="136"/>
      <c r="B56" s="172"/>
      <c r="C56" s="5"/>
      <c r="D56" s="5"/>
      <c r="E56" s="5"/>
      <c r="F56" s="171"/>
      <c r="G56" s="171"/>
      <c r="H56" s="171"/>
      <c r="I56" s="171"/>
    </row>
    <row r="57" spans="1:9" s="2" customFormat="1" ht="15">
      <c r="A57" s="153" t="s">
        <v>359</v>
      </c>
      <c r="B57" s="160"/>
      <c r="C57" s="5"/>
      <c r="D57" s="5"/>
      <c r="E57" s="5"/>
      <c r="F57" s="171"/>
      <c r="G57" s="171"/>
      <c r="H57" s="171"/>
      <c r="I57" s="171"/>
    </row>
    <row r="58" spans="1:9" s="2" customFormat="1" ht="14.25">
      <c r="A58" s="136" t="s">
        <v>48</v>
      </c>
      <c r="B58" s="19"/>
      <c r="C58" s="165"/>
      <c r="D58" s="5"/>
      <c r="E58" s="5"/>
      <c r="F58" s="5"/>
      <c r="G58" s="5"/>
      <c r="H58" s="5"/>
      <c r="I58" s="5"/>
    </row>
    <row r="59" spans="1:9" s="2" customFormat="1" ht="14.25">
      <c r="A59" s="24" t="s">
        <v>360</v>
      </c>
      <c r="B59" s="19">
        <f>B12/365*7</f>
        <v>11506.849315068492</v>
      </c>
      <c r="C59" s="159" t="s">
        <v>74</v>
      </c>
      <c r="D59" s="5"/>
      <c r="E59" s="5"/>
      <c r="F59" s="5"/>
      <c r="G59" s="5"/>
      <c r="H59" s="5"/>
      <c r="I59" s="5"/>
    </row>
    <row r="60" spans="1:9" s="2" customFormat="1" ht="14.25">
      <c r="A60" s="24" t="s">
        <v>362</v>
      </c>
      <c r="B60" s="19">
        <f>B13/365*7</f>
        <v>4476.77808219178</v>
      </c>
      <c r="C60" s="159" t="s">
        <v>74</v>
      </c>
      <c r="D60" s="5"/>
      <c r="E60" s="5"/>
      <c r="F60" s="5"/>
      <c r="G60" s="5"/>
      <c r="H60" s="5"/>
      <c r="I60" s="5"/>
    </row>
    <row r="61" spans="1:9" s="2" customFormat="1" ht="14.25">
      <c r="A61" s="24" t="s">
        <v>364</v>
      </c>
      <c r="B61" s="19">
        <f>B14/365*7</f>
        <v>1119.194520547945</v>
      </c>
      <c r="C61" s="159" t="s">
        <v>74</v>
      </c>
      <c r="D61" s="5"/>
      <c r="E61" s="5"/>
      <c r="F61" s="5"/>
      <c r="G61" s="5"/>
      <c r="H61" s="5"/>
      <c r="I61" s="5"/>
    </row>
    <row r="62" spans="1:9" s="2" customFormat="1" ht="14.25">
      <c r="A62" s="24" t="s">
        <v>361</v>
      </c>
      <c r="B62" s="166">
        <f>B59/5</f>
        <v>2301.3698630136983</v>
      </c>
      <c r="C62" s="159" t="s">
        <v>73</v>
      </c>
      <c r="D62" s="5"/>
      <c r="E62" s="5"/>
      <c r="F62" s="5"/>
      <c r="G62" s="5"/>
      <c r="H62" s="5"/>
      <c r="I62" s="5"/>
    </row>
    <row r="63" spans="1:9" s="2" customFormat="1" ht="14.25">
      <c r="A63" s="24" t="s">
        <v>363</v>
      </c>
      <c r="B63" s="166">
        <f>B60/5</f>
        <v>895.355616438356</v>
      </c>
      <c r="C63" s="159" t="s">
        <v>73</v>
      </c>
      <c r="D63" s="5"/>
      <c r="E63" s="5"/>
      <c r="F63" s="5"/>
      <c r="G63" s="5"/>
      <c r="H63" s="5"/>
      <c r="I63" s="5"/>
    </row>
    <row r="64" spans="1:9" s="2" customFormat="1" ht="14.25">
      <c r="A64" s="24" t="s">
        <v>365</v>
      </c>
      <c r="B64" s="166">
        <f>B61/5</f>
        <v>223.838904109589</v>
      </c>
      <c r="C64" s="159" t="s">
        <v>73</v>
      </c>
      <c r="D64" s="5"/>
      <c r="E64" s="5"/>
      <c r="F64" s="5"/>
      <c r="G64" s="5"/>
      <c r="H64" s="5"/>
      <c r="I64" s="5"/>
    </row>
    <row r="65" spans="1:9" s="2" customFormat="1" ht="14.25">
      <c r="A65" s="5" t="s">
        <v>372</v>
      </c>
      <c r="B65" s="19">
        <f>B53*12</f>
        <v>992.7922576581151</v>
      </c>
      <c r="C65" s="159" t="s">
        <v>395</v>
      </c>
      <c r="D65" s="5"/>
      <c r="E65" s="5"/>
      <c r="F65" s="5"/>
      <c r="G65" s="5"/>
      <c r="H65" s="5"/>
      <c r="I65" s="5"/>
    </row>
    <row r="66" spans="1:9" s="2" customFormat="1" ht="14.25">
      <c r="A66" s="5" t="s">
        <v>373</v>
      </c>
      <c r="B66" s="19">
        <f>B54*12</f>
        <v>688.1855422402843</v>
      </c>
      <c r="C66" s="159" t="s">
        <v>395</v>
      </c>
      <c r="D66" s="5"/>
      <c r="E66" s="5"/>
      <c r="F66" s="5"/>
      <c r="G66" s="5"/>
      <c r="H66" s="5"/>
      <c r="I66" s="5"/>
    </row>
    <row r="67" spans="1:9" s="2" customFormat="1" ht="14.25">
      <c r="A67" s="5" t="s">
        <v>374</v>
      </c>
      <c r="B67" s="19">
        <f>B55*12</f>
        <v>992.7922576581151</v>
      </c>
      <c r="C67" s="159" t="s">
        <v>395</v>
      </c>
      <c r="D67" s="5"/>
      <c r="E67" s="5"/>
      <c r="F67" s="5"/>
      <c r="G67" s="5"/>
      <c r="H67" s="5"/>
      <c r="I67" s="5"/>
    </row>
    <row r="68" spans="1:9" s="2" customFormat="1" ht="14.25">
      <c r="A68" s="136" t="s">
        <v>31</v>
      </c>
      <c r="B68" s="19"/>
      <c r="C68" s="159"/>
      <c r="D68" s="5"/>
      <c r="E68" s="5"/>
      <c r="F68" s="5"/>
      <c r="G68" s="5"/>
      <c r="H68" s="5"/>
      <c r="I68" s="5"/>
    </row>
    <row r="69" spans="1:9" s="2" customFormat="1" ht="14.25">
      <c r="A69" s="5" t="s">
        <v>369</v>
      </c>
      <c r="B69" s="160">
        <f>B62/B65</f>
        <v>2.318077971762562</v>
      </c>
      <c r="C69" s="159" t="s">
        <v>24</v>
      </c>
      <c r="D69" s="5"/>
      <c r="E69" s="5"/>
      <c r="F69" s="5"/>
      <c r="G69" s="5"/>
      <c r="H69" s="5"/>
      <c r="I69" s="5"/>
    </row>
    <row r="70" spans="1:9" s="2" customFormat="1" ht="14.25">
      <c r="A70" s="5" t="s">
        <v>370</v>
      </c>
      <c r="B70" s="160">
        <f>B63/B66</f>
        <v>1.3010381088850846</v>
      </c>
      <c r="C70" s="159" t="s">
        <v>24</v>
      </c>
      <c r="D70" s="5"/>
      <c r="E70" s="5"/>
      <c r="F70" s="5"/>
      <c r="G70" s="5"/>
      <c r="H70" s="5"/>
      <c r="I70" s="5"/>
    </row>
    <row r="71" spans="1:9" s="2" customFormat="1" ht="14.25">
      <c r="A71" s="5" t="s">
        <v>371</v>
      </c>
      <c r="B71" s="160">
        <f>B64/B67</f>
        <v>0.22546399046019933</v>
      </c>
      <c r="C71" s="159" t="s">
        <v>24</v>
      </c>
      <c r="D71" s="5"/>
      <c r="E71" s="5"/>
      <c r="F71" s="5"/>
      <c r="G71" s="5"/>
      <c r="H71" s="5"/>
      <c r="I71" s="5"/>
    </row>
    <row r="72" spans="1:9" s="2" customFormat="1" ht="14.25">
      <c r="A72" s="5" t="s">
        <v>384</v>
      </c>
      <c r="B72" s="172">
        <v>4</v>
      </c>
      <c r="C72" s="159" t="s">
        <v>385</v>
      </c>
      <c r="D72" s="5"/>
      <c r="E72" s="5"/>
      <c r="F72" s="5"/>
      <c r="G72" s="5"/>
      <c r="H72" s="5"/>
      <c r="I72" s="5"/>
    </row>
    <row r="73" spans="1:18" s="62" customFormat="1" ht="18">
      <c r="A73" s="180" t="s">
        <v>15</v>
      </c>
      <c r="B73" s="180"/>
      <c r="C73" s="180"/>
      <c r="D73" s="180"/>
      <c r="E73" s="180"/>
      <c r="F73" s="180"/>
      <c r="G73" s="180"/>
      <c r="H73" s="180"/>
      <c r="I73" s="180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8" s="62" customFormat="1" ht="18">
      <c r="A74" s="181" t="s">
        <v>16</v>
      </c>
      <c r="B74" s="181"/>
      <c r="C74" s="181"/>
      <c r="D74" s="181"/>
      <c r="E74" s="181"/>
      <c r="F74" s="181"/>
      <c r="G74" s="181"/>
      <c r="H74" s="181"/>
      <c r="I74" s="181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s="62" customFormat="1" ht="18">
      <c r="A75" s="181" t="s">
        <v>17</v>
      </c>
      <c r="B75" s="181"/>
      <c r="C75" s="181"/>
      <c r="D75" s="181"/>
      <c r="E75" s="181"/>
      <c r="F75" s="181"/>
      <c r="G75" s="181"/>
      <c r="H75" s="181"/>
      <c r="I75" s="181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5" s="62" customFormat="1" ht="18">
      <c r="A76" s="101"/>
      <c r="C76" s="5"/>
      <c r="D76" s="5"/>
      <c r="E76" s="5"/>
    </row>
    <row r="77" spans="1:18" s="62" customFormat="1" ht="18">
      <c r="A77" s="180" t="s">
        <v>18</v>
      </c>
      <c r="B77" s="180"/>
      <c r="C77" s="180"/>
      <c r="D77" s="180"/>
      <c r="E77" s="180"/>
      <c r="F77" s="180"/>
      <c r="G77" s="180"/>
      <c r="H77" s="180"/>
      <c r="I77" s="180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s="62" customFormat="1" ht="18">
      <c r="A78" s="179"/>
      <c r="B78" s="179"/>
      <c r="C78" s="179"/>
      <c r="D78" s="179"/>
      <c r="E78" s="179"/>
      <c r="F78" s="179"/>
      <c r="G78" s="179"/>
      <c r="H78" s="179"/>
      <c r="I78" s="179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5" s="62" customFormat="1" ht="18" customHeight="1">
      <c r="B79" s="102"/>
      <c r="C79" s="5"/>
      <c r="D79" s="5"/>
      <c r="E79" s="5"/>
    </row>
    <row r="80" spans="1:18" ht="18" customHeight="1">
      <c r="A80" s="191" t="s">
        <v>405</v>
      </c>
      <c r="B80" s="191"/>
      <c r="C80" s="191"/>
      <c r="D80" s="191"/>
      <c r="E80" s="191"/>
      <c r="F80" s="191"/>
      <c r="G80" s="191"/>
      <c r="H80" s="191"/>
      <c r="I80" s="191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9" s="2" customFormat="1" ht="18.75">
      <c r="A81" s="192" t="s">
        <v>421</v>
      </c>
      <c r="B81" s="192"/>
      <c r="C81" s="192"/>
      <c r="D81" s="192"/>
      <c r="E81" s="192"/>
      <c r="F81" s="192"/>
      <c r="G81" s="192"/>
      <c r="H81" s="192"/>
      <c r="I81" s="192"/>
    </row>
    <row r="82" spans="1:3" s="2" customFormat="1" ht="12.75">
      <c r="A82" s="73"/>
      <c r="B82" s="73"/>
      <c r="C82" s="68"/>
    </row>
    <row r="83" spans="1:9" s="2" customFormat="1" ht="15">
      <c r="A83" s="153" t="s">
        <v>38</v>
      </c>
      <c r="B83" s="164"/>
      <c r="C83" s="165"/>
      <c r="D83" s="5"/>
      <c r="E83" s="5"/>
      <c r="F83" s="5"/>
      <c r="G83" s="5"/>
      <c r="H83" s="5"/>
      <c r="I83" s="5"/>
    </row>
    <row r="84" spans="1:9" s="2" customFormat="1" ht="15">
      <c r="A84" s="156" t="s">
        <v>310</v>
      </c>
      <c r="B84" s="164"/>
      <c r="C84" s="165"/>
      <c r="D84" s="5"/>
      <c r="E84" s="5"/>
      <c r="F84" s="5"/>
      <c r="G84" s="5"/>
      <c r="H84" s="5"/>
      <c r="I84" s="5"/>
    </row>
    <row r="85" spans="1:9" s="2" customFormat="1" ht="14.25">
      <c r="A85" s="5" t="s">
        <v>78</v>
      </c>
      <c r="B85" s="19">
        <v>365</v>
      </c>
      <c r="C85" s="161"/>
      <c r="D85" s="5"/>
      <c r="E85" s="5"/>
      <c r="F85" s="5"/>
      <c r="G85" s="5"/>
      <c r="H85" s="5"/>
      <c r="I85" s="5"/>
    </row>
    <row r="86" spans="1:9" s="2" customFormat="1" ht="14.25">
      <c r="A86" s="136" t="s">
        <v>32</v>
      </c>
      <c r="B86" s="19"/>
      <c r="C86" s="161"/>
      <c r="D86" s="5"/>
      <c r="E86" s="5"/>
      <c r="F86" s="5"/>
      <c r="G86" s="5"/>
      <c r="H86" s="5"/>
      <c r="I86" s="5"/>
    </row>
    <row r="87" spans="1:9" s="2" customFormat="1" ht="14.25">
      <c r="A87" s="5" t="s">
        <v>42</v>
      </c>
      <c r="B87" s="19">
        <v>0</v>
      </c>
      <c r="C87" s="161"/>
      <c r="D87" s="5"/>
      <c r="E87" s="5"/>
      <c r="F87" s="5"/>
      <c r="G87" s="5"/>
      <c r="H87" s="5"/>
      <c r="I87" s="5"/>
    </row>
    <row r="88" spans="1:9" s="2" customFormat="1" ht="14.25">
      <c r="A88" s="5" t="s">
        <v>43</v>
      </c>
      <c r="B88" s="19">
        <v>0</v>
      </c>
      <c r="C88" s="161"/>
      <c r="D88" s="5"/>
      <c r="E88" s="5"/>
      <c r="F88" s="5"/>
      <c r="G88" s="5"/>
      <c r="H88" s="5"/>
      <c r="I88" s="5"/>
    </row>
    <row r="89" spans="1:9" s="2" customFormat="1" ht="14.25">
      <c r="A89" s="5" t="s">
        <v>44</v>
      </c>
      <c r="B89" s="19">
        <v>51</v>
      </c>
      <c r="C89" s="161"/>
      <c r="D89" s="5"/>
      <c r="E89" s="5"/>
      <c r="F89" s="5"/>
      <c r="G89" s="5"/>
      <c r="H89" s="5"/>
      <c r="I89" s="5"/>
    </row>
    <row r="90" spans="1:9" s="2" customFormat="1" ht="14.25">
      <c r="A90" s="5" t="s">
        <v>45</v>
      </c>
      <c r="B90" s="19">
        <v>51</v>
      </c>
      <c r="C90" s="161"/>
      <c r="D90" s="5"/>
      <c r="E90" s="5"/>
      <c r="F90" s="5"/>
      <c r="G90" s="5"/>
      <c r="H90" s="5"/>
      <c r="I90" s="5"/>
    </row>
    <row r="91" spans="1:9" s="2" customFormat="1" ht="14.25">
      <c r="A91" s="5" t="s">
        <v>46</v>
      </c>
      <c r="B91" s="19">
        <v>0</v>
      </c>
      <c r="C91" s="161"/>
      <c r="D91" s="5"/>
      <c r="E91" s="5"/>
      <c r="F91" s="5"/>
      <c r="G91" s="5"/>
      <c r="H91" s="5"/>
      <c r="I91" s="5"/>
    </row>
    <row r="92" spans="1:9" s="2" customFormat="1" ht="14.25">
      <c r="A92" s="136" t="s">
        <v>31</v>
      </c>
      <c r="B92" s="19"/>
      <c r="C92" s="161"/>
      <c r="D92" s="5"/>
      <c r="E92" s="5"/>
      <c r="F92" s="5"/>
      <c r="G92" s="5"/>
      <c r="H92" s="5"/>
      <c r="I92" s="5"/>
    </row>
    <row r="93" spans="1:9" s="2" customFormat="1" ht="14.25">
      <c r="A93" s="5" t="s">
        <v>39</v>
      </c>
      <c r="B93" s="19">
        <f>B85-B87-B88-B89-B90-B91</f>
        <v>263</v>
      </c>
      <c r="C93" s="161" t="s">
        <v>24</v>
      </c>
      <c r="D93" s="5"/>
      <c r="E93" s="5"/>
      <c r="F93" s="5"/>
      <c r="G93" s="5"/>
      <c r="H93" s="5"/>
      <c r="I93" s="5"/>
    </row>
    <row r="94" spans="1:9" s="2" customFormat="1" ht="14.25">
      <c r="A94" s="136" t="s">
        <v>47</v>
      </c>
      <c r="B94" s="19"/>
      <c r="C94" s="161"/>
      <c r="D94" s="5"/>
      <c r="E94" s="5"/>
      <c r="F94" s="5"/>
      <c r="G94" s="5"/>
      <c r="H94" s="5"/>
      <c r="I94" s="5"/>
    </row>
    <row r="95" spans="1:9" s="2" customFormat="1" ht="14.25">
      <c r="A95" s="5" t="s">
        <v>53</v>
      </c>
      <c r="B95" s="19">
        <f>B72*12</f>
        <v>48</v>
      </c>
      <c r="C95" s="161" t="s">
        <v>90</v>
      </c>
      <c r="D95" s="5"/>
      <c r="E95" s="5"/>
      <c r="F95" s="5"/>
      <c r="G95" s="5"/>
      <c r="H95" s="5"/>
      <c r="I95" s="5"/>
    </row>
    <row r="96" spans="1:9" s="2" customFormat="1" ht="14.25">
      <c r="A96" s="136" t="s">
        <v>31</v>
      </c>
      <c r="B96" s="19"/>
      <c r="C96" s="161"/>
      <c r="D96" s="5"/>
      <c r="E96" s="5"/>
      <c r="F96" s="5"/>
      <c r="G96" s="5"/>
      <c r="H96" s="5"/>
      <c r="I96" s="5"/>
    </row>
    <row r="97" spans="1:9" s="2" customFormat="1" ht="14.25">
      <c r="A97" s="5" t="s">
        <v>40</v>
      </c>
      <c r="B97" s="19">
        <f>B93*B95</f>
        <v>12624</v>
      </c>
      <c r="C97" s="159" t="s">
        <v>24</v>
      </c>
      <c r="D97" s="5"/>
      <c r="E97" s="5"/>
      <c r="F97" s="5"/>
      <c r="G97" s="5"/>
      <c r="H97" s="5"/>
      <c r="I97" s="5"/>
    </row>
    <row r="98" spans="1:9" s="2" customFormat="1" ht="14.25">
      <c r="A98" s="5"/>
      <c r="B98" s="160"/>
      <c r="C98" s="5"/>
      <c r="D98" s="5"/>
      <c r="E98" s="5"/>
      <c r="F98" s="171"/>
      <c r="G98" s="171"/>
      <c r="H98" s="171"/>
      <c r="I98" s="171"/>
    </row>
    <row r="99" spans="1:9" s="2" customFormat="1" ht="15">
      <c r="A99" s="156" t="s">
        <v>245</v>
      </c>
      <c r="B99" s="24"/>
      <c r="C99" s="83"/>
      <c r="D99" s="5"/>
      <c r="E99" s="5"/>
      <c r="F99" s="5"/>
      <c r="G99" s="5"/>
      <c r="H99" s="5"/>
      <c r="I99" s="5"/>
    </row>
    <row r="100" spans="1:9" s="2" customFormat="1" ht="14.25">
      <c r="A100" s="63" t="s">
        <v>54</v>
      </c>
      <c r="B100" s="24"/>
      <c r="C100" s="83"/>
      <c r="D100" s="5"/>
      <c r="E100" s="5"/>
      <c r="F100" s="5"/>
      <c r="G100" s="5"/>
      <c r="H100" s="5"/>
      <c r="I100" s="5"/>
    </row>
    <row r="101" spans="1:9" s="2" customFormat="1" ht="14.25">
      <c r="A101" s="5" t="s">
        <v>79</v>
      </c>
      <c r="B101" s="173">
        <v>60</v>
      </c>
      <c r="C101" s="83"/>
      <c r="D101" s="5"/>
      <c r="E101" s="5"/>
      <c r="F101" s="5"/>
      <c r="G101" s="5"/>
      <c r="H101" s="5"/>
      <c r="I101" s="5"/>
    </row>
    <row r="102" spans="1:9" s="2" customFormat="1" ht="14.25">
      <c r="A102" s="136" t="s">
        <v>31</v>
      </c>
      <c r="B102" s="173"/>
      <c r="C102" s="83"/>
      <c r="D102" s="5"/>
      <c r="E102" s="5"/>
      <c r="F102" s="5"/>
      <c r="G102" s="5"/>
      <c r="H102" s="5"/>
      <c r="I102" s="5"/>
    </row>
    <row r="103" spans="1:9" s="2" customFormat="1" ht="14.25">
      <c r="A103" s="5" t="s">
        <v>77</v>
      </c>
      <c r="B103" s="174">
        <f>B97*B101</f>
        <v>757440</v>
      </c>
      <c r="C103" s="167" t="s">
        <v>24</v>
      </c>
      <c r="D103" s="5"/>
      <c r="E103" s="5"/>
      <c r="F103" s="5"/>
      <c r="G103" s="5"/>
      <c r="H103" s="5"/>
      <c r="I103" s="5"/>
    </row>
    <row r="104" spans="2:9" s="2" customFormat="1" ht="12.75">
      <c r="B104" s="71"/>
      <c r="F104" s="77"/>
      <c r="G104" s="77"/>
      <c r="H104" s="77"/>
      <c r="I104" s="77"/>
    </row>
    <row r="105" s="2" customFormat="1" ht="12.75">
      <c r="B105" s="71"/>
    </row>
  </sheetData>
  <sheetProtection/>
  <mergeCells count="14">
    <mergeCell ref="A9:I9"/>
    <mergeCell ref="A1:I1"/>
    <mergeCell ref="A2:I2"/>
    <mergeCell ref="A3:I3"/>
    <mergeCell ref="A5:I5"/>
    <mergeCell ref="A6:I6"/>
    <mergeCell ref="A8:I8"/>
    <mergeCell ref="A78:I78"/>
    <mergeCell ref="A80:I80"/>
    <mergeCell ref="A81:I81"/>
    <mergeCell ref="A73:I73"/>
    <mergeCell ref="A74:I74"/>
    <mergeCell ref="A75:I75"/>
    <mergeCell ref="A77:I77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FMSM Engineers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ddurrett</dc:creator>
  <cp:keywords/>
  <dc:description/>
  <cp:lastModifiedBy>Nick</cp:lastModifiedBy>
  <cp:lastPrinted>2007-04-04T16:10:01Z</cp:lastPrinted>
  <dcterms:created xsi:type="dcterms:W3CDTF">2001-04-02T12:52:28Z</dcterms:created>
  <dcterms:modified xsi:type="dcterms:W3CDTF">2011-02-28T14:49:18Z</dcterms:modified>
  <cp:category/>
  <cp:version/>
  <cp:contentType/>
  <cp:contentStatus/>
</cp:coreProperties>
</file>