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45" windowWidth="7260" windowHeight="5205" tabRatio="624" activeTab="0"/>
  </bookViews>
  <sheets>
    <sheet name="INPUT" sheetId="1" r:id="rId1"/>
    <sheet name="Cost Breakdown" sheetId="2" r:id="rId2"/>
    <sheet name="Power Breakdown" sheetId="3" r:id="rId3"/>
    <sheet name="DATABASE" sheetId="4" r:id="rId4"/>
    <sheet name="Cost and Power Charts" sheetId="5" r:id="rId5"/>
    <sheet name="SaveConfig" sheetId="6" r:id="rId6"/>
  </sheets>
  <definedNames>
    <definedName name="cost">IF('Cost and Power Charts'!$B$3=0,'Cost Breakdown'!$F$6,OFFSET('SaveConfig'!$BV$3,1,0,'Cost and Power Charts'!$B$3))</definedName>
    <definedName name="daily">IF('Cost and Power Charts'!$B$3=0,'Power Breakdown'!$G$6,OFFSET('SaveConfig'!$BW$3,1,0,'Cost and Power Charts'!$B$3))</definedName>
    <definedName name="Entertainment">'DATABASE'!$A$82:$A$121</definedName>
    <definedName name="fridgecap">#REF!</definedName>
    <definedName name="fridgecost">#REF!</definedName>
    <definedName name="fridgemodel">#REF!</definedName>
    <definedName name="fridgepower">#REF!</definedName>
    <definedName name="fridges">#REF!</definedName>
    <definedName name="inlightcost">#REF!</definedName>
    <definedName name="inlightlife">#REF!</definedName>
    <definedName name="inlightlumens">#REF!</definedName>
    <definedName name="inlightmodel">#REF!</definedName>
    <definedName name="inlightpower">#REF!</definedName>
    <definedName name="Lights">'DATABASE'!$E$4</definedName>
    <definedName name="misc">'DATABASE'!$A$134:$A$160</definedName>
    <definedName name="name">IF('Cost and Power Charts'!$B$3=0,'INPUT'!$C$6,OFFSET('SaveConfig'!$A$3,1,0,'Cost and Power Charts'!$B$3))</definedName>
    <definedName name="outlightcost">#REF!</definedName>
    <definedName name="outlightlife">#REF!</definedName>
    <definedName name="outlightlumens">#REF!</definedName>
    <definedName name="outlightmodel">#REF!</definedName>
    <definedName name="outlightpower">#REF!</definedName>
    <definedName name="Oven">'DATABASE'!$A$48:$A$65</definedName>
    <definedName name="ovenbasecost">#REF!</definedName>
    <definedName name="ovenmodel">#REF!</definedName>
    <definedName name="ovenpower">#REF!</definedName>
    <definedName name="ovenusecost">#REF!</definedName>
    <definedName name="peak">IF('Cost and Power Charts'!$B$3=0,'Power Breakdown'!$H$6,OFFSET('SaveConfig'!$BX$3,1,0,'Cost and Power Charts'!$B$3))</definedName>
    <definedName name="Personal_Storage">'DATABASE'!$A$66:$A$81</definedName>
    <definedName name="Power_Tools">'DATABASE'!$A$66:$A$82</definedName>
    <definedName name="_xlnm.Print_Area" localSheetId="4">'Cost and Power Charts'!$A$1:$R$31</definedName>
    <definedName name="_xlnm.Print_Area" localSheetId="1">'Cost Breakdown'!$B$3:$F$59</definedName>
    <definedName name="_xlnm.Print_Area" localSheetId="0">'INPUT'!$A$3:$W$174</definedName>
    <definedName name="_xlnm.Print_Area" localSheetId="2">'Power Breakdown'!$B$3:$H$36</definedName>
    <definedName name="Qty">'INPUT'!$Y$5:$Y$24</definedName>
    <definedName name="Refrigerator">'DATABASE'!$A$29:$A$59</definedName>
    <definedName name="Seating">'DATABASE'!$A$112:$A$144</definedName>
    <definedName name="Sel_Entertainment">'INPUT'!$A$57:$A$89</definedName>
    <definedName name="Sel_Fridge">'INPUT'!$A$30:$A$53</definedName>
    <definedName name="sel_Lights">'INPUT'!$A$3:$A$30</definedName>
    <definedName name="Sel_Oven">'INPUT'!$A$40:$A$66</definedName>
    <definedName name="Sel_Power_Tools">'INPUT'!$A$49:$A$83</definedName>
    <definedName name="Sel_Seating">'INPUT'!$A$76:$A$103</definedName>
    <definedName name="sel_trailer">'INPUT'!$A$5:$A$24</definedName>
    <definedName name="Sel_Water">'INPUT'!$A$18:$A$41</definedName>
    <definedName name="Storage">'DATABASE'!$A$98:$A$128</definedName>
    <definedName name="Toilet">'DATABASE'!#REF!</definedName>
    <definedName name="trailer">'DATABASE'!$A$144:$A$170</definedName>
    <definedName name="Water_Storage">'DATABASE'!$A$12:$A$43</definedName>
    <definedName name="WaterTank">'DATABASE'!$F$23:$F$28</definedName>
  </definedNames>
  <calcPr fullCalcOnLoad="1"/>
</workbook>
</file>

<file path=xl/sharedStrings.xml><?xml version="1.0" encoding="utf-8"?>
<sst xmlns="http://schemas.openxmlformats.org/spreadsheetml/2006/main" count="310" uniqueCount="161">
  <si>
    <t>Toilet</t>
  </si>
  <si>
    <t>Refrigerator</t>
  </si>
  <si>
    <t>Cost</t>
  </si>
  <si>
    <t>Model</t>
  </si>
  <si>
    <t>Oven</t>
  </si>
  <si>
    <t>Capacity (L)</t>
  </si>
  <si>
    <t>Eurolux 13W</t>
  </si>
  <si>
    <t>Eurolux 18W</t>
  </si>
  <si>
    <t>Osram 14W</t>
  </si>
  <si>
    <t>Eurolux 45W</t>
  </si>
  <si>
    <t>Eurolux 85W</t>
  </si>
  <si>
    <t>Tsotso</t>
  </si>
  <si>
    <t>Vesto</t>
  </si>
  <si>
    <t>Personal Storage</t>
  </si>
  <si>
    <t>Capacity</t>
  </si>
  <si>
    <t>80012SV-U</t>
  </si>
  <si>
    <t>80015SV-U</t>
  </si>
  <si>
    <t>28 Liters</t>
  </si>
  <si>
    <t>55 Liters</t>
  </si>
  <si>
    <t>Water Storage</t>
  </si>
  <si>
    <t>Okahandja 500 Liter Transport</t>
  </si>
  <si>
    <t>Okahandja 100 Liter</t>
  </si>
  <si>
    <t>Okahandja 210 Liter</t>
  </si>
  <si>
    <t>Okahandja 500 Liter</t>
  </si>
  <si>
    <t>Seating</t>
  </si>
  <si>
    <t>Base Trailer Price</t>
  </si>
  <si>
    <t>Beds</t>
  </si>
  <si>
    <t>Item</t>
  </si>
  <si>
    <t>Cost Per Item</t>
  </si>
  <si>
    <t>Total Cost</t>
  </si>
  <si>
    <t>Quantity</t>
  </si>
  <si>
    <t>None</t>
  </si>
  <si>
    <t>Lighting</t>
  </si>
  <si>
    <t>Total Capacity:</t>
  </si>
  <si>
    <t>Water</t>
  </si>
  <si>
    <t>Liters</t>
  </si>
  <si>
    <t>Fridge: SunDanzer DCR165</t>
  </si>
  <si>
    <t>Fridge: SunDanzer DCR225</t>
  </si>
  <si>
    <t>Freezer: SunDanzer DCF165</t>
  </si>
  <si>
    <t>Freezer: SunDanzer DCF225</t>
  </si>
  <si>
    <t>Refrigeration</t>
  </si>
  <si>
    <t>TV</t>
  </si>
  <si>
    <t>DVD Player</t>
  </si>
  <si>
    <t>Sylvania 15" LCD HDTV/DVD Combo</t>
  </si>
  <si>
    <t>Entertainment</t>
  </si>
  <si>
    <t>Television</t>
  </si>
  <si>
    <t>Insignia 15" LCD</t>
  </si>
  <si>
    <t>Insignia 19"WidescreenLCD</t>
  </si>
  <si>
    <t>Toshiba S-D4000</t>
  </si>
  <si>
    <t>Philips DVP-5140</t>
  </si>
  <si>
    <t>Insignia NS-1UCDVD</t>
  </si>
  <si>
    <t>Power (W)</t>
  </si>
  <si>
    <t>Coleman 50560A Stool</t>
  </si>
  <si>
    <t>Folding Camping Stool ST-G-613-S</t>
  </si>
  <si>
    <t>1489 Tripod Camp Stool With Back</t>
  </si>
  <si>
    <t>Leisure Chair with Back</t>
  </si>
  <si>
    <t>Apex Camping Stool ST-G-140</t>
  </si>
  <si>
    <t>Cooking</t>
  </si>
  <si>
    <t>Power Consumption (W)</t>
  </si>
  <si>
    <t>DewaltDW756 6" Heavy Duty</t>
  </si>
  <si>
    <t>Cost*</t>
  </si>
  <si>
    <t>* N$, but from US dealers</t>
  </si>
  <si>
    <t>Jet Bench Grinder 3450 rpm</t>
  </si>
  <si>
    <t>Northern Industrial Bench Grinder 3/4 hp</t>
  </si>
  <si>
    <t>Northern Industrial Bench Grinder 1/2 hp</t>
  </si>
  <si>
    <t>Category</t>
  </si>
  <si>
    <t>Solar Tank</t>
  </si>
  <si>
    <t>Power Tools</t>
  </si>
  <si>
    <t>Major tech Work light, 2x26W</t>
  </si>
  <si>
    <t>Work light with stand (halogen)</t>
  </si>
  <si>
    <t>TOTAL:</t>
  </si>
  <si>
    <t>Personal Outlets</t>
  </si>
  <si>
    <t>Misc.</t>
  </si>
  <si>
    <t>Shower</t>
  </si>
  <si>
    <t>Tents</t>
  </si>
  <si>
    <t>Laundry Basin</t>
  </si>
  <si>
    <t>Fire Extinguisher</t>
  </si>
  <si>
    <t>Daily Usage</t>
  </si>
  <si>
    <t>Additional Options</t>
  </si>
  <si>
    <t>Daily Energy 
Consumption</t>
  </si>
  <si>
    <t>Anticipated 
Usage</t>
  </si>
  <si>
    <t>Unit Cost</t>
  </si>
  <si>
    <t>Hours Used</t>
  </si>
  <si>
    <t>Qty</t>
  </si>
  <si>
    <t>Lights</t>
  </si>
  <si>
    <t>Power(W)</t>
  </si>
  <si>
    <t>Click to add lighting options</t>
  </si>
  <si>
    <t>Click to add water storage options</t>
  </si>
  <si>
    <t>Click to add refrigerator options</t>
  </si>
  <si>
    <t>Click to add oven options</t>
  </si>
  <si>
    <t>Click to add Power Tool Options</t>
  </si>
  <si>
    <t>Click to add entertainment options</t>
  </si>
  <si>
    <t>Click to select lights</t>
  </si>
  <si>
    <t>Click to select water storage</t>
  </si>
  <si>
    <t>Click to select refrigerators</t>
  </si>
  <si>
    <t>Click to select ovens</t>
  </si>
  <si>
    <t>Click to select power tools</t>
  </si>
  <si>
    <t>Click to select entertainment options</t>
  </si>
  <si>
    <t>Click to select misc options</t>
  </si>
  <si>
    <t>Number of Personnel and Outlets</t>
  </si>
  <si>
    <t>Click to add Misc. options</t>
  </si>
  <si>
    <t>Click to add seating options</t>
  </si>
  <si>
    <t>All Amenities As Listed Below</t>
  </si>
  <si>
    <t>Power System</t>
  </si>
  <si>
    <t>Personal Storage Lockers</t>
  </si>
  <si>
    <t>Capactiy</t>
  </si>
  <si>
    <t>Peak 
Power</t>
  </si>
  <si>
    <t>Click to select storage options</t>
  </si>
  <si>
    <t>Click to select seating options</t>
  </si>
  <si>
    <t>Total Cost:</t>
  </si>
  <si>
    <t>Total Power:</t>
  </si>
  <si>
    <t>first entry:</t>
  </si>
  <si>
    <t>last entry:</t>
  </si>
  <si>
    <t>Configuration Name:</t>
  </si>
  <si>
    <t>next row:</t>
  </si>
  <si>
    <t>People</t>
  </si>
  <si>
    <t>Outlets</t>
  </si>
  <si>
    <t>Qty1</t>
  </si>
  <si>
    <t>Qty2</t>
  </si>
  <si>
    <t>Qty3</t>
  </si>
  <si>
    <t>Qty4</t>
  </si>
  <si>
    <t>Qty5</t>
  </si>
  <si>
    <t>Qty6</t>
  </si>
  <si>
    <t>Item1</t>
  </si>
  <si>
    <t>Item2</t>
  </si>
  <si>
    <t>Item3</t>
  </si>
  <si>
    <t>Item4</t>
  </si>
  <si>
    <t>Item5</t>
  </si>
  <si>
    <t>Item6</t>
  </si>
  <si>
    <t>Hours1</t>
  </si>
  <si>
    <t>Hours2</t>
  </si>
  <si>
    <t>Hours3</t>
  </si>
  <si>
    <t>Hours4</t>
  </si>
  <si>
    <t>Hours5</t>
  </si>
  <si>
    <t>Hours6</t>
  </si>
  <si>
    <t>Fridge</t>
  </si>
  <si>
    <t>Per. Stor.</t>
  </si>
  <si>
    <t>Misc</t>
  </si>
  <si>
    <t>Config Name</t>
  </si>
  <si>
    <t>Outlets for Employeee Use
(Shavers, Etc)</t>
  </si>
  <si>
    <t>Trailer Configuration</t>
  </si>
  <si>
    <t>Configuration</t>
  </si>
  <si>
    <t>Occupacny</t>
  </si>
  <si>
    <t>8 Person Open Air</t>
  </si>
  <si>
    <t>4 Person Open Air</t>
  </si>
  <si>
    <t>Custom Storage Trailer</t>
  </si>
  <si>
    <t>Standard Storage Trailer</t>
  </si>
  <si>
    <t>Click to add Trailer Config.</t>
  </si>
  <si>
    <t>Click to select trailer configurations</t>
  </si>
  <si>
    <t>TrailerConfig</t>
  </si>
  <si>
    <t>Power
Each</t>
  </si>
  <si>
    <t>Daily Energy</t>
  </si>
  <si>
    <t>Peak Power</t>
  </si>
  <si>
    <t>entries:</t>
  </si>
  <si>
    <t>Cost (thousands)</t>
  </si>
  <si>
    <t>Daily Energy (W)</t>
  </si>
  <si>
    <t>Canopy</t>
  </si>
  <si>
    <t>Folding Table</t>
  </si>
  <si>
    <t>8 Person Efficient</t>
  </si>
  <si>
    <t>4 Person Efficient</t>
  </si>
  <si>
    <t>Custom Storage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</si>
</sst>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N$&quot;#,##0.00"/>
    <numFmt numFmtId="170" formatCode="[$-409]h:mm:ss\ AM/PM"/>
    <numFmt numFmtId="171" formatCode="[$-409]dddd\,\ mmmm\ dd\,\ yyyy"/>
    <numFmt numFmtId="172" formatCode="0.00&quot; hrs/day&quot;"/>
    <numFmt numFmtId="173" formatCode="0.0000&quot;   kWhrs/day&quot;"/>
    <numFmt numFmtId="174" formatCode="0.0000&quot;   kWhrs&quot;"/>
    <numFmt numFmtId="175" formatCode="0.0000&quot;   Watts/hour&quot;"/>
    <numFmt numFmtId="176" formatCode="0.0000&quot;   W&quot;"/>
    <numFmt numFmtId="177" formatCode="&quot;N$&quot;#,###"/>
    <numFmt numFmtId="178" formatCode="&quot;N$&quot;##,##0"/>
    <numFmt numFmtId="179" formatCode="0&quot; L&quot;"/>
    <numFmt numFmtId="180" formatCode="0&quot; people&quot;"/>
    <numFmt numFmtId="181" formatCode="0&quot; outlets&quot;"/>
    <numFmt numFmtId="182" formatCode="0&quot;   W&quot;"/>
    <numFmt numFmtId="183" formatCode="0.00&quot;   kWhrs&quot;"/>
    <numFmt numFmtId="184" formatCode="&quot;N$&quot;#,##0"/>
    <numFmt numFmtId="185" formatCode="0&quot;   kWhrs/day&quot;"/>
    <numFmt numFmtId="186" formatCode="0.0&quot;   kWhrs/day&quot;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2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43"/>
      <name val="Arial"/>
      <family val="2"/>
    </font>
    <font>
      <sz val="10"/>
      <color indexed="53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9.25"/>
      <name val="Arial"/>
      <family val="2"/>
    </font>
    <font>
      <sz val="8.75"/>
      <name val="Arial"/>
      <family val="2"/>
    </font>
    <font>
      <sz val="3.75"/>
      <name val="Arial"/>
      <family val="0"/>
    </font>
    <font>
      <sz val="3.25"/>
      <name val="Arial"/>
      <family val="0"/>
    </font>
    <font>
      <sz val="7"/>
      <name val="Arial"/>
      <family val="2"/>
    </font>
    <font>
      <sz val="4.25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3" xfId="0" applyFill="1" applyBorder="1" applyAlignment="1">
      <alignment horizontal="center"/>
    </xf>
    <xf numFmtId="6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6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6" fontId="0" fillId="3" borderId="4" xfId="0" applyNumberFormat="1" applyFill="1" applyBorder="1" applyAlignment="1">
      <alignment/>
    </xf>
    <xf numFmtId="0" fontId="0" fillId="3" borderId="9" xfId="0" applyFill="1" applyBorder="1" applyAlignment="1">
      <alignment horizontal="center"/>
    </xf>
    <xf numFmtId="0" fontId="8" fillId="4" borderId="1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4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2" borderId="13" xfId="0" applyFill="1" applyBorder="1" applyAlignment="1">
      <alignment/>
    </xf>
    <xf numFmtId="0" fontId="9" fillId="0" borderId="13" xfId="0" applyFont="1" applyFill="1" applyBorder="1" applyAlignment="1">
      <alignment/>
    </xf>
    <xf numFmtId="169" fontId="0" fillId="0" borderId="13" xfId="0" applyNumberFormat="1" applyFill="1" applyBorder="1" applyAlignment="1">
      <alignment/>
    </xf>
    <xf numFmtId="169" fontId="2" fillId="0" borderId="13" xfId="0" applyNumberFormat="1" applyFont="1" applyFill="1" applyBorder="1" applyAlignment="1">
      <alignment/>
    </xf>
    <xf numFmtId="169" fontId="2" fillId="2" borderId="13" xfId="0" applyNumberFormat="1" applyFont="1" applyFill="1" applyBorder="1" applyAlignment="1">
      <alignment/>
    </xf>
    <xf numFmtId="169" fontId="9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0" fillId="2" borderId="13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8" xfId="0" applyFill="1" applyBorder="1" applyAlignment="1">
      <alignment/>
    </xf>
    <xf numFmtId="169" fontId="0" fillId="2" borderId="13" xfId="0" applyNumberFormat="1" applyFill="1" applyBorder="1" applyAlignment="1">
      <alignment/>
    </xf>
    <xf numFmtId="0" fontId="4" fillId="0" borderId="0" xfId="0" applyFont="1" applyFill="1" applyAlignment="1">
      <alignment/>
    </xf>
    <xf numFmtId="172" fontId="0" fillId="2" borderId="13" xfId="0" applyNumberFormat="1" applyFill="1" applyBorder="1" applyAlignment="1">
      <alignment horizontal="center"/>
    </xf>
    <xf numFmtId="172" fontId="9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72" fontId="9" fillId="2" borderId="13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0" fontId="0" fillId="3" borderId="4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5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10" fillId="4" borderId="10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178" fontId="0" fillId="3" borderId="0" xfId="0" applyNumberForma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6" fontId="0" fillId="3" borderId="4" xfId="0" applyNumberForma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13" fillId="3" borderId="0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10" fillId="4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3" fillId="3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/>
    </xf>
    <xf numFmtId="0" fontId="16" fillId="4" borderId="12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1" xfId="0" applyFill="1" applyBorder="1" applyAlignment="1">
      <alignment/>
    </xf>
    <xf numFmtId="180" fontId="12" fillId="3" borderId="3" xfId="0" applyNumberFormat="1" applyFont="1" applyFill="1" applyBorder="1" applyAlignment="1">
      <alignment horizontal="right"/>
    </xf>
    <xf numFmtId="181" fontId="12" fillId="3" borderId="0" xfId="0" applyNumberFormat="1" applyFont="1" applyFill="1" applyBorder="1" applyAlignment="1">
      <alignment horizontal="center"/>
    </xf>
    <xf numFmtId="182" fontId="0" fillId="3" borderId="0" xfId="0" applyNumberFormat="1" applyFill="1" applyBorder="1" applyAlignment="1">
      <alignment horizontal="center"/>
    </xf>
    <xf numFmtId="179" fontId="0" fillId="3" borderId="0" xfId="0" applyNumberFormat="1" applyFont="1" applyFill="1" applyBorder="1" applyAlignment="1">
      <alignment/>
    </xf>
    <xf numFmtId="177" fontId="0" fillId="3" borderId="0" xfId="0" applyNumberFormat="1" applyFill="1" applyBorder="1" applyAlignment="1">
      <alignment horizontal="center"/>
    </xf>
    <xf numFmtId="177" fontId="0" fillId="3" borderId="0" xfId="0" applyNumberFormat="1" applyFill="1" applyBorder="1" applyAlignment="1">
      <alignment/>
    </xf>
    <xf numFmtId="177" fontId="0" fillId="3" borderId="0" xfId="17" applyNumberFormat="1" applyFill="1" applyBorder="1" applyAlignment="1">
      <alignment horizontal="center"/>
    </xf>
    <xf numFmtId="182" fontId="0" fillId="2" borderId="13" xfId="0" applyNumberFormat="1" applyFill="1" applyBorder="1" applyAlignment="1">
      <alignment horizontal="center"/>
    </xf>
    <xf numFmtId="169" fontId="2" fillId="2" borderId="13" xfId="17" applyNumberFormat="1" applyFont="1" applyFill="1" applyBorder="1" applyAlignment="1">
      <alignment/>
    </xf>
    <xf numFmtId="169" fontId="9" fillId="0" borderId="13" xfId="0" applyNumberFormat="1" applyFont="1" applyFill="1" applyBorder="1" applyAlignment="1">
      <alignment horizontal="center"/>
    </xf>
    <xf numFmtId="169" fontId="0" fillId="2" borderId="13" xfId="0" applyNumberFormat="1" applyFill="1" applyBorder="1" applyAlignment="1">
      <alignment horizontal="center"/>
    </xf>
    <xf numFmtId="169" fontId="0" fillId="0" borderId="13" xfId="0" applyNumberFormat="1" applyFill="1" applyBorder="1" applyAlignment="1">
      <alignment horizontal="center"/>
    </xf>
    <xf numFmtId="169" fontId="9" fillId="2" borderId="13" xfId="0" applyNumberFormat="1" applyFont="1" applyFill="1" applyBorder="1" applyAlignment="1">
      <alignment horizontal="center"/>
    </xf>
    <xf numFmtId="182" fontId="0" fillId="0" borderId="13" xfId="0" applyNumberFormat="1" applyFill="1" applyBorder="1" applyAlignment="1">
      <alignment horizontal="center"/>
    </xf>
    <xf numFmtId="169" fontId="2" fillId="0" borderId="13" xfId="17" applyNumberFormat="1" applyFont="1" applyFill="1" applyBorder="1" applyAlignment="1">
      <alignment/>
    </xf>
    <xf numFmtId="182" fontId="0" fillId="0" borderId="13" xfId="0" applyNumberFormat="1" applyFill="1" applyBorder="1" applyAlignment="1">
      <alignment/>
    </xf>
    <xf numFmtId="182" fontId="9" fillId="0" borderId="13" xfId="0" applyNumberFormat="1" applyFont="1" applyFill="1" applyBorder="1" applyAlignment="1">
      <alignment horizontal="center"/>
    </xf>
    <xf numFmtId="182" fontId="9" fillId="2" borderId="13" xfId="0" applyNumberFormat="1" applyFont="1" applyFill="1" applyBorder="1" applyAlignment="1">
      <alignment horizontal="center"/>
    </xf>
    <xf numFmtId="182" fontId="2" fillId="2" borderId="13" xfId="0" applyNumberFormat="1" applyFont="1" applyFill="1" applyBorder="1" applyAlignment="1">
      <alignment/>
    </xf>
    <xf numFmtId="0" fontId="0" fillId="3" borderId="0" xfId="0" applyFill="1" applyBorder="1" applyAlignment="1">
      <alignment horizontal="left"/>
    </xf>
    <xf numFmtId="182" fontId="0" fillId="3" borderId="0" xfId="0" applyNumberFormat="1" applyFill="1" applyBorder="1" applyAlignment="1">
      <alignment/>
    </xf>
    <xf numFmtId="0" fontId="0" fillId="3" borderId="0" xfId="0" applyFill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182" fontId="0" fillId="3" borderId="0" xfId="0" applyNumberFormat="1" applyFill="1" applyBorder="1" applyAlignment="1">
      <alignment horizontal="right"/>
    </xf>
    <xf numFmtId="177" fontId="0" fillId="3" borderId="0" xfId="17" applyNumberFormat="1" applyFill="1" applyBorder="1" applyAlignment="1">
      <alignment horizontal="right"/>
    </xf>
    <xf numFmtId="177" fontId="0" fillId="3" borderId="0" xfId="0" applyNumberFormat="1" applyFill="1" applyBorder="1" applyAlignment="1">
      <alignment horizontal="right"/>
    </xf>
    <xf numFmtId="182" fontId="10" fillId="0" borderId="13" xfId="0" applyNumberFormat="1" applyFont="1" applyFill="1" applyBorder="1" applyAlignment="1">
      <alignment/>
    </xf>
    <xf numFmtId="0" fontId="17" fillId="0" borderId="0" xfId="20" applyFont="1" applyFill="1" applyBorder="1" applyAlignment="1">
      <alignment horizontal="center"/>
    </xf>
    <xf numFmtId="0" fontId="4" fillId="0" borderId="0" xfId="2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7" xfId="0" applyBorder="1" applyAlignment="1">
      <alignment/>
    </xf>
    <xf numFmtId="0" fontId="2" fillId="2" borderId="11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69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2" fontId="0" fillId="3" borderId="9" xfId="0" applyNumberFormat="1" applyFill="1" applyBorder="1" applyAlignment="1">
      <alignment horizontal="center"/>
    </xf>
    <xf numFmtId="174" fontId="0" fillId="3" borderId="9" xfId="0" applyNumberFormat="1" applyFill="1" applyBorder="1" applyAlignment="1">
      <alignment/>
    </xf>
    <xf numFmtId="182" fontId="0" fillId="3" borderId="9" xfId="0" applyNumberFormat="1" applyFill="1" applyBorder="1" applyAlignment="1">
      <alignment/>
    </xf>
    <xf numFmtId="0" fontId="0" fillId="2" borderId="12" xfId="0" applyFill="1" applyBorder="1" applyAlignment="1">
      <alignment/>
    </xf>
    <xf numFmtId="0" fontId="10" fillId="2" borderId="12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5" borderId="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0" fillId="5" borderId="7" xfId="0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9" fillId="0" borderId="18" xfId="0" applyFont="1" applyFill="1" applyBorder="1" applyAlignment="1">
      <alignment/>
    </xf>
    <xf numFmtId="182" fontId="9" fillId="0" borderId="1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4" fontId="0" fillId="3" borderId="0" xfId="0" applyNumberFormat="1" applyFill="1" applyBorder="1" applyAlignment="1">
      <alignment/>
    </xf>
    <xf numFmtId="182" fontId="0" fillId="3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9" fontId="0" fillId="3" borderId="0" xfId="0" applyNumberFormat="1" applyFill="1" applyBorder="1" applyAlignment="1">
      <alignment/>
    </xf>
    <xf numFmtId="169" fontId="9" fillId="0" borderId="18" xfId="0" applyNumberFormat="1" applyFont="1" applyFill="1" applyBorder="1" applyAlignment="1">
      <alignment/>
    </xf>
    <xf numFmtId="169" fontId="9" fillId="0" borderId="1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right"/>
    </xf>
    <xf numFmtId="172" fontId="0" fillId="3" borderId="9" xfId="0" applyNumberFormat="1" applyFill="1" applyBorder="1" applyAlignment="1">
      <alignment horizontal="center"/>
    </xf>
    <xf numFmtId="172" fontId="0" fillId="3" borderId="0" xfId="0" applyNumberFormat="1" applyFill="1" applyBorder="1" applyAlignment="1">
      <alignment horizontal="center"/>
    </xf>
    <xf numFmtId="172" fontId="9" fillId="0" borderId="18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0" borderId="16" xfId="0" applyBorder="1" applyAlignment="1">
      <alignment/>
    </xf>
    <xf numFmtId="0" fontId="12" fillId="0" borderId="16" xfId="0" applyFont="1" applyBorder="1" applyAlignment="1">
      <alignment/>
    </xf>
    <xf numFmtId="182" fontId="0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182" fontId="0" fillId="0" borderId="18" xfId="0" applyNumberFormat="1" applyFont="1" applyFill="1" applyBorder="1" applyAlignment="1">
      <alignment/>
    </xf>
    <xf numFmtId="0" fontId="0" fillId="5" borderId="9" xfId="0" applyFill="1" applyBorder="1" applyAlignment="1">
      <alignment/>
    </xf>
    <xf numFmtId="0" fontId="0" fillId="5" borderId="6" xfId="0" applyFill="1" applyBorder="1" applyAlignment="1">
      <alignment/>
    </xf>
    <xf numFmtId="183" fontId="10" fillId="0" borderId="13" xfId="0" applyNumberFormat="1" applyFont="1" applyFill="1" applyBorder="1" applyAlignment="1">
      <alignment/>
    </xf>
    <xf numFmtId="183" fontId="0" fillId="0" borderId="13" xfId="0" applyNumberFormat="1" applyFill="1" applyBorder="1" applyAlignment="1">
      <alignment/>
    </xf>
    <xf numFmtId="183" fontId="2" fillId="2" borderId="13" xfId="0" applyNumberFormat="1" applyFont="1" applyFill="1" applyBorder="1" applyAlignment="1">
      <alignment horizontal="center"/>
    </xf>
    <xf numFmtId="183" fontId="9" fillId="0" borderId="13" xfId="0" applyNumberFormat="1" applyFont="1" applyFill="1" applyBorder="1" applyAlignment="1">
      <alignment/>
    </xf>
    <xf numFmtId="183" fontId="2" fillId="2" borderId="13" xfId="0" applyNumberFormat="1" applyFont="1" applyFill="1" applyBorder="1" applyAlignment="1">
      <alignment/>
    </xf>
    <xf numFmtId="183" fontId="9" fillId="0" borderId="18" xfId="0" applyNumberFormat="1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17" fillId="6" borderId="12" xfId="20" applyFont="1" applyFill="1" applyBorder="1" applyAlignment="1">
      <alignment horizontal="center"/>
    </xf>
    <xf numFmtId="0" fontId="17" fillId="6" borderId="1" xfId="2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3" borderId="9" xfId="0" applyFont="1" applyFill="1" applyBorder="1" applyAlignment="1">
      <alignment horizontal="left"/>
    </xf>
    <xf numFmtId="0" fontId="13" fillId="3" borderId="16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0" fillId="6" borderId="12" xfId="20" applyFont="1" applyFill="1" applyBorder="1" applyAlignment="1">
      <alignment horizontal="center"/>
    </xf>
    <xf numFmtId="0" fontId="20" fillId="6" borderId="1" xfId="20" applyFont="1" applyFill="1" applyBorder="1" applyAlignment="1">
      <alignment horizontal="center"/>
    </xf>
    <xf numFmtId="0" fontId="20" fillId="6" borderId="2" xfId="2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78" fontId="2" fillId="3" borderId="9" xfId="0" applyNumberFormat="1" applyFont="1" applyFill="1" applyBorder="1" applyAlignment="1">
      <alignment horizontal="center"/>
    </xf>
    <xf numFmtId="178" fontId="2" fillId="3" borderId="10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7" fillId="6" borderId="2" xfId="2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77" fontId="0" fillId="3" borderId="0" xfId="0" applyNumberFormat="1" applyFill="1" applyBorder="1" applyAlignment="1">
      <alignment horizontal="center"/>
    </xf>
    <xf numFmtId="182" fontId="0" fillId="3" borderId="0" xfId="0" applyNumberForma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69" fontId="11" fillId="2" borderId="19" xfId="0" applyNumberFormat="1" applyFont="1" applyFill="1" applyBorder="1" applyAlignment="1">
      <alignment horizontal="center"/>
    </xf>
    <xf numFmtId="169" fontId="11" fillId="2" borderId="13" xfId="0" applyNumberFormat="1" applyFont="1" applyFill="1" applyBorder="1" applyAlignment="1">
      <alignment horizontal="center"/>
    </xf>
    <xf numFmtId="182" fontId="18" fillId="2" borderId="19" xfId="0" applyNumberFormat="1" applyFont="1" applyFill="1" applyBorder="1" applyAlignment="1">
      <alignment horizontal="center" wrapText="1"/>
    </xf>
    <xf numFmtId="182" fontId="18" fillId="2" borderId="13" xfId="0" applyNumberFormat="1" applyFont="1" applyFill="1" applyBorder="1" applyAlignment="1">
      <alignment horizontal="center" wrapText="1"/>
    </xf>
    <xf numFmtId="174" fontId="11" fillId="2" borderId="19" xfId="0" applyNumberFormat="1" applyFont="1" applyFill="1" applyBorder="1" applyAlignment="1">
      <alignment horizontal="center" wrapText="1"/>
    </xf>
    <xf numFmtId="174" fontId="11" fillId="2" borderId="13" xfId="0" applyNumberFormat="1" applyFont="1" applyFill="1" applyBorder="1" applyAlignment="1">
      <alignment horizontal="center"/>
    </xf>
    <xf numFmtId="172" fontId="11" fillId="2" borderId="19" xfId="0" applyNumberFormat="1" applyFont="1" applyFill="1" applyBorder="1" applyAlignment="1">
      <alignment horizontal="center" wrapText="1"/>
    </xf>
    <xf numFmtId="172" fontId="11" fillId="2" borderId="13" xfId="0" applyNumberFormat="1" applyFont="1" applyFill="1" applyBorder="1" applyAlignment="1">
      <alignment horizontal="center" wrapText="1"/>
    </xf>
    <xf numFmtId="182" fontId="11" fillId="2" borderId="19" xfId="0" applyNumberFormat="1" applyFont="1" applyFill="1" applyBorder="1" applyAlignment="1">
      <alignment horizontal="center" wrapText="1"/>
    </xf>
    <xf numFmtId="182" fontId="11" fillId="2" borderId="13" xfId="0" applyNumberFormat="1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6" borderId="1" xfId="20" applyFont="1" applyFill="1" applyBorder="1" applyAlignment="1">
      <alignment horizontal="center"/>
    </xf>
    <xf numFmtId="0" fontId="4" fillId="6" borderId="2" xfId="20" applyFont="1" applyFill="1" applyBorder="1" applyAlignment="1">
      <alignment horizontal="center"/>
    </xf>
    <xf numFmtId="0" fontId="17" fillId="6" borderId="5" xfId="20" applyFont="1" applyFill="1" applyBorder="1" applyAlignment="1">
      <alignment horizontal="center"/>
    </xf>
    <xf numFmtId="0" fontId="17" fillId="6" borderId="7" xfId="2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/>
    </xf>
    <xf numFmtId="0" fontId="19" fillId="5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color rgb="FFFFFFFF"/>
      </font>
      <border/>
    </dxf>
    <dxf>
      <font>
        <color rgb="FFFF0000"/>
      </font>
      <fill>
        <patternFill>
          <bgColor rgb="FFFF0000"/>
        </patternFill>
      </fill>
      <border/>
    </dxf>
    <dxf>
      <font>
        <color rgb="FF000080"/>
      </font>
      <fill>
        <patternFill>
          <bgColor rgb="FF000080"/>
        </patternFill>
      </fill>
      <border/>
    </dxf>
    <dxf>
      <font>
        <color rgb="FF008000"/>
      </font>
      <fill>
        <patternFill>
          <bgColor rgb="FF008000"/>
        </patternFill>
      </fill>
      <border/>
    </dxf>
    <dxf>
      <font>
        <color rgb="FFFF6600"/>
      </font>
      <fill>
        <patternFill>
          <bgColor rgb="FFFF6600"/>
        </patternFill>
      </fill>
      <border/>
    </dxf>
    <dxf>
      <font>
        <color rgb="FF0000FF"/>
      </font>
      <fill>
        <patternFill>
          <bgColor rgb="FF0000FF"/>
        </patternFill>
      </fill>
      <border/>
    </dxf>
    <dxf>
      <font>
        <color rgb="FF00FF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Cost  of Saved Trailer Configurations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Cost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CC00"/>
              </a:solidFill>
            </c:spPr>
          </c:dPt>
          <c:cat>
            <c:strRef>
              <c:f>[0]!name</c:f>
              <c:strCache>
                <c:ptCount val="3"/>
                <c:pt idx="0">
                  <c:v>8 Person Efficient</c:v>
                </c:pt>
                <c:pt idx="1">
                  <c:v>4 Person Efficient</c:v>
                </c:pt>
                <c:pt idx="2">
                  <c:v>Custom Storage</c:v>
                </c:pt>
              </c:strCache>
            </c:strRef>
          </c:cat>
          <c:val>
            <c:numRef>
              <c:f>[0]!cost</c:f>
              <c:numCache>
                <c:ptCount val="3"/>
                <c:pt idx="0">
                  <c:v>141523.91424999997</c:v>
                </c:pt>
                <c:pt idx="1">
                  <c:v>130173.34625</c:v>
                </c:pt>
                <c:pt idx="2">
                  <c:v>126925.84824999998</c:v>
                </c:pt>
              </c:numCache>
            </c:numRef>
          </c:val>
        </c:ser>
        <c:axId val="883621"/>
        <c:axId val="64504334"/>
      </c:barChart>
      <c:catAx>
        <c:axId val="883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04334"/>
        <c:crosses val="autoZero"/>
        <c:auto val="1"/>
        <c:lblOffset val="100"/>
        <c:noMultiLvlLbl val="0"/>
      </c:catAx>
      <c:valAx>
        <c:axId val="64504334"/>
        <c:scaling>
          <c:orientation val="minMax"/>
        </c:scaling>
        <c:axPos val="l"/>
        <c:majorGridlines/>
        <c:delete val="0"/>
        <c:numFmt formatCode="&quot;N$&quot;#,##0" sourceLinked="0"/>
        <c:majorTickMark val="out"/>
        <c:minorTickMark val="none"/>
        <c:tickLblPos val="nextTo"/>
        <c:crossAx val="883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Daily Energy Usage  of Saved Trailer Configurations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Cost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3366"/>
              </a:solidFill>
            </c:spPr>
          </c:dPt>
          <c:dPt>
            <c:idx val="2"/>
            <c:invertIfNegative val="0"/>
            <c:spPr>
              <a:solidFill>
                <a:srgbClr val="003366"/>
              </a:solidFill>
            </c:spPr>
          </c:dPt>
          <c:cat>
            <c:strRef>
              <c:f>[0]!name</c:f>
              <c:strCache>
                <c:ptCount val="3"/>
                <c:pt idx="0">
                  <c:v>8 Person Efficient</c:v>
                </c:pt>
                <c:pt idx="1">
                  <c:v>4 Person Efficient</c:v>
                </c:pt>
                <c:pt idx="2">
                  <c:v>Custom Storage</c:v>
                </c:pt>
              </c:strCache>
            </c:strRef>
          </c:cat>
          <c:val>
            <c:numRef>
              <c:f>[0]!daily</c:f>
              <c:numCache>
                <c:ptCount val="3"/>
                <c:pt idx="0">
                  <c:v>3.0940000000000003</c:v>
                </c:pt>
                <c:pt idx="1">
                  <c:v>2.935</c:v>
                </c:pt>
                <c:pt idx="2">
                  <c:v>2.87</c:v>
                </c:pt>
              </c:numCache>
            </c:numRef>
          </c:val>
        </c:ser>
        <c:axId val="54322550"/>
        <c:axId val="6123175"/>
      </c:barChart>
      <c:catAx>
        <c:axId val="54322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3175"/>
        <c:crosses val="autoZero"/>
        <c:auto val="1"/>
        <c:lblOffset val="100"/>
        <c:noMultiLvlLbl val="0"/>
      </c:catAx>
      <c:valAx>
        <c:axId val="6123175"/>
        <c:scaling>
          <c:orientation val="minMax"/>
        </c:scaling>
        <c:axPos val="l"/>
        <c:majorGridlines/>
        <c:delete val="0"/>
        <c:numFmt formatCode="0.0&quot;   kWhrs/day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4322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Peak Power  of Saved Trailer Configurations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Cost</c:v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3300"/>
              </a:solidFill>
            </c:spPr>
          </c:dPt>
          <c:cat>
            <c:strRef>
              <c:f>[0]!name</c:f>
              <c:strCache>
                <c:ptCount val="3"/>
                <c:pt idx="0">
                  <c:v>8 Person Efficient</c:v>
                </c:pt>
                <c:pt idx="1">
                  <c:v>4 Person Efficient</c:v>
                </c:pt>
                <c:pt idx="2">
                  <c:v>Custom Storage</c:v>
                </c:pt>
              </c:strCache>
            </c:strRef>
          </c:cat>
          <c:val>
            <c:numRef>
              <c:f>[0]!peak</c:f>
              <c:numCache>
                <c:ptCount val="3"/>
                <c:pt idx="0">
                  <c:v>951.125</c:v>
                </c:pt>
                <c:pt idx="1">
                  <c:v>878.125</c:v>
                </c:pt>
                <c:pt idx="2">
                  <c:v>865.125</c:v>
                </c:pt>
              </c:numCache>
            </c:numRef>
          </c:val>
        </c:ser>
        <c:axId val="49289551"/>
        <c:axId val="41367432"/>
      </c:barChart>
      <c:catAx>
        <c:axId val="49289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67432"/>
        <c:crosses val="autoZero"/>
        <c:auto val="1"/>
        <c:lblOffset val="100"/>
        <c:noMultiLvlLbl val="0"/>
      </c:catAx>
      <c:valAx>
        <c:axId val="41367432"/>
        <c:scaling>
          <c:orientation val="minMax"/>
        </c:scaling>
        <c:axPos val="l"/>
        <c:majorGridlines/>
        <c:delete val="0"/>
        <c:numFmt formatCode="0&quot;   W&quot;" sourceLinked="0"/>
        <c:majorTickMark val="out"/>
        <c:minorTickMark val="none"/>
        <c:tickLblPos val="nextTo"/>
        <c:crossAx val="49289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latin typeface="Arial"/>
                <a:ea typeface="Arial"/>
                <a:cs typeface="Arial"/>
              </a:rPr>
              <a:t>This Configuration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Cost Breakdown</a:t>
            </a:r>
          </a:p>
        </c:rich>
      </c:tx>
      <c:layout>
        <c:manualLayout>
          <c:xMode val="factor"/>
          <c:yMode val="factor"/>
          <c:x val="0.206"/>
          <c:y val="-0.018"/>
        </c:manualLayout>
      </c:layout>
      <c:spPr>
        <a:noFill/>
        <a:ln>
          <a:noFill/>
        </a:ln>
      </c:spPr>
    </c:title>
    <c:view3D>
      <c:rotX val="6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16"/>
          <c:y val="0.214"/>
          <c:w val="0.704"/>
          <c:h val="0.70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003366"/>
              </a:solidFill>
            </c:spPr>
          </c:dPt>
          <c:dPt>
            <c:idx val="2"/>
            <c:spPr>
              <a:solidFill>
                <a:srgbClr val="0033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Trailer Cost
 66%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Power System 29%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Amenities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('Cost Breakdown'!$B$8,'Cost Breakdown'!$B$10,'Cost Breakdown'!$B$15)</c:f>
              <c:strCache>
                <c:ptCount val="3"/>
                <c:pt idx="0">
                  <c:v>Base Trailer Price</c:v>
                </c:pt>
                <c:pt idx="1">
                  <c:v>Power System</c:v>
                </c:pt>
                <c:pt idx="2">
                  <c:v>All Amenities As Listed Below</c:v>
                </c:pt>
              </c:strCache>
            </c:strRef>
          </c:cat>
          <c:val>
            <c:numRef>
              <c:f>('Cost Breakdown'!$F$8,'Cost Breakdown'!$F$10,'Cost Breakdown'!$F$15)</c:f>
              <c:numCache>
                <c:ptCount val="3"/>
                <c:pt idx="0">
                  <c:v>0</c:v>
                </c:pt>
                <c:pt idx="1">
                  <c:v>112291.25824999998</c:v>
                </c:pt>
                <c:pt idx="2">
                  <c:v>14634.59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('Cost Breakdown'!$B$8,'Cost Breakdown'!$B$10,'Cost Breakdown'!$B$15)</c:f>
              <c:strCache>
                <c:ptCount val="3"/>
                <c:pt idx="0">
                  <c:v>Base Trailer Price</c:v>
                </c:pt>
                <c:pt idx="1">
                  <c:v>Power System</c:v>
                </c:pt>
                <c:pt idx="2">
                  <c:v>All Amenities As Listed Below</c:v>
                </c:pt>
              </c:strCache>
            </c:strRef>
          </c:cat>
          <c:val>
            <c:numRef>
              <c:f>('Cost Breakdown'!$F$8,'Cost Breakdown'!$F$10,'Cost Breakdown'!$F$15)</c:f>
              <c:numCache>
                <c:ptCount val="3"/>
                <c:pt idx="0">
                  <c:v>0</c:v>
                </c:pt>
                <c:pt idx="1">
                  <c:v>112291.25824999998</c:v>
                </c:pt>
                <c:pt idx="2">
                  <c:v>14634.59</c:v>
                </c:pt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('Cost Breakdown'!$B$8,'Cost Breakdown'!$B$10,'Cost Breakdown'!$B$15)</c:f>
              <c:strCache>
                <c:ptCount val="3"/>
                <c:pt idx="0">
                  <c:v>Base Trailer Price</c:v>
                </c:pt>
                <c:pt idx="1">
                  <c:v>Power System</c:v>
                </c:pt>
                <c:pt idx="2">
                  <c:v>All Amenities As Listed Below</c:v>
                </c:pt>
              </c:strCache>
            </c:strRef>
          </c:cat>
          <c:val>
            <c:numRef>
              <c:f>('Cost Breakdown'!$F$8,'Cost Breakdown'!$F$10,'Cost Breakdown'!$F$15)</c:f>
              <c:numCache>
                <c:ptCount val="3"/>
                <c:pt idx="0">
                  <c:v>0</c:v>
                </c:pt>
                <c:pt idx="1">
                  <c:v>112291.25824999998</c:v>
                </c:pt>
                <c:pt idx="2">
                  <c:v>14634.59</c:v>
                </c:pt>
              </c:numCache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('Cost Breakdown'!$B$8,'Cost Breakdown'!$B$10,'Cost Breakdown'!$B$15)</c:f>
              <c:strCache>
                <c:ptCount val="3"/>
                <c:pt idx="0">
                  <c:v>Base Trailer Price</c:v>
                </c:pt>
                <c:pt idx="1">
                  <c:v>Power System</c:v>
                </c:pt>
                <c:pt idx="2">
                  <c:v>All Amenities As Listed Below</c:v>
                </c:pt>
              </c:strCache>
            </c:strRef>
          </c:cat>
          <c:val>
            <c:numRef>
              <c:f>('Cost Breakdown'!$F$8,'Cost Breakdown'!$F$10,'Cost Breakdown'!$F$15)</c:f>
              <c:numCache>
                <c:ptCount val="3"/>
                <c:pt idx="0">
                  <c:v>0</c:v>
                </c:pt>
                <c:pt idx="1">
                  <c:v>112291.25824999998</c:v>
                </c:pt>
                <c:pt idx="2">
                  <c:v>14634.59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latin typeface="Arial"/>
                <a:ea typeface="Arial"/>
                <a:cs typeface="Arial"/>
              </a:rPr>
              <a:t>This Configuration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Peak Power Breakdown</a:t>
            </a:r>
          </a:p>
        </c:rich>
      </c:tx>
      <c:layout>
        <c:manualLayout>
          <c:xMode val="factor"/>
          <c:yMode val="factor"/>
          <c:x val="-0.11275"/>
          <c:y val="-0.01875"/>
        </c:manualLayout>
      </c:layout>
      <c:spPr>
        <a:noFill/>
        <a:ln>
          <a:noFill/>
        </a:ln>
      </c:spPr>
    </c:title>
    <c:view3D>
      <c:rotX val="6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1425"/>
          <c:y val="0.26675"/>
          <c:w val="0.494"/>
          <c:h val="0.5567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00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3366"/>
              </a:solidFill>
            </c:spPr>
          </c:dPt>
          <c:dPt>
            <c:idx val="4"/>
            <c:spPr>
              <a:solidFill>
                <a:srgbClr val="80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TV/DVD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Fridge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('Power Breakdown'!$B$30,'Power Breakdown'!$B$27,'Power Breakdown'!$B$22,'Power Breakdown'!$B$19,'Power Breakdown'!$B$16,'Power Breakdown'!$B$8)</c:f>
              <c:strCache>
                <c:ptCount val="6"/>
                <c:pt idx="0">
                  <c:v>Additional Options</c:v>
                </c:pt>
                <c:pt idx="1">
                  <c:v>Personal Outlets</c:v>
                </c:pt>
                <c:pt idx="2">
                  <c:v>Power Tools</c:v>
                </c:pt>
                <c:pt idx="3">
                  <c:v>Entertainment</c:v>
                </c:pt>
                <c:pt idx="4">
                  <c:v>Refrigeration</c:v>
                </c:pt>
                <c:pt idx="5">
                  <c:v>Lighting</c:v>
                </c:pt>
              </c:strCache>
            </c:strRef>
          </c:cat>
          <c:val>
            <c:numRef>
              <c:f>('Power Breakdown'!$H$30,'Power Breakdown'!$H$27,'Power Breakdown'!$H$22,'Power Breakdown'!$H$19,'Power Breakdown'!$H$16,'Power Breakdown'!$H$8)</c:f>
              <c:numCache>
                <c:ptCount val="6"/>
                <c:pt idx="0">
                  <c:v>0</c:v>
                </c:pt>
                <c:pt idx="1">
                  <c:v>60</c:v>
                </c:pt>
                <c:pt idx="2">
                  <c:v>466</c:v>
                </c:pt>
                <c:pt idx="3">
                  <c:v>44</c:v>
                </c:pt>
                <c:pt idx="4">
                  <c:v>102.125</c:v>
                </c:pt>
                <c:pt idx="5">
                  <c:v>193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180975</xdr:colOff>
      <xdr:row>0</xdr:row>
      <xdr:rowOff>19050</xdr:rowOff>
    </xdr:from>
    <xdr:ext cx="3276600" cy="885825"/>
    <xdr:grpSp>
      <xdr:nvGrpSpPr>
        <xdr:cNvPr id="1" name="Group 182"/>
        <xdr:cNvGrpSpPr>
          <a:grpSpLocks/>
        </xdr:cNvGrpSpPr>
      </xdr:nvGrpSpPr>
      <xdr:grpSpPr>
        <a:xfrm>
          <a:off x="2981325" y="19050"/>
          <a:ext cx="3276600" cy="885825"/>
          <a:chOff x="354" y="4"/>
          <a:chExt cx="344" cy="93"/>
        </a:xfrm>
        <a:solidFill>
          <a:srgbClr val="FFFFFF"/>
        </a:solidFill>
      </xdr:grpSpPr>
      <xdr:grpSp>
        <xdr:nvGrpSpPr>
          <xdr:cNvPr id="2" name="Group 181"/>
          <xdr:cNvGrpSpPr>
            <a:grpSpLocks/>
          </xdr:cNvGrpSpPr>
        </xdr:nvGrpSpPr>
        <xdr:grpSpPr>
          <a:xfrm>
            <a:off x="354" y="4"/>
            <a:ext cx="344" cy="93"/>
            <a:chOff x="354" y="4"/>
            <a:chExt cx="344" cy="93"/>
          </a:xfrm>
          <a:solidFill>
            <a:srgbClr val="FFFFFF"/>
          </a:solidFill>
        </xdr:grpSpPr>
        <xdr:grpSp>
          <xdr:nvGrpSpPr>
            <xdr:cNvPr id="3" name="Group 180"/>
            <xdr:cNvGrpSpPr>
              <a:grpSpLocks/>
            </xdr:cNvGrpSpPr>
          </xdr:nvGrpSpPr>
          <xdr:grpSpPr>
            <a:xfrm>
              <a:off x="354" y="4"/>
              <a:ext cx="344" cy="93"/>
              <a:chOff x="354" y="4"/>
              <a:chExt cx="344" cy="93"/>
            </a:xfrm>
            <a:solidFill>
              <a:srgbClr val="FFFFFF"/>
            </a:solidFill>
          </xdr:grpSpPr>
          <xdr:grpSp>
            <xdr:nvGrpSpPr>
              <xdr:cNvPr id="4" name="Group 179"/>
              <xdr:cNvGrpSpPr>
                <a:grpSpLocks/>
              </xdr:cNvGrpSpPr>
            </xdr:nvGrpSpPr>
            <xdr:grpSpPr>
              <a:xfrm>
                <a:off x="354" y="4"/>
                <a:ext cx="344" cy="93"/>
                <a:chOff x="354" y="4"/>
                <a:chExt cx="344" cy="93"/>
              </a:xfrm>
              <a:solidFill>
                <a:srgbClr val="FFFFFF"/>
              </a:solidFill>
            </xdr:grpSpPr>
            <xdr:grpSp>
              <xdr:nvGrpSpPr>
                <xdr:cNvPr id="5" name="Group 178"/>
                <xdr:cNvGrpSpPr>
                  <a:grpSpLocks/>
                </xdr:cNvGrpSpPr>
              </xdr:nvGrpSpPr>
              <xdr:grpSpPr>
                <a:xfrm>
                  <a:off x="354" y="4"/>
                  <a:ext cx="344" cy="93"/>
                  <a:chOff x="354" y="4"/>
                  <a:chExt cx="344" cy="93"/>
                </a:xfrm>
                <a:solidFill>
                  <a:srgbClr val="FFFFFF"/>
                </a:solidFill>
              </xdr:grpSpPr>
              <xdr:sp>
                <xdr:nvSpPr>
                  <xdr:cNvPr id="6" name="Rectangle 177"/>
                  <xdr:cNvSpPr>
                    <a:spLocks/>
                  </xdr:cNvSpPr>
                </xdr:nvSpPr>
                <xdr:spPr>
                  <a:xfrm>
                    <a:off x="354" y="4"/>
                    <a:ext cx="344" cy="93"/>
                  </a:xfrm>
                  <a:prstGeom prst="rect">
                    <a:avLst/>
                  </a:prstGeom>
                  <a:solidFill>
                    <a:srgbClr val="FFFF99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</xdr:grp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0</xdr:row>
      <xdr:rowOff>19050</xdr:rowOff>
    </xdr:from>
    <xdr:ext cx="3276600" cy="885825"/>
    <xdr:grpSp>
      <xdr:nvGrpSpPr>
        <xdr:cNvPr id="1" name="Group 76"/>
        <xdr:cNvGrpSpPr>
          <a:grpSpLocks/>
        </xdr:cNvGrpSpPr>
      </xdr:nvGrpSpPr>
      <xdr:grpSpPr>
        <a:xfrm>
          <a:off x="2981325" y="19050"/>
          <a:ext cx="3276600" cy="885825"/>
          <a:chOff x="354" y="4"/>
          <a:chExt cx="344" cy="93"/>
        </a:xfrm>
        <a:solidFill>
          <a:srgbClr val="FFFFFF"/>
        </a:solidFill>
      </xdr:grpSpPr>
      <xdr:grpSp>
        <xdr:nvGrpSpPr>
          <xdr:cNvPr id="2" name="Group 77"/>
          <xdr:cNvGrpSpPr>
            <a:grpSpLocks/>
          </xdr:cNvGrpSpPr>
        </xdr:nvGrpSpPr>
        <xdr:grpSpPr>
          <a:xfrm>
            <a:off x="354" y="4"/>
            <a:ext cx="344" cy="93"/>
            <a:chOff x="354" y="4"/>
            <a:chExt cx="344" cy="93"/>
          </a:xfrm>
          <a:solidFill>
            <a:srgbClr val="FFFFFF"/>
          </a:solidFill>
        </xdr:grpSpPr>
        <xdr:grpSp>
          <xdr:nvGrpSpPr>
            <xdr:cNvPr id="3" name="Group 78"/>
            <xdr:cNvGrpSpPr>
              <a:grpSpLocks/>
            </xdr:cNvGrpSpPr>
          </xdr:nvGrpSpPr>
          <xdr:grpSpPr>
            <a:xfrm>
              <a:off x="354" y="4"/>
              <a:ext cx="344" cy="93"/>
              <a:chOff x="354" y="4"/>
              <a:chExt cx="344" cy="93"/>
            </a:xfrm>
            <a:solidFill>
              <a:srgbClr val="FFFFFF"/>
            </a:solidFill>
          </xdr:grpSpPr>
          <xdr:grpSp>
            <xdr:nvGrpSpPr>
              <xdr:cNvPr id="4" name="Group 79"/>
              <xdr:cNvGrpSpPr>
                <a:grpSpLocks/>
              </xdr:cNvGrpSpPr>
            </xdr:nvGrpSpPr>
            <xdr:grpSpPr>
              <a:xfrm>
                <a:off x="354" y="4"/>
                <a:ext cx="344" cy="93"/>
                <a:chOff x="354" y="4"/>
                <a:chExt cx="344" cy="93"/>
              </a:xfrm>
              <a:solidFill>
                <a:srgbClr val="FFFFFF"/>
              </a:solidFill>
            </xdr:grpSpPr>
            <xdr:grpSp>
              <xdr:nvGrpSpPr>
                <xdr:cNvPr id="5" name="Group 80"/>
                <xdr:cNvGrpSpPr>
                  <a:grpSpLocks/>
                </xdr:cNvGrpSpPr>
              </xdr:nvGrpSpPr>
              <xdr:grpSpPr>
                <a:xfrm>
                  <a:off x="354" y="4"/>
                  <a:ext cx="344" cy="93"/>
                  <a:chOff x="354" y="4"/>
                  <a:chExt cx="344" cy="93"/>
                </a:xfrm>
                <a:solidFill>
                  <a:srgbClr val="FFFFFF"/>
                </a:solidFill>
              </xdr:grpSpPr>
              <xdr:sp>
                <xdr:nvSpPr>
                  <xdr:cNvPr id="6" name="Rectangle 81"/>
                  <xdr:cNvSpPr>
                    <a:spLocks/>
                  </xdr:cNvSpPr>
                </xdr:nvSpPr>
                <xdr:spPr>
                  <a:xfrm>
                    <a:off x="354" y="4"/>
                    <a:ext cx="344" cy="93"/>
                  </a:xfrm>
                  <a:prstGeom prst="rect">
                    <a:avLst/>
                  </a:prstGeom>
                  <a:solidFill>
                    <a:srgbClr val="FFFF99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</xdr:grp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1133475</xdr:colOff>
      <xdr:row>0</xdr:row>
      <xdr:rowOff>19050</xdr:rowOff>
    </xdr:from>
    <xdr:ext cx="3276600" cy="885825"/>
    <xdr:grpSp>
      <xdr:nvGrpSpPr>
        <xdr:cNvPr id="1" name="Group 23"/>
        <xdr:cNvGrpSpPr>
          <a:grpSpLocks/>
        </xdr:cNvGrpSpPr>
      </xdr:nvGrpSpPr>
      <xdr:grpSpPr>
        <a:xfrm>
          <a:off x="2981325" y="19050"/>
          <a:ext cx="3276600" cy="885825"/>
          <a:chOff x="354" y="4"/>
          <a:chExt cx="344" cy="93"/>
        </a:xfrm>
        <a:solidFill>
          <a:srgbClr val="FFFFFF"/>
        </a:solidFill>
      </xdr:grpSpPr>
      <xdr:grpSp>
        <xdr:nvGrpSpPr>
          <xdr:cNvPr id="2" name="Group 24"/>
          <xdr:cNvGrpSpPr>
            <a:grpSpLocks/>
          </xdr:cNvGrpSpPr>
        </xdr:nvGrpSpPr>
        <xdr:grpSpPr>
          <a:xfrm>
            <a:off x="354" y="4"/>
            <a:ext cx="344" cy="93"/>
            <a:chOff x="354" y="4"/>
            <a:chExt cx="344" cy="93"/>
          </a:xfrm>
          <a:solidFill>
            <a:srgbClr val="FFFFFF"/>
          </a:solidFill>
        </xdr:grpSpPr>
        <xdr:grpSp>
          <xdr:nvGrpSpPr>
            <xdr:cNvPr id="3" name="Group 25"/>
            <xdr:cNvGrpSpPr>
              <a:grpSpLocks/>
            </xdr:cNvGrpSpPr>
          </xdr:nvGrpSpPr>
          <xdr:grpSpPr>
            <a:xfrm>
              <a:off x="354" y="4"/>
              <a:ext cx="344" cy="93"/>
              <a:chOff x="354" y="4"/>
              <a:chExt cx="344" cy="93"/>
            </a:xfrm>
            <a:solidFill>
              <a:srgbClr val="FFFFFF"/>
            </a:solidFill>
          </xdr:grpSpPr>
          <xdr:grpSp>
            <xdr:nvGrpSpPr>
              <xdr:cNvPr id="4" name="Group 26"/>
              <xdr:cNvGrpSpPr>
                <a:grpSpLocks/>
              </xdr:cNvGrpSpPr>
            </xdr:nvGrpSpPr>
            <xdr:grpSpPr>
              <a:xfrm>
                <a:off x="354" y="4"/>
                <a:ext cx="344" cy="93"/>
                <a:chOff x="354" y="4"/>
                <a:chExt cx="344" cy="93"/>
              </a:xfrm>
              <a:solidFill>
                <a:srgbClr val="FFFFFF"/>
              </a:solidFill>
            </xdr:grpSpPr>
            <xdr:grpSp>
              <xdr:nvGrpSpPr>
                <xdr:cNvPr id="5" name="Group 27"/>
                <xdr:cNvGrpSpPr>
                  <a:grpSpLocks/>
                </xdr:cNvGrpSpPr>
              </xdr:nvGrpSpPr>
              <xdr:grpSpPr>
                <a:xfrm>
                  <a:off x="354" y="4"/>
                  <a:ext cx="344" cy="93"/>
                  <a:chOff x="354" y="4"/>
                  <a:chExt cx="344" cy="93"/>
                </a:xfrm>
                <a:solidFill>
                  <a:srgbClr val="FFFFFF"/>
                </a:solidFill>
              </xdr:grpSpPr>
              <xdr:sp>
                <xdr:nvSpPr>
                  <xdr:cNvPr id="6" name="Rectangle 28"/>
                  <xdr:cNvSpPr>
                    <a:spLocks/>
                  </xdr:cNvSpPr>
                </xdr:nvSpPr>
                <xdr:spPr>
                  <a:xfrm>
                    <a:off x="354" y="4"/>
                    <a:ext cx="344" cy="93"/>
                  </a:xfrm>
                  <a:prstGeom prst="rect">
                    <a:avLst/>
                  </a:prstGeom>
                  <a:solidFill>
                    <a:srgbClr val="FFFF99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</xdr:grp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37</xdr:row>
      <xdr:rowOff>0</xdr:rowOff>
    </xdr:from>
    <xdr:to>
      <xdr:col>18</xdr:col>
      <xdr:colOff>209550</xdr:colOff>
      <xdr:row>50</xdr:row>
      <xdr:rowOff>28575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6724650"/>
          <a:ext cx="47529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800100</xdr:colOff>
      <xdr:row>0</xdr:row>
      <xdr:rowOff>19050</xdr:rowOff>
    </xdr:from>
    <xdr:ext cx="3276600" cy="885825"/>
    <xdr:grpSp>
      <xdr:nvGrpSpPr>
        <xdr:cNvPr id="2" name="Group 36"/>
        <xdr:cNvGrpSpPr>
          <a:grpSpLocks/>
        </xdr:cNvGrpSpPr>
      </xdr:nvGrpSpPr>
      <xdr:grpSpPr>
        <a:xfrm>
          <a:off x="2981325" y="19050"/>
          <a:ext cx="3276600" cy="885825"/>
          <a:chOff x="354" y="4"/>
          <a:chExt cx="344" cy="93"/>
        </a:xfrm>
        <a:solidFill>
          <a:srgbClr val="FFFFFF"/>
        </a:solidFill>
      </xdr:grpSpPr>
      <xdr:grpSp>
        <xdr:nvGrpSpPr>
          <xdr:cNvPr id="3" name="Group 37"/>
          <xdr:cNvGrpSpPr>
            <a:grpSpLocks/>
          </xdr:cNvGrpSpPr>
        </xdr:nvGrpSpPr>
        <xdr:grpSpPr>
          <a:xfrm>
            <a:off x="354" y="4"/>
            <a:ext cx="344" cy="93"/>
            <a:chOff x="354" y="4"/>
            <a:chExt cx="344" cy="93"/>
          </a:xfrm>
          <a:solidFill>
            <a:srgbClr val="FFFFFF"/>
          </a:solidFill>
        </xdr:grpSpPr>
        <xdr:grpSp>
          <xdr:nvGrpSpPr>
            <xdr:cNvPr id="4" name="Group 38"/>
            <xdr:cNvGrpSpPr>
              <a:grpSpLocks/>
            </xdr:cNvGrpSpPr>
          </xdr:nvGrpSpPr>
          <xdr:grpSpPr>
            <a:xfrm>
              <a:off x="354" y="4"/>
              <a:ext cx="344" cy="93"/>
              <a:chOff x="354" y="4"/>
              <a:chExt cx="344" cy="93"/>
            </a:xfrm>
            <a:solidFill>
              <a:srgbClr val="FFFFFF"/>
            </a:solidFill>
          </xdr:grpSpPr>
          <xdr:grpSp>
            <xdr:nvGrpSpPr>
              <xdr:cNvPr id="5" name="Group 39"/>
              <xdr:cNvGrpSpPr>
                <a:grpSpLocks/>
              </xdr:cNvGrpSpPr>
            </xdr:nvGrpSpPr>
            <xdr:grpSpPr>
              <a:xfrm>
                <a:off x="354" y="4"/>
                <a:ext cx="344" cy="93"/>
                <a:chOff x="354" y="4"/>
                <a:chExt cx="344" cy="93"/>
              </a:xfrm>
              <a:solidFill>
                <a:srgbClr val="FFFFFF"/>
              </a:solidFill>
            </xdr:grpSpPr>
            <xdr:grpSp>
              <xdr:nvGrpSpPr>
                <xdr:cNvPr id="6" name="Group 40"/>
                <xdr:cNvGrpSpPr>
                  <a:grpSpLocks/>
                </xdr:cNvGrpSpPr>
              </xdr:nvGrpSpPr>
              <xdr:grpSpPr>
                <a:xfrm>
                  <a:off x="354" y="4"/>
                  <a:ext cx="344" cy="93"/>
                  <a:chOff x="354" y="4"/>
                  <a:chExt cx="344" cy="93"/>
                </a:xfrm>
                <a:solidFill>
                  <a:srgbClr val="FFFFFF"/>
                </a:solidFill>
              </xdr:grpSpPr>
              <xdr:sp>
                <xdr:nvSpPr>
                  <xdr:cNvPr id="7" name="Rectangle 41"/>
                  <xdr:cNvSpPr>
                    <a:spLocks/>
                  </xdr:cNvSpPr>
                </xdr:nvSpPr>
                <xdr:spPr>
                  <a:xfrm>
                    <a:off x="354" y="4"/>
                    <a:ext cx="344" cy="93"/>
                  </a:xfrm>
                  <a:prstGeom prst="rect">
                    <a:avLst/>
                  </a:prstGeom>
                  <a:solidFill>
                    <a:srgbClr val="FFFF99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</xdr:grp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</xdr:row>
      <xdr:rowOff>9525</xdr:rowOff>
    </xdr:from>
    <xdr:to>
      <xdr:col>15</xdr:col>
      <xdr:colOff>133350</xdr:colOff>
      <xdr:row>15</xdr:row>
      <xdr:rowOff>85725</xdr:rowOff>
    </xdr:to>
    <xdr:graphicFrame>
      <xdr:nvGraphicFramePr>
        <xdr:cNvPr id="1" name="Chart 10"/>
        <xdr:cNvGraphicFramePr/>
      </xdr:nvGraphicFramePr>
      <xdr:xfrm>
        <a:off x="5095875" y="171450"/>
        <a:ext cx="41814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16</xdr:row>
      <xdr:rowOff>19050</xdr:rowOff>
    </xdr:from>
    <xdr:to>
      <xdr:col>8</xdr:col>
      <xdr:colOff>133350</xdr:colOff>
      <xdr:row>29</xdr:row>
      <xdr:rowOff>95250</xdr:rowOff>
    </xdr:to>
    <xdr:graphicFrame>
      <xdr:nvGraphicFramePr>
        <xdr:cNvPr id="2" name="Chart 13"/>
        <xdr:cNvGraphicFramePr/>
      </xdr:nvGraphicFramePr>
      <xdr:xfrm>
        <a:off x="47625" y="2447925"/>
        <a:ext cx="49625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228600</xdr:colOff>
      <xdr:row>16</xdr:row>
      <xdr:rowOff>9525</xdr:rowOff>
    </xdr:from>
    <xdr:to>
      <xdr:col>15</xdr:col>
      <xdr:colOff>142875</xdr:colOff>
      <xdr:row>29</xdr:row>
      <xdr:rowOff>95250</xdr:rowOff>
    </xdr:to>
    <xdr:graphicFrame>
      <xdr:nvGraphicFramePr>
        <xdr:cNvPr id="3" name="Chart 14"/>
        <xdr:cNvGraphicFramePr/>
      </xdr:nvGraphicFramePr>
      <xdr:xfrm>
        <a:off x="5105400" y="2438400"/>
        <a:ext cx="418147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</xdr:row>
      <xdr:rowOff>9525</xdr:rowOff>
    </xdr:from>
    <xdr:to>
      <xdr:col>3</xdr:col>
      <xdr:colOff>523875</xdr:colOff>
      <xdr:row>15</xdr:row>
      <xdr:rowOff>95250</xdr:rowOff>
    </xdr:to>
    <xdr:graphicFrame>
      <xdr:nvGraphicFramePr>
        <xdr:cNvPr id="4" name="Chart 15"/>
        <xdr:cNvGraphicFramePr/>
      </xdr:nvGraphicFramePr>
      <xdr:xfrm>
        <a:off x="47625" y="171450"/>
        <a:ext cx="230505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38100</xdr:colOff>
      <xdr:row>1</xdr:row>
      <xdr:rowOff>9525</xdr:rowOff>
    </xdr:from>
    <xdr:to>
      <xdr:col>8</xdr:col>
      <xdr:colOff>133350</xdr:colOff>
      <xdr:row>15</xdr:row>
      <xdr:rowOff>95250</xdr:rowOff>
    </xdr:to>
    <xdr:graphicFrame>
      <xdr:nvGraphicFramePr>
        <xdr:cNvPr id="5" name="Chart 18"/>
        <xdr:cNvGraphicFramePr/>
      </xdr:nvGraphicFramePr>
      <xdr:xfrm>
        <a:off x="2476500" y="171450"/>
        <a:ext cx="2533650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Y99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P8" sqref="P8"/>
    </sheetView>
  </sheetViews>
  <sheetFormatPr defaultColWidth="9.140625" defaultRowHeight="12.75"/>
  <cols>
    <col min="1" max="1" width="8.28125" style="0" customWidth="1"/>
    <col min="2" max="2" width="2.140625" style="0" customWidth="1"/>
    <col min="3" max="3" width="19.421875" style="0" customWidth="1"/>
    <col min="4" max="4" width="2.00390625" style="0" customWidth="1"/>
    <col min="5" max="5" width="8.421875" style="0" customWidth="1"/>
    <col min="6" max="6" width="1.7109375" style="0" customWidth="1"/>
    <col min="7" max="7" width="3.57421875" style="0" customWidth="1"/>
    <col min="8" max="8" width="17.7109375" style="0" customWidth="1"/>
    <col min="9" max="9" width="10.57421875" style="0" customWidth="1"/>
    <col min="10" max="10" width="11.7109375" style="0" customWidth="1"/>
    <col min="11" max="11" width="5.28125" style="0" customWidth="1"/>
    <col min="12" max="12" width="4.140625" style="0" customWidth="1"/>
    <col min="13" max="13" width="3.00390625" style="0" customWidth="1"/>
    <col min="14" max="14" width="2.57421875" style="0" customWidth="1"/>
    <col min="17" max="17" width="6.7109375" style="0" customWidth="1"/>
    <col min="18" max="18" width="14.140625" style="0" customWidth="1"/>
  </cols>
  <sheetData>
    <row r="1" spans="1:25" s="24" customFormat="1" ht="24" customHeight="1">
      <c r="A1" s="23"/>
      <c r="O1" s="240" t="s">
        <v>109</v>
      </c>
      <c r="P1" s="241"/>
      <c r="Q1" s="246">
        <f>'Cost Breakdown'!F6</f>
        <v>126925.84824999998</v>
      </c>
      <c r="R1" s="247"/>
      <c r="T1" s="210"/>
      <c r="V1" s="217"/>
      <c r="W1" s="217"/>
      <c r="X1" s="217"/>
      <c r="Y1" s="217"/>
    </row>
    <row r="2" spans="1:25" s="21" customFormat="1" ht="50.25" customHeight="1" thickBot="1">
      <c r="A2" s="20"/>
      <c r="O2" s="242" t="s">
        <v>110</v>
      </c>
      <c r="P2" s="243"/>
      <c r="Q2" s="244" t="str">
        <f>'Power Breakdown'!G6&amp;" kWh "&amp;'Power Breakdown'!H6&amp;" W"</f>
        <v>2.87 kWh 865.125 W</v>
      </c>
      <c r="R2" s="245"/>
      <c r="T2" s="209"/>
      <c r="V2" s="218"/>
      <c r="W2" s="218"/>
      <c r="X2" s="218"/>
      <c r="Y2" s="218"/>
    </row>
    <row r="3" spans="5:21" ht="13.5" thickBot="1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5" ht="16.5" thickBot="1">
      <c r="B4" s="183" t="s">
        <v>113</v>
      </c>
      <c r="C4" s="184"/>
      <c r="D4" s="185"/>
      <c r="E4" s="1"/>
      <c r="F4" s="1"/>
      <c r="G4" s="1"/>
      <c r="H4" s="232" t="s">
        <v>99</v>
      </c>
      <c r="I4" s="238"/>
      <c r="J4" s="238"/>
      <c r="K4" s="239"/>
      <c r="L4" s="1"/>
      <c r="M4" s="1"/>
      <c r="N4" s="1"/>
      <c r="O4" s="1"/>
      <c r="P4" s="1"/>
      <c r="Q4" s="1"/>
      <c r="R4" s="1"/>
      <c r="S4" s="1"/>
      <c r="T4" s="1"/>
      <c r="U4" s="1"/>
      <c r="Y4">
        <v>0</v>
      </c>
    </row>
    <row r="5" spans="2:25" ht="13.5" thickBot="1">
      <c r="B5" s="23"/>
      <c r="C5" s="24"/>
      <c r="D5" s="25"/>
      <c r="E5" s="1"/>
      <c r="F5" s="1"/>
      <c r="G5" s="1"/>
      <c r="H5" s="6"/>
      <c r="I5" s="8"/>
      <c r="J5" s="8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Y5">
        <v>1</v>
      </c>
    </row>
    <row r="6" spans="2:25" ht="16.5" thickBot="1">
      <c r="B6" s="17"/>
      <c r="C6" s="186" t="s">
        <v>160</v>
      </c>
      <c r="D6" s="19"/>
      <c r="E6" s="1"/>
      <c r="F6" s="1"/>
      <c r="G6" s="1"/>
      <c r="H6" s="139">
        <v>0</v>
      </c>
      <c r="I6" s="129"/>
      <c r="J6" s="140">
        <v>4</v>
      </c>
      <c r="K6" s="9"/>
      <c r="L6" s="1"/>
      <c r="M6" s="1"/>
      <c r="N6" s="1"/>
      <c r="O6" s="1"/>
      <c r="P6" s="1"/>
      <c r="Q6" s="1"/>
      <c r="R6" s="1"/>
      <c r="S6" s="1"/>
      <c r="T6" s="1"/>
      <c r="U6" s="1"/>
      <c r="Y6">
        <v>2</v>
      </c>
    </row>
    <row r="7" spans="2:25" ht="13.5" thickBot="1">
      <c r="B7" s="20"/>
      <c r="C7" s="21"/>
      <c r="D7" s="22"/>
      <c r="E7" s="1"/>
      <c r="F7" s="1"/>
      <c r="G7" s="1"/>
      <c r="H7" s="10"/>
      <c r="I7" s="11"/>
      <c r="J7" s="11"/>
      <c r="K7" s="12"/>
      <c r="L7" s="1"/>
      <c r="M7" s="1"/>
      <c r="N7" s="1"/>
      <c r="O7" s="1"/>
      <c r="P7" s="1"/>
      <c r="Q7" s="1"/>
      <c r="R7" s="1"/>
      <c r="S7" s="1"/>
      <c r="T7" s="1"/>
      <c r="U7" s="1"/>
      <c r="Y7">
        <v>3</v>
      </c>
    </row>
    <row r="8" spans="5:25" ht="12.75">
      <c r="E8" s="1"/>
      <c r="F8" s="1"/>
      <c r="G8" s="1"/>
      <c r="H8" s="76"/>
      <c r="I8" s="76"/>
      <c r="J8" s="76"/>
      <c r="K8" s="76"/>
      <c r="L8" s="1"/>
      <c r="M8" s="1"/>
      <c r="N8" s="1"/>
      <c r="O8" s="1"/>
      <c r="P8" s="1"/>
      <c r="Q8" s="1"/>
      <c r="R8" s="1"/>
      <c r="S8" s="1"/>
      <c r="T8" s="1"/>
      <c r="U8" s="1"/>
      <c r="Y8">
        <v>4</v>
      </c>
    </row>
    <row r="9" spans="5:25" ht="13.5" thickBot="1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U9" s="1"/>
      <c r="Y9">
        <v>5</v>
      </c>
    </row>
    <row r="10" spans="5:25" ht="16.5" thickBot="1">
      <c r="E10" s="1"/>
      <c r="F10" s="251" t="s">
        <v>32</v>
      </c>
      <c r="G10" s="252"/>
      <c r="H10" s="252"/>
      <c r="I10" s="252"/>
      <c r="J10" s="252"/>
      <c r="K10" s="252"/>
      <c r="L10" s="252"/>
      <c r="M10" s="253"/>
      <c r="N10" s="75"/>
      <c r="O10" s="75"/>
      <c r="Y10">
        <v>6</v>
      </c>
    </row>
    <row r="11" spans="5:25" ht="13.5" thickBot="1">
      <c r="E11" s="1"/>
      <c r="F11" s="248" t="s">
        <v>83</v>
      </c>
      <c r="G11" s="228"/>
      <c r="H11" s="79" t="s">
        <v>27</v>
      </c>
      <c r="I11" s="79" t="s">
        <v>81</v>
      </c>
      <c r="J11" s="79" t="s">
        <v>51</v>
      </c>
      <c r="K11" s="228" t="s">
        <v>82</v>
      </c>
      <c r="L11" s="228"/>
      <c r="M11" s="250"/>
      <c r="N11" s="77"/>
      <c r="O11" s="77"/>
      <c r="Y11">
        <v>7</v>
      </c>
    </row>
    <row r="12" spans="5:25" ht="6.75" customHeight="1" thickBot="1">
      <c r="E12" s="1"/>
      <c r="F12" s="13"/>
      <c r="G12" s="83"/>
      <c r="H12" s="83"/>
      <c r="I12" s="83"/>
      <c r="J12" s="83"/>
      <c r="K12" s="83"/>
      <c r="L12" s="83"/>
      <c r="M12" s="84"/>
      <c r="N12" s="77"/>
      <c r="O12" s="77"/>
      <c r="Y12">
        <v>8</v>
      </c>
    </row>
    <row r="13" spans="2:25" ht="15.75" customHeight="1" thickBot="1">
      <c r="B13" s="232" t="s">
        <v>140</v>
      </c>
      <c r="C13" s="233"/>
      <c r="D13" s="234"/>
      <c r="E13" s="1"/>
      <c r="F13" s="6"/>
      <c r="G13" s="87">
        <v>1</v>
      </c>
      <c r="H13" s="8">
        <v>1</v>
      </c>
      <c r="I13" s="99">
        <f>LOOKUP(H13,DATABASE!$E$6:$E$17,DATABASE!$G$6:$G$17)</f>
        <v>28</v>
      </c>
      <c r="J13" s="141">
        <f>LOOKUP(H13,DATABASE!$E$6:$E$17,DATABASE!$H$6:$H$17)</f>
        <v>13</v>
      </c>
      <c r="K13" s="8"/>
      <c r="L13" s="87">
        <v>1</v>
      </c>
      <c r="M13" s="81"/>
      <c r="N13" s="1"/>
      <c r="O13" s="1"/>
      <c r="Y13">
        <v>9</v>
      </c>
    </row>
    <row r="14" spans="2:25" ht="15.75" customHeight="1" thickBot="1">
      <c r="B14" s="23"/>
      <c r="C14" s="24"/>
      <c r="D14" s="25"/>
      <c r="E14" s="1"/>
      <c r="F14" s="6"/>
      <c r="G14" s="87">
        <v>4</v>
      </c>
      <c r="H14" s="8">
        <v>3</v>
      </c>
      <c r="I14" s="99">
        <f>LOOKUP(H14,DATABASE!$E$6:$E$17,DATABASE!$G$6:$G$17)</f>
        <v>240</v>
      </c>
      <c r="J14" s="141">
        <f>LOOKUP(H14,DATABASE!$E$6:$E$17,DATABASE!$H$6:$H$17)</f>
        <v>45</v>
      </c>
      <c r="K14" s="8"/>
      <c r="L14" s="87">
        <v>5</v>
      </c>
      <c r="M14" s="81"/>
      <c r="N14" s="1"/>
      <c r="O14" s="1"/>
      <c r="Y14">
        <v>10</v>
      </c>
    </row>
    <row r="15" spans="2:25" ht="15.75" customHeight="1" thickBot="1">
      <c r="B15" s="17"/>
      <c r="C15" s="211">
        <v>3</v>
      </c>
      <c r="D15" s="19"/>
      <c r="E15" s="1"/>
      <c r="F15" s="6"/>
      <c r="G15" s="87">
        <v>0</v>
      </c>
      <c r="H15" s="8">
        <v>3</v>
      </c>
      <c r="I15" s="99">
        <f>LOOKUP(H15,DATABASE!$E$6:$E$17,DATABASE!$G$6:$G$17)</f>
        <v>240</v>
      </c>
      <c r="J15" s="141">
        <f>LOOKUP(H15,DATABASE!$E$6:$E$17,DATABASE!$H$6:$H$17)</f>
        <v>45</v>
      </c>
      <c r="K15" s="8"/>
      <c r="L15" s="87">
        <v>0</v>
      </c>
      <c r="M15" s="81"/>
      <c r="N15" s="1"/>
      <c r="O15" s="1"/>
      <c r="P15" s="5"/>
      <c r="Q15" s="5"/>
      <c r="R15" s="5"/>
      <c r="Y15">
        <v>11</v>
      </c>
    </row>
    <row r="16" spans="2:25" ht="15.75" customHeight="1" thickBot="1">
      <c r="B16" s="20"/>
      <c r="C16" s="21"/>
      <c r="D16" s="22"/>
      <c r="E16" s="1"/>
      <c r="F16" s="6"/>
      <c r="G16" s="87">
        <v>0</v>
      </c>
      <c r="H16" s="8">
        <v>4</v>
      </c>
      <c r="I16" s="99">
        <f>LOOKUP(H16,DATABASE!$E$6:$E$17,DATABASE!$G$6:$G$17)</f>
        <v>263</v>
      </c>
      <c r="J16" s="141">
        <f>LOOKUP(H16,DATABASE!$E$6:$E$17,DATABASE!$H$6:$H$17)</f>
        <v>85</v>
      </c>
      <c r="K16" s="8"/>
      <c r="L16" s="87">
        <v>0</v>
      </c>
      <c r="M16" s="81"/>
      <c r="N16" s="1"/>
      <c r="O16" s="1"/>
      <c r="P16" s="125"/>
      <c r="Q16" s="125"/>
      <c r="R16" s="126"/>
      <c r="S16" s="1"/>
      <c r="T16" s="1"/>
      <c r="U16" s="1"/>
      <c r="Y16">
        <v>12</v>
      </c>
    </row>
    <row r="17" spans="2:25" ht="15.75" customHeight="1" thickBot="1">
      <c r="B17" s="235" t="s">
        <v>147</v>
      </c>
      <c r="C17" s="236"/>
      <c r="D17" s="237"/>
      <c r="E17" s="1"/>
      <c r="F17" s="6"/>
      <c r="G17" s="87">
        <v>0</v>
      </c>
      <c r="H17" s="8">
        <v>5</v>
      </c>
      <c r="I17" s="99">
        <f>LOOKUP(H17,DATABASE!$E$6:$E$17,DATABASE!$G$6:$G$17)</f>
        <v>19.5</v>
      </c>
      <c r="J17" s="141">
        <f>LOOKUP(H17,DATABASE!$E$6:$E$17,DATABASE!$H$6:$H$17)</f>
        <v>14</v>
      </c>
      <c r="K17" s="8"/>
      <c r="L17" s="87">
        <v>0</v>
      </c>
      <c r="M17" s="81"/>
      <c r="N17" s="1"/>
      <c r="O17" s="1"/>
      <c r="P17" s="125"/>
      <c r="Q17" s="125"/>
      <c r="R17" s="125"/>
      <c r="S17" s="1"/>
      <c r="T17" s="1"/>
      <c r="U17" s="1"/>
      <c r="Y17">
        <v>13</v>
      </c>
    </row>
    <row r="18" spans="5:25" ht="17.25" customHeight="1">
      <c r="E18" s="1"/>
      <c r="F18" s="6"/>
      <c r="G18" s="87">
        <v>0</v>
      </c>
      <c r="H18" s="8">
        <v>6</v>
      </c>
      <c r="I18" s="99">
        <f>LOOKUP(H18,DATABASE!$E$6:$E$17,DATABASE!$G$6:$G$17)</f>
        <v>360</v>
      </c>
      <c r="J18" s="141">
        <f>LOOKUP(H18,DATABASE!$E$6:$E$17,DATABASE!$H$6:$H$17)</f>
        <v>52</v>
      </c>
      <c r="K18" s="8"/>
      <c r="L18" s="87">
        <v>0</v>
      </c>
      <c r="M18" s="81"/>
      <c r="N18" s="1"/>
      <c r="O18" s="1"/>
      <c r="P18" s="125"/>
      <c r="Q18" s="125"/>
      <c r="R18" s="125"/>
      <c r="S18" s="1"/>
      <c r="T18" s="98"/>
      <c r="U18" s="1"/>
      <c r="Y18">
        <v>14</v>
      </c>
    </row>
    <row r="19" spans="5:25" ht="6.75" customHeight="1" thickBot="1">
      <c r="E19" s="1"/>
      <c r="F19" s="10"/>
      <c r="G19" s="11"/>
      <c r="H19" s="11"/>
      <c r="I19" s="11"/>
      <c r="J19" s="11"/>
      <c r="K19" s="11"/>
      <c r="L19" s="85"/>
      <c r="M19" s="82"/>
      <c r="N19" s="1"/>
      <c r="O19" s="1"/>
      <c r="P19" s="125"/>
      <c r="Q19" s="125"/>
      <c r="R19" s="125"/>
      <c r="S19" s="1"/>
      <c r="T19" s="1"/>
      <c r="U19" s="1"/>
      <c r="Y19">
        <v>15</v>
      </c>
    </row>
    <row r="20" spans="5:25" ht="15" customHeight="1" thickBot="1">
      <c r="E20" s="1"/>
      <c r="F20" s="75"/>
      <c r="G20" s="75"/>
      <c r="H20" s="75"/>
      <c r="I20" s="226" t="s">
        <v>86</v>
      </c>
      <c r="J20" s="227"/>
      <c r="K20" s="227"/>
      <c r="L20" s="227"/>
      <c r="M20" s="249"/>
      <c r="N20" s="1"/>
      <c r="O20" s="1"/>
      <c r="P20" s="125"/>
      <c r="Q20" s="127"/>
      <c r="R20" s="125"/>
      <c r="S20" s="1"/>
      <c r="T20" s="1"/>
      <c r="U20" s="1"/>
      <c r="Y20">
        <v>16</v>
      </c>
    </row>
    <row r="21" spans="5:25" ht="15" customHeight="1">
      <c r="E21" s="1"/>
      <c r="F21" s="35"/>
      <c r="G21" s="35"/>
      <c r="H21" s="35"/>
      <c r="I21" s="35"/>
      <c r="J21" s="35"/>
      <c r="K21" s="35"/>
      <c r="L21" s="97"/>
      <c r="M21" s="97"/>
      <c r="N21" s="1"/>
      <c r="O21" s="1"/>
      <c r="P21" s="125"/>
      <c r="Q21" s="125"/>
      <c r="R21" s="125"/>
      <c r="S21" s="1"/>
      <c r="T21" s="1"/>
      <c r="U21" s="1"/>
      <c r="Y21">
        <v>17</v>
      </c>
    </row>
    <row r="22" spans="5:25" ht="17.25" customHeight="1" thickBot="1">
      <c r="E22" s="1"/>
      <c r="F22" s="1"/>
      <c r="G22" s="1"/>
      <c r="H22" s="1"/>
      <c r="I22" s="1"/>
      <c r="J22" s="1"/>
      <c r="K22" s="1"/>
      <c r="L22" s="1"/>
      <c r="M22" s="1"/>
      <c r="N22" s="75"/>
      <c r="O22" s="75"/>
      <c r="P22" s="75"/>
      <c r="Q22" s="75"/>
      <c r="R22" s="75"/>
      <c r="S22" s="75"/>
      <c r="T22" s="75"/>
      <c r="U22" s="75"/>
      <c r="Y22">
        <v>18</v>
      </c>
    </row>
    <row r="23" spans="5:25" ht="16.5" thickBot="1">
      <c r="E23" s="1"/>
      <c r="F23" s="232" t="s">
        <v>34</v>
      </c>
      <c r="G23" s="233"/>
      <c r="H23" s="233"/>
      <c r="I23" s="233"/>
      <c r="J23" s="233"/>
      <c r="K23" s="233"/>
      <c r="L23" s="233"/>
      <c r="M23" s="234"/>
      <c r="N23" s="88"/>
      <c r="O23" s="77"/>
      <c r="P23" s="128"/>
      <c r="Q23" s="128"/>
      <c r="R23" s="128"/>
      <c r="S23" s="77"/>
      <c r="T23" s="77"/>
      <c r="U23" s="77"/>
      <c r="Y23">
        <v>19</v>
      </c>
    </row>
    <row r="24" spans="5:25" ht="16.5" thickBot="1">
      <c r="E24" s="1"/>
      <c r="F24" s="248" t="s">
        <v>83</v>
      </c>
      <c r="G24" s="228"/>
      <c r="H24" s="73" t="s">
        <v>27</v>
      </c>
      <c r="I24" s="78"/>
      <c r="J24" s="73" t="s">
        <v>81</v>
      </c>
      <c r="K24" s="228" t="s">
        <v>14</v>
      </c>
      <c r="L24" s="228"/>
      <c r="M24" s="95"/>
      <c r="N24" s="88"/>
      <c r="O24" s="77"/>
      <c r="P24" s="128"/>
      <c r="Q24" s="1"/>
      <c r="R24" s="128"/>
      <c r="S24" s="77"/>
      <c r="T24" s="77"/>
      <c r="U24" s="77"/>
      <c r="Y24">
        <v>20</v>
      </c>
    </row>
    <row r="25" spans="5:21" ht="7.5" customHeight="1">
      <c r="E25" s="1"/>
      <c r="F25" s="13"/>
      <c r="G25" s="83"/>
      <c r="H25" s="83"/>
      <c r="I25" s="83"/>
      <c r="J25" s="83"/>
      <c r="K25" s="254"/>
      <c r="L25" s="254"/>
      <c r="M25" s="255"/>
      <c r="N25" s="76"/>
      <c r="O25" s="1"/>
      <c r="P25" s="1"/>
      <c r="Q25" s="1"/>
      <c r="R25" s="1"/>
      <c r="S25" s="1"/>
      <c r="T25" s="1"/>
      <c r="U25" s="1"/>
    </row>
    <row r="26" spans="5:21" ht="15" customHeight="1">
      <c r="E26" s="1"/>
      <c r="F26" s="6"/>
      <c r="G26" s="87">
        <v>1</v>
      </c>
      <c r="H26" s="8">
        <v>1</v>
      </c>
      <c r="I26" s="8"/>
      <c r="J26" s="99">
        <f>LOOKUP(H26,DATABASE!$E$23:$E$32,DATABASE!$G$23:$G$32)</f>
        <v>1329.74</v>
      </c>
      <c r="K26" s="142">
        <f>LOOKUP(H26,DATABASE!$E$23:$E$32,DATABASE!$H$23:$H$32)</f>
        <v>500</v>
      </c>
      <c r="L26" s="113"/>
      <c r="M26" s="100"/>
      <c r="N26" s="1"/>
      <c r="O26" s="1"/>
      <c r="P26" s="1"/>
      <c r="Q26" s="1"/>
      <c r="R26" s="1"/>
      <c r="S26" s="1"/>
      <c r="T26" s="1"/>
      <c r="U26" s="1"/>
    </row>
    <row r="27" spans="5:21" ht="15" customHeight="1">
      <c r="E27" s="1"/>
      <c r="F27" s="6"/>
      <c r="G27" s="87">
        <v>1</v>
      </c>
      <c r="H27" s="8">
        <v>3</v>
      </c>
      <c r="I27" s="8"/>
      <c r="J27" s="99">
        <f>LOOKUP(H27,DATABASE!$E$23:$E$32,DATABASE!$G$23:$G$32)</f>
        <v>487.56</v>
      </c>
      <c r="K27" s="142">
        <f>LOOKUP(H27,DATABASE!$E$23:$E$32,DATABASE!$H$23:$H$32)</f>
        <v>210</v>
      </c>
      <c r="L27" s="113"/>
      <c r="M27" s="100"/>
      <c r="N27" s="1"/>
      <c r="O27" s="1"/>
      <c r="P27" s="1"/>
      <c r="Q27" s="1"/>
      <c r="R27" s="1"/>
      <c r="S27" s="1"/>
      <c r="T27" s="1"/>
      <c r="U27" s="1"/>
    </row>
    <row r="28" spans="5:21" ht="15" customHeight="1">
      <c r="E28" s="1"/>
      <c r="F28" s="6"/>
      <c r="G28" s="87">
        <v>1</v>
      </c>
      <c r="H28" s="8">
        <v>2</v>
      </c>
      <c r="I28" s="8"/>
      <c r="J28" s="99">
        <f>LOOKUP(H28,DATABASE!$E$23:$E$32,DATABASE!$G$23:$G$32)</f>
        <v>221.61</v>
      </c>
      <c r="K28" s="142">
        <f>LOOKUP(H28,DATABASE!$E$23:$E$32,DATABASE!$H$23:$H$32)</f>
        <v>100</v>
      </c>
      <c r="L28" s="113"/>
      <c r="M28" s="100"/>
      <c r="N28" s="1"/>
      <c r="O28" s="1"/>
      <c r="P28" s="1"/>
      <c r="Q28" s="1"/>
      <c r="R28" s="1"/>
      <c r="S28" s="1"/>
      <c r="T28" s="1"/>
      <c r="U28" s="1"/>
    </row>
    <row r="29" spans="5:21" ht="15" customHeight="1">
      <c r="E29" s="1"/>
      <c r="F29" s="6"/>
      <c r="G29" s="87">
        <v>0</v>
      </c>
      <c r="H29" s="8">
        <v>4</v>
      </c>
      <c r="I29" s="8"/>
      <c r="J29" s="99">
        <f>LOOKUP(H29,DATABASE!$E$23:$E$32,DATABASE!$G$23:$G$32)</f>
        <v>1014.3</v>
      </c>
      <c r="K29" s="142">
        <f>LOOKUP(H29,DATABASE!$E$23:$E$32,DATABASE!$H$23:$H$32)</f>
        <v>500</v>
      </c>
      <c r="L29" s="113"/>
      <c r="M29" s="100"/>
      <c r="N29" s="1"/>
      <c r="O29" s="1"/>
      <c r="P29" s="1"/>
      <c r="Q29" s="1"/>
      <c r="R29" s="1"/>
      <c r="S29" s="1"/>
      <c r="T29" s="1"/>
      <c r="U29" s="1"/>
    </row>
    <row r="30" spans="5:21" ht="9" customHeight="1" thickBot="1">
      <c r="E30" s="1"/>
      <c r="F30" s="10"/>
      <c r="G30" s="96">
        <v>1</v>
      </c>
      <c r="H30" s="11"/>
      <c r="I30" s="11"/>
      <c r="J30" s="11"/>
      <c r="K30" s="11"/>
      <c r="L30" s="85"/>
      <c r="M30" s="82"/>
      <c r="N30" s="1"/>
      <c r="O30" s="1"/>
      <c r="P30" s="1"/>
      <c r="Q30" s="1"/>
      <c r="R30" s="1"/>
      <c r="S30" s="1"/>
      <c r="T30" s="1"/>
      <c r="U30" s="1"/>
    </row>
    <row r="31" spans="5:21" ht="13.5" thickBot="1">
      <c r="E31" s="1"/>
      <c r="F31" s="1"/>
      <c r="G31" s="1"/>
      <c r="H31" s="1"/>
      <c r="I31" s="226" t="s">
        <v>87</v>
      </c>
      <c r="J31" s="227"/>
      <c r="K31" s="227"/>
      <c r="L31" s="227"/>
      <c r="M31" s="249"/>
      <c r="N31" s="1"/>
      <c r="O31" s="1"/>
      <c r="P31" s="1"/>
      <c r="Q31" s="1"/>
      <c r="R31" s="1"/>
      <c r="S31" s="1"/>
      <c r="T31" s="1"/>
      <c r="U31" s="1"/>
    </row>
    <row r="32" spans="5:19" ht="12.7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5:19" ht="13.5" thickBot="1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5:19" ht="16.5" thickBot="1">
      <c r="E34" s="1"/>
      <c r="F34" s="232" t="s">
        <v>40</v>
      </c>
      <c r="G34" s="233"/>
      <c r="H34" s="233"/>
      <c r="I34" s="233"/>
      <c r="J34" s="233"/>
      <c r="K34" s="233"/>
      <c r="L34" s="233"/>
      <c r="M34" s="234"/>
      <c r="N34" s="1"/>
      <c r="O34" s="1"/>
      <c r="P34" s="1"/>
      <c r="Q34" s="1"/>
      <c r="R34" s="1"/>
      <c r="S34" s="1"/>
    </row>
    <row r="35" spans="5:19" ht="14.25" customHeight="1" thickBot="1">
      <c r="E35" s="1"/>
      <c r="F35" s="248" t="s">
        <v>83</v>
      </c>
      <c r="G35" s="228"/>
      <c r="H35" s="79" t="s">
        <v>27</v>
      </c>
      <c r="I35" s="115"/>
      <c r="J35" s="79" t="s">
        <v>81</v>
      </c>
      <c r="K35" s="228" t="s">
        <v>85</v>
      </c>
      <c r="L35" s="228"/>
      <c r="M35" s="116"/>
      <c r="N35" s="1"/>
      <c r="O35" s="1"/>
      <c r="P35" s="1"/>
      <c r="Q35" s="1"/>
      <c r="R35" s="1"/>
      <c r="S35" s="1"/>
    </row>
    <row r="36" spans="6:13" ht="12" customHeight="1">
      <c r="F36" s="17"/>
      <c r="G36" s="18"/>
      <c r="H36" s="18"/>
      <c r="I36" s="18"/>
      <c r="J36" s="18"/>
      <c r="K36" s="18"/>
      <c r="L36" s="18"/>
      <c r="M36" s="19"/>
    </row>
    <row r="37" spans="6:13" ht="15.75">
      <c r="F37" s="31"/>
      <c r="G37" s="87">
        <v>1</v>
      </c>
      <c r="H37" s="8">
        <v>4</v>
      </c>
      <c r="I37" s="18"/>
      <c r="J37" s="143">
        <f>LOOKUP(H37,DATABASE!E39:E50,DATABASE!G39:G50)</f>
        <v>9192</v>
      </c>
      <c r="K37" s="257">
        <f>LOOKUP(H37,DATABASE!E39:E50,DATABASE!I39:I50)</f>
        <v>102.125</v>
      </c>
      <c r="L37" s="257"/>
      <c r="M37" s="19"/>
    </row>
    <row r="38" spans="6:13" ht="11.25" customHeight="1" thickBot="1">
      <c r="F38" s="17"/>
      <c r="G38" s="114">
        <v>4</v>
      </c>
      <c r="H38" s="18"/>
      <c r="I38" s="18"/>
      <c r="J38" s="18"/>
      <c r="K38" s="18"/>
      <c r="L38" s="18"/>
      <c r="M38" s="19"/>
    </row>
    <row r="39" spans="6:13" ht="15.75" thickBot="1">
      <c r="F39" s="124" t="s">
        <v>33</v>
      </c>
      <c r="G39" s="122"/>
      <c r="H39" s="123"/>
      <c r="I39" s="123" t="s">
        <v>35</v>
      </c>
      <c r="J39" s="30"/>
      <c r="K39" s="115"/>
      <c r="L39" s="115"/>
      <c r="M39" s="56"/>
    </row>
    <row r="40" spans="6:13" ht="15.75" thickBot="1">
      <c r="F40" s="117"/>
      <c r="G40" s="118"/>
      <c r="H40" s="119"/>
      <c r="I40" s="226" t="s">
        <v>88</v>
      </c>
      <c r="J40" s="227"/>
      <c r="K40" s="227"/>
      <c r="L40" s="227"/>
      <c r="M40" s="249"/>
    </row>
    <row r="42" ht="13.5" thickBot="1"/>
    <row r="43" spans="6:13" ht="16.5" thickBot="1">
      <c r="F43" s="232" t="s">
        <v>4</v>
      </c>
      <c r="G43" s="233"/>
      <c r="H43" s="233"/>
      <c r="I43" s="233"/>
      <c r="J43" s="233"/>
      <c r="K43" s="233"/>
      <c r="L43" s="233"/>
      <c r="M43" s="234"/>
    </row>
    <row r="44" spans="6:13" ht="16.5" thickBot="1">
      <c r="F44" s="248" t="s">
        <v>83</v>
      </c>
      <c r="G44" s="228"/>
      <c r="H44" s="79" t="s">
        <v>27</v>
      </c>
      <c r="I44" s="115"/>
      <c r="J44" s="228" t="s">
        <v>81</v>
      </c>
      <c r="K44" s="228"/>
      <c r="L44" s="228"/>
      <c r="M44" s="116"/>
    </row>
    <row r="45" spans="6:13" ht="12.75">
      <c r="F45" s="23"/>
      <c r="G45" s="24"/>
      <c r="H45" s="24"/>
      <c r="I45" s="24"/>
      <c r="J45" s="24"/>
      <c r="K45" s="24"/>
      <c r="L45" s="24"/>
      <c r="M45" s="25"/>
    </row>
    <row r="46" spans="6:13" ht="15.75">
      <c r="F46" s="31"/>
      <c r="G46" s="87">
        <v>1</v>
      </c>
      <c r="H46" s="8">
        <v>2</v>
      </c>
      <c r="I46" s="18"/>
      <c r="J46" s="256">
        <f>LOOKUP(H46,DATABASE!E57:E63,DATABASE!G57:G63)</f>
        <v>232</v>
      </c>
      <c r="K46" s="256"/>
      <c r="L46" s="256"/>
      <c r="M46" s="19"/>
    </row>
    <row r="47" spans="6:13" ht="13.5" thickBot="1">
      <c r="F47" s="20"/>
      <c r="G47" s="120"/>
      <c r="H47" s="21"/>
      <c r="I47" s="21"/>
      <c r="J47" s="21"/>
      <c r="K47" s="21"/>
      <c r="L47" s="21"/>
      <c r="M47" s="22"/>
    </row>
    <row r="48" spans="6:13" ht="13.5" thickBot="1">
      <c r="F48" s="32"/>
      <c r="G48" s="121"/>
      <c r="H48" s="32"/>
      <c r="I48" s="226" t="s">
        <v>89</v>
      </c>
      <c r="J48" s="227"/>
      <c r="K48" s="227"/>
      <c r="L48" s="227"/>
      <c r="M48" s="249"/>
    </row>
    <row r="49" spans="6:13" ht="15">
      <c r="F49" s="117"/>
      <c r="G49" s="118"/>
      <c r="H49" s="119"/>
      <c r="I49" s="119"/>
      <c r="J49" s="119"/>
      <c r="K49" s="32"/>
      <c r="L49" s="32"/>
      <c r="M49" s="32"/>
    </row>
    <row r="50" ht="13.5" thickBot="1"/>
    <row r="51" spans="6:13" ht="16.5" thickBot="1">
      <c r="F51" s="232" t="s">
        <v>67</v>
      </c>
      <c r="G51" s="233"/>
      <c r="H51" s="233"/>
      <c r="I51" s="233"/>
      <c r="J51" s="233"/>
      <c r="K51" s="233"/>
      <c r="L51" s="233"/>
      <c r="M51" s="234"/>
    </row>
    <row r="52" spans="6:13" ht="13.5" thickBot="1">
      <c r="F52" s="248" t="s">
        <v>83</v>
      </c>
      <c r="G52" s="228"/>
      <c r="H52" s="79" t="s">
        <v>27</v>
      </c>
      <c r="I52" s="162" t="s">
        <v>81</v>
      </c>
      <c r="J52" s="162" t="s">
        <v>85</v>
      </c>
      <c r="K52" s="228" t="s">
        <v>82</v>
      </c>
      <c r="L52" s="228"/>
      <c r="M52" s="250"/>
    </row>
    <row r="53" spans="6:13" ht="12.75">
      <c r="F53" s="17"/>
      <c r="G53" s="18"/>
      <c r="H53" s="18"/>
      <c r="I53" s="18"/>
      <c r="J53" s="163"/>
      <c r="K53" s="18"/>
      <c r="L53" s="18"/>
      <c r="M53" s="19"/>
    </row>
    <row r="54" spans="6:13" ht="15.75">
      <c r="F54" s="31"/>
      <c r="G54" s="87">
        <v>1</v>
      </c>
      <c r="H54" s="8">
        <v>1</v>
      </c>
      <c r="I54" s="144">
        <f>LOOKUP(H54,DATABASE!E69:E79,DATABASE!G69:G79)</f>
        <v>640</v>
      </c>
      <c r="J54" s="164">
        <f>LOOKUP(H54,DATABASE!E69:E79,DATABASE!H69:H79)</f>
        <v>466</v>
      </c>
      <c r="K54" s="159"/>
      <c r="L54" s="87">
        <v>2</v>
      </c>
      <c r="M54" s="19"/>
    </row>
    <row r="55" spans="6:13" ht="15.75">
      <c r="F55" s="31"/>
      <c r="G55" s="87">
        <v>0</v>
      </c>
      <c r="H55" s="8">
        <v>2</v>
      </c>
      <c r="I55" s="144">
        <f>LOOKUP(H55,DATABASE!E69:E79,DATABASE!G69:G79)</f>
        <v>1440</v>
      </c>
      <c r="J55" s="164">
        <f>LOOKUP(H55,DATABASE!E69:E79,DATABASE!H69:H79)</f>
        <v>745</v>
      </c>
      <c r="K55" s="160"/>
      <c r="L55" s="87">
        <v>0</v>
      </c>
      <c r="M55" s="19"/>
    </row>
    <row r="56" spans="6:13" ht="15.75">
      <c r="F56" s="31"/>
      <c r="G56" s="87">
        <v>0</v>
      </c>
      <c r="H56" s="8">
        <v>3</v>
      </c>
      <c r="I56" s="144">
        <f>LOOKUP(H56,DATABASE!E69:E79,DATABASE!G69:G79)</f>
        <v>480</v>
      </c>
      <c r="J56" s="164">
        <f>LOOKUP(H56,DATABASE!E69:E79,DATABASE!H69:H79)</f>
        <v>560</v>
      </c>
      <c r="K56" s="160"/>
      <c r="L56" s="87">
        <v>0</v>
      </c>
      <c r="M56" s="19"/>
    </row>
    <row r="57" spans="6:13" ht="13.5" thickBot="1">
      <c r="F57" s="20"/>
      <c r="G57" s="120"/>
      <c r="H57" s="21"/>
      <c r="I57" s="21"/>
      <c r="J57" s="21"/>
      <c r="K57" s="21"/>
      <c r="L57" s="21"/>
      <c r="M57" s="22"/>
    </row>
    <row r="58" spans="9:13" ht="13.5" thickBot="1">
      <c r="I58" s="226" t="s">
        <v>90</v>
      </c>
      <c r="J58" s="227"/>
      <c r="K58" s="227"/>
      <c r="L58" s="227"/>
      <c r="M58" s="249"/>
    </row>
    <row r="60" ht="13.5" thickBot="1"/>
    <row r="61" spans="6:13" ht="16.5" thickBot="1">
      <c r="F61" s="232" t="s">
        <v>44</v>
      </c>
      <c r="G61" s="233"/>
      <c r="H61" s="233"/>
      <c r="I61" s="233"/>
      <c r="J61" s="233"/>
      <c r="K61" s="233"/>
      <c r="L61" s="233"/>
      <c r="M61" s="234"/>
    </row>
    <row r="62" spans="6:13" ht="13.5" thickBot="1">
      <c r="F62" s="248" t="s">
        <v>83</v>
      </c>
      <c r="G62" s="228"/>
      <c r="H62" s="79" t="s">
        <v>27</v>
      </c>
      <c r="I62" s="162" t="s">
        <v>81</v>
      </c>
      <c r="J62" s="161" t="s">
        <v>85</v>
      </c>
      <c r="K62" s="228" t="s">
        <v>82</v>
      </c>
      <c r="L62" s="228"/>
      <c r="M62" s="250"/>
    </row>
    <row r="63" spans="6:13" ht="25.5" customHeight="1">
      <c r="F63" s="23"/>
      <c r="G63" s="230" t="s">
        <v>45</v>
      </c>
      <c r="H63" s="230"/>
      <c r="I63" s="230"/>
      <c r="J63" s="24"/>
      <c r="K63" s="24"/>
      <c r="L63" s="24"/>
      <c r="M63" s="25"/>
    </row>
    <row r="64" spans="6:13" ht="15" customHeight="1">
      <c r="F64" s="31"/>
      <c r="G64" s="87">
        <v>1</v>
      </c>
      <c r="H64" s="8">
        <v>3</v>
      </c>
      <c r="I64" s="165">
        <f>LOOKUP(H64,DATABASE!E87:E93,DATABASE!G87:G93)</f>
        <v>1543.68</v>
      </c>
      <c r="J64" s="159">
        <f>LOOKUP(H64,DATABASE!E87:E93,DATABASE!H87:H93)</f>
        <v>44</v>
      </c>
      <c r="K64" s="160"/>
      <c r="L64" s="87">
        <v>2</v>
      </c>
      <c r="M64" s="19"/>
    </row>
    <row r="65" spans="6:13" ht="10.5" customHeight="1">
      <c r="F65" s="31"/>
      <c r="G65" s="38"/>
      <c r="H65" s="8"/>
      <c r="I65" s="18"/>
      <c r="J65" s="145"/>
      <c r="K65" s="141"/>
      <c r="L65" s="141"/>
      <c r="M65" s="19"/>
    </row>
    <row r="66" spans="6:13" ht="15.75">
      <c r="F66" s="31"/>
      <c r="G66" s="225" t="s">
        <v>42</v>
      </c>
      <c r="H66" s="225"/>
      <c r="I66" s="225"/>
      <c r="J66" s="145"/>
      <c r="K66" s="141"/>
      <c r="L66" s="141"/>
      <c r="M66" s="19"/>
    </row>
    <row r="67" spans="6:13" ht="15" customHeight="1">
      <c r="F67" s="31"/>
      <c r="G67" s="87">
        <v>0</v>
      </c>
      <c r="H67" s="8">
        <v>1</v>
      </c>
      <c r="I67" s="165">
        <f>LOOKUP(H67,DATABASE!E97:E103,DATABASE!G97:G103)</f>
        <v>400</v>
      </c>
      <c r="J67" s="159">
        <f>LOOKUP(H67,DATABASE!E97:E103,DATABASE!H97:H103)</f>
        <v>8</v>
      </c>
      <c r="K67" s="160"/>
      <c r="L67" s="87">
        <v>0</v>
      </c>
      <c r="M67" s="19"/>
    </row>
    <row r="68" spans="6:13" ht="13.5" thickBot="1">
      <c r="F68" s="20"/>
      <c r="G68" s="120"/>
      <c r="H68" s="21"/>
      <c r="I68" s="21"/>
      <c r="J68" s="21"/>
      <c r="K68" s="21"/>
      <c r="L68" s="21"/>
      <c r="M68" s="22"/>
    </row>
    <row r="69" spans="6:13" ht="15.75" thickBot="1">
      <c r="F69" s="117"/>
      <c r="G69" s="118"/>
      <c r="H69" s="119"/>
      <c r="I69" s="226" t="s">
        <v>91</v>
      </c>
      <c r="J69" s="227"/>
      <c r="K69" s="227"/>
      <c r="L69" s="227"/>
      <c r="M69" s="249"/>
    </row>
    <row r="71" ht="13.5" thickBot="1"/>
    <row r="72" spans="6:13" ht="16.5" thickBot="1">
      <c r="F72" s="232" t="s">
        <v>104</v>
      </c>
      <c r="G72" s="233"/>
      <c r="H72" s="233"/>
      <c r="I72" s="233"/>
      <c r="J72" s="233"/>
      <c r="K72" s="233"/>
      <c r="L72" s="233"/>
      <c r="M72" s="234"/>
    </row>
    <row r="73" spans="6:13" ht="16.5" thickBot="1">
      <c r="F73" s="248" t="s">
        <v>83</v>
      </c>
      <c r="G73" s="228"/>
      <c r="H73" s="79" t="s">
        <v>27</v>
      </c>
      <c r="I73" s="115"/>
      <c r="J73" s="79" t="s">
        <v>81</v>
      </c>
      <c r="K73" s="228" t="s">
        <v>105</v>
      </c>
      <c r="L73" s="228"/>
      <c r="M73" s="116"/>
    </row>
    <row r="74" spans="6:13" ht="15.75">
      <c r="F74" s="23"/>
      <c r="G74" s="230"/>
      <c r="H74" s="230"/>
      <c r="I74" s="230"/>
      <c r="J74" s="24"/>
      <c r="K74" s="24"/>
      <c r="L74" s="24"/>
      <c r="M74" s="25"/>
    </row>
    <row r="75" spans="6:13" ht="15.75">
      <c r="F75" s="31"/>
      <c r="G75" s="87">
        <v>0</v>
      </c>
      <c r="H75" s="8">
        <v>1</v>
      </c>
      <c r="I75" s="18"/>
      <c r="J75" s="143">
        <f>LOOKUP(H75,DATABASE!E111:E118,DATABASE!G111:G118)</f>
        <v>400</v>
      </c>
      <c r="K75" s="229" t="str">
        <f>LOOKUP(H75,DATABASE!E111:E118,DATABASE!H111:H118)</f>
        <v>28 Liters</v>
      </c>
      <c r="L75" s="229"/>
      <c r="M75" s="19"/>
    </row>
    <row r="76" spans="6:13" ht="13.5" thickBot="1">
      <c r="F76" s="20"/>
      <c r="G76" s="120"/>
      <c r="H76" s="21"/>
      <c r="I76" s="21"/>
      <c r="J76" s="21"/>
      <c r="K76" s="21"/>
      <c r="L76" s="21"/>
      <c r="M76" s="22"/>
    </row>
    <row r="77" spans="6:13" ht="15.75" thickBot="1">
      <c r="F77" s="117"/>
      <c r="G77" s="118"/>
      <c r="H77" s="119"/>
      <c r="I77" s="226" t="s">
        <v>101</v>
      </c>
      <c r="J77" s="227"/>
      <c r="K77" s="227"/>
      <c r="L77" s="227"/>
      <c r="M77" s="249"/>
    </row>
    <row r="79" ht="13.5" thickBot="1"/>
    <row r="80" spans="6:13" ht="16.5" thickBot="1">
      <c r="F80" s="232" t="s">
        <v>24</v>
      </c>
      <c r="G80" s="233"/>
      <c r="H80" s="233"/>
      <c r="I80" s="233"/>
      <c r="J80" s="233"/>
      <c r="K80" s="233"/>
      <c r="L80" s="233"/>
      <c r="M80" s="234"/>
    </row>
    <row r="81" spans="6:13" ht="16.5" thickBot="1">
      <c r="F81" s="248" t="s">
        <v>83</v>
      </c>
      <c r="G81" s="228"/>
      <c r="H81" s="79" t="s">
        <v>27</v>
      </c>
      <c r="I81" s="115"/>
      <c r="J81" s="79" t="s">
        <v>81</v>
      </c>
      <c r="K81" s="228"/>
      <c r="L81" s="228"/>
      <c r="M81" s="116"/>
    </row>
    <row r="82" spans="6:13" ht="15.75">
      <c r="F82" s="23"/>
      <c r="G82" s="230"/>
      <c r="H82" s="230"/>
      <c r="I82" s="230"/>
      <c r="J82" s="24"/>
      <c r="K82" s="24"/>
      <c r="L82" s="24"/>
      <c r="M82" s="25"/>
    </row>
    <row r="83" spans="6:13" ht="15.75">
      <c r="F83" s="31"/>
      <c r="G83" s="87">
        <v>0</v>
      </c>
      <c r="H83" s="8">
        <v>2</v>
      </c>
      <c r="I83" s="18"/>
      <c r="J83" s="143">
        <f>LOOKUP(H83,DATABASE!E123:E133,DATABASE!G123:G133)</f>
        <v>71.6</v>
      </c>
      <c r="K83" s="229"/>
      <c r="L83" s="229"/>
      <c r="M83" s="19"/>
    </row>
    <row r="84" spans="6:13" ht="15.75">
      <c r="F84" s="31"/>
      <c r="G84" s="87">
        <v>0</v>
      </c>
      <c r="H84" s="8">
        <v>6</v>
      </c>
      <c r="I84" s="18"/>
      <c r="J84" s="143">
        <f>LOOKUP(H84,DATABASE!E123:E133,DATABASE!G123:G133)</f>
        <v>0</v>
      </c>
      <c r="K84" s="229"/>
      <c r="L84" s="229"/>
      <c r="M84" s="19"/>
    </row>
    <row r="85" spans="6:13" ht="13.5" thickBot="1">
      <c r="F85" s="20"/>
      <c r="G85" s="120"/>
      <c r="H85" s="21"/>
      <c r="I85" s="21"/>
      <c r="J85" s="21"/>
      <c r="K85" s="21"/>
      <c r="L85" s="21"/>
      <c r="M85" s="22"/>
    </row>
    <row r="86" spans="6:13" ht="15.75" thickBot="1">
      <c r="F86" s="117"/>
      <c r="G86" s="118"/>
      <c r="H86" s="119"/>
      <c r="I86" s="226" t="s">
        <v>101</v>
      </c>
      <c r="J86" s="227"/>
      <c r="K86" s="227"/>
      <c r="L86" s="227"/>
      <c r="M86" s="249"/>
    </row>
    <row r="88" ht="13.5" thickBot="1"/>
    <row r="89" spans="6:13" ht="16.5" thickBot="1">
      <c r="F89" s="232" t="s">
        <v>72</v>
      </c>
      <c r="G89" s="233"/>
      <c r="H89" s="233"/>
      <c r="I89" s="233"/>
      <c r="J89" s="233"/>
      <c r="K89" s="233"/>
      <c r="L89" s="233"/>
      <c r="M89" s="234"/>
    </row>
    <row r="90" spans="6:13" ht="13.5" thickBot="1">
      <c r="F90" s="248" t="s">
        <v>83</v>
      </c>
      <c r="G90" s="228"/>
      <c r="H90" s="79" t="s">
        <v>27</v>
      </c>
      <c r="I90" s="162" t="s">
        <v>81</v>
      </c>
      <c r="J90" s="79" t="s">
        <v>85</v>
      </c>
      <c r="K90" s="228" t="s">
        <v>82</v>
      </c>
      <c r="L90" s="228"/>
      <c r="M90" s="250"/>
    </row>
    <row r="91" spans="6:13" ht="15.75">
      <c r="F91" s="17"/>
      <c r="G91" s="225"/>
      <c r="H91" s="225"/>
      <c r="I91" s="225"/>
      <c r="J91" s="18"/>
      <c r="K91" s="160"/>
      <c r="L91" s="18"/>
      <c r="M91" s="19"/>
    </row>
    <row r="92" spans="6:13" ht="15.75">
      <c r="F92" s="31"/>
      <c r="G92" s="87">
        <v>0</v>
      </c>
      <c r="H92" s="8">
        <v>1</v>
      </c>
      <c r="I92" s="166">
        <f>LOOKUP(H92,DATABASE!$E$138:$E$150,DATABASE!$G$138:$G$150)</f>
        <v>0</v>
      </c>
      <c r="J92" s="164">
        <f>LOOKUP(H92,DATABASE!$E$138:$E$150,DATABASE!$H$138:$H$150)</f>
        <v>0</v>
      </c>
      <c r="K92" s="160"/>
      <c r="L92" s="87">
        <v>0</v>
      </c>
      <c r="M92" s="19"/>
    </row>
    <row r="93" spans="6:13" ht="15.75">
      <c r="F93" s="31"/>
      <c r="G93" s="87">
        <v>0</v>
      </c>
      <c r="H93" s="8">
        <v>2</v>
      </c>
      <c r="I93" s="166">
        <f>LOOKUP(H93,DATABASE!$E$138:$E$150,DATABASE!$G$138:$G$150)</f>
        <v>0</v>
      </c>
      <c r="J93" s="164">
        <f>LOOKUP(H93,DATABASE!$E$138:$E$150,DATABASE!$H$138:$H$150)</f>
        <v>0</v>
      </c>
      <c r="K93" s="160"/>
      <c r="L93" s="87">
        <v>0</v>
      </c>
      <c r="M93" s="19"/>
    </row>
    <row r="94" spans="6:13" ht="15.75">
      <c r="F94" s="31"/>
      <c r="G94" s="87">
        <v>0</v>
      </c>
      <c r="H94" s="8">
        <v>3</v>
      </c>
      <c r="I94" s="166">
        <f>LOOKUP(H94,DATABASE!$E$138:$E$150,DATABASE!$G$138:$G$150)</f>
        <v>0</v>
      </c>
      <c r="J94" s="164">
        <f>LOOKUP(H94,DATABASE!$E$138:$E$150,DATABASE!$H$138:$H$150)</f>
        <v>0</v>
      </c>
      <c r="K94" s="160"/>
      <c r="L94" s="87">
        <v>0</v>
      </c>
      <c r="M94" s="19"/>
    </row>
    <row r="95" spans="6:13" ht="15.75">
      <c r="F95" s="31"/>
      <c r="G95" s="87">
        <v>0</v>
      </c>
      <c r="H95" s="8">
        <v>4</v>
      </c>
      <c r="I95" s="166">
        <f>LOOKUP(H95,DATABASE!$E$138:$E$150,DATABASE!$G$138:$G$150)</f>
        <v>0</v>
      </c>
      <c r="J95" s="164">
        <f>LOOKUP(H95,DATABASE!$E$138:$E$150,DATABASE!$H$138:$H$150)</f>
        <v>0</v>
      </c>
      <c r="K95" s="160"/>
      <c r="L95" s="87">
        <v>0</v>
      </c>
      <c r="M95" s="19"/>
    </row>
    <row r="96" spans="6:13" ht="15.75">
      <c r="F96" s="31"/>
      <c r="G96" s="87">
        <v>0</v>
      </c>
      <c r="H96" s="8">
        <v>5</v>
      </c>
      <c r="I96" s="166">
        <f>LOOKUP(H96,DATABASE!$E$138:$E$150,DATABASE!$G$138:$G$150)</f>
        <v>0</v>
      </c>
      <c r="J96" s="164">
        <f>LOOKUP(H96,DATABASE!$E$138:$E$150,DATABASE!$H$138:$H$150)</f>
        <v>0</v>
      </c>
      <c r="K96" s="160"/>
      <c r="L96" s="87">
        <v>0</v>
      </c>
      <c r="M96" s="19"/>
    </row>
    <row r="97" spans="6:13" ht="15.75">
      <c r="F97" s="31"/>
      <c r="G97" s="87">
        <v>0</v>
      </c>
      <c r="H97" s="8">
        <v>6</v>
      </c>
      <c r="I97" s="166">
        <f>LOOKUP(H97,DATABASE!$E$138:$E$150,DATABASE!$G$138:$G$150)</f>
        <v>0</v>
      </c>
      <c r="J97" s="164">
        <f>LOOKUP(H97,DATABASE!$E$138:$E$150,DATABASE!$H$138:$H$150)</f>
        <v>0</v>
      </c>
      <c r="K97" s="160"/>
      <c r="L97" s="87">
        <v>0</v>
      </c>
      <c r="M97" s="19"/>
    </row>
    <row r="98" spans="6:13" ht="13.5" thickBot="1">
      <c r="F98" s="20"/>
      <c r="G98" s="120"/>
      <c r="H98" s="21"/>
      <c r="I98" s="21"/>
      <c r="J98" s="21"/>
      <c r="K98" s="21"/>
      <c r="L98" s="21"/>
      <c r="M98" s="22"/>
    </row>
    <row r="99" spans="6:13" ht="15.75" thickBot="1">
      <c r="F99" s="117"/>
      <c r="G99" s="118"/>
      <c r="H99" s="119"/>
      <c r="I99" s="226" t="s">
        <v>100</v>
      </c>
      <c r="J99" s="227"/>
      <c r="K99" s="227"/>
      <c r="L99" s="227"/>
      <c r="M99" s="249"/>
    </row>
  </sheetData>
  <mergeCells count="54">
    <mergeCell ref="K52:M52"/>
    <mergeCell ref="K25:M25"/>
    <mergeCell ref="K24:L24"/>
    <mergeCell ref="K90:M90"/>
    <mergeCell ref="J44:L44"/>
    <mergeCell ref="J46:L46"/>
    <mergeCell ref="K35:L35"/>
    <mergeCell ref="K37:L37"/>
    <mergeCell ref="K83:L83"/>
    <mergeCell ref="I31:M31"/>
    <mergeCell ref="F44:G44"/>
    <mergeCell ref="F35:G35"/>
    <mergeCell ref="F10:M10"/>
    <mergeCell ref="F11:G11"/>
    <mergeCell ref="K11:M11"/>
    <mergeCell ref="F23:M23"/>
    <mergeCell ref="I20:M20"/>
    <mergeCell ref="F24:G24"/>
    <mergeCell ref="I40:M40"/>
    <mergeCell ref="I48:M48"/>
    <mergeCell ref="K62:M62"/>
    <mergeCell ref="F73:G73"/>
    <mergeCell ref="K73:L73"/>
    <mergeCell ref="I58:M58"/>
    <mergeCell ref="I69:M69"/>
    <mergeCell ref="G66:I66"/>
    <mergeCell ref="G63:I63"/>
    <mergeCell ref="F62:G62"/>
    <mergeCell ref="F52:G52"/>
    <mergeCell ref="G91:I91"/>
    <mergeCell ref="I99:M99"/>
    <mergeCell ref="I86:M86"/>
    <mergeCell ref="F34:M34"/>
    <mergeCell ref="F43:M43"/>
    <mergeCell ref="F51:M51"/>
    <mergeCell ref="F61:M61"/>
    <mergeCell ref="F80:M80"/>
    <mergeCell ref="I77:M77"/>
    <mergeCell ref="G74:I74"/>
    <mergeCell ref="Q2:R2"/>
    <mergeCell ref="Q1:R1"/>
    <mergeCell ref="F89:M89"/>
    <mergeCell ref="F90:G90"/>
    <mergeCell ref="K75:L75"/>
    <mergeCell ref="G82:I82"/>
    <mergeCell ref="K84:L84"/>
    <mergeCell ref="F81:G81"/>
    <mergeCell ref="K81:L81"/>
    <mergeCell ref="F72:M72"/>
    <mergeCell ref="B13:D13"/>
    <mergeCell ref="B17:D17"/>
    <mergeCell ref="H4:K4"/>
    <mergeCell ref="O1:P1"/>
    <mergeCell ref="O2:P2"/>
  </mergeCells>
  <dataValidations count="2">
    <dataValidation type="list" allowBlank="1" showInputMessage="1" showErrorMessage="1" sqref="W10">
      <formula1>$Y$5:$Y$24</formula1>
    </dataValidation>
    <dataValidation type="list" allowBlank="1" showInputMessage="1" showErrorMessage="1" sqref="G13:G18 L92:L97 G92:G97 G83:G84 G75 L67 L64 G67 G64 L54:L56 G54:G56 G46 G37 G26:G29 L13:L18">
      <formula1>$Y$4:$Y$24</formula1>
    </dataValidation>
  </dataValidations>
  <hyperlinks>
    <hyperlink ref="I20:M20" location="Lights" display="Click to add lighting options"/>
    <hyperlink ref="I31:M31" location="Water_Storage" display="Click to add water storage options"/>
    <hyperlink ref="I40:M40" location="Refrigerator" display="Click to add refrigerator options"/>
    <hyperlink ref="I48:M48" location="Oven" display="Click to add oven options"/>
    <hyperlink ref="I58:M58" location="Power_Tools" display="Click to add Power Tool Options"/>
    <hyperlink ref="I69:M69" location="Entertainment" display="Click to add entertainment options"/>
    <hyperlink ref="I86:M86" location="Seating" display="Click to add entertainment options"/>
    <hyperlink ref="I99:M99" location="misc" display="Click to add entertainment options"/>
    <hyperlink ref="I77:M77" location="Storage" display="Click to add seating options"/>
    <hyperlink ref="B17:D17" location="trailer" display="Click to add Trailer Config."/>
  </hyperlinks>
  <printOptions/>
  <pageMargins left="0.75" right="0.75" top="1" bottom="1" header="0.5" footer="0.5"/>
  <pageSetup fitToHeight="1" fitToWidth="1" horizontalDpi="600" verticalDpi="600" orientation="portrait" scale="2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59"/>
  <sheetViews>
    <sheetView showGridLines="0" workbookViewId="0" topLeftCell="A1">
      <pane ySplit="2" topLeftCell="BM3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23.28125" style="5" customWidth="1"/>
    <col min="2" max="2" width="20.7109375" style="174" bestFit="1" customWidth="1"/>
    <col min="3" max="3" width="35.00390625" style="75" bestFit="1" customWidth="1"/>
    <col min="4" max="4" width="19.28125" style="175" customWidth="1"/>
    <col min="5" max="5" width="19.28125" style="32" customWidth="1"/>
    <col min="6" max="6" width="18.00390625" style="175" customWidth="1"/>
    <col min="7" max="7" width="13.7109375" style="5" customWidth="1"/>
    <col min="8" max="16384" width="9.140625" style="5" customWidth="1"/>
  </cols>
  <sheetData>
    <row r="1" spans="1:6" s="24" customFormat="1" ht="24" customHeight="1">
      <c r="A1" s="23"/>
      <c r="B1" s="158"/>
      <c r="C1" s="8"/>
      <c r="D1" s="202"/>
      <c r="E1" s="18"/>
      <c r="F1" s="202"/>
    </row>
    <row r="2" spans="1:6" s="21" customFormat="1" ht="50.25" customHeight="1" thickBot="1">
      <c r="A2" s="20"/>
      <c r="B2" s="158"/>
      <c r="C2" s="8"/>
      <c r="D2" s="202"/>
      <c r="E2" s="18"/>
      <c r="F2" s="202"/>
    </row>
    <row r="3" spans="2:6" ht="18" customHeight="1">
      <c r="B3" s="258" t="s">
        <v>65</v>
      </c>
      <c r="C3" s="258" t="s">
        <v>27</v>
      </c>
      <c r="D3" s="260" t="s">
        <v>28</v>
      </c>
      <c r="E3" s="258" t="s">
        <v>30</v>
      </c>
      <c r="F3" s="260" t="s">
        <v>29</v>
      </c>
    </row>
    <row r="4" spans="2:6" ht="18" customHeight="1">
      <c r="B4" s="259"/>
      <c r="C4" s="259"/>
      <c r="D4" s="261"/>
      <c r="E4" s="259"/>
      <c r="F4" s="261"/>
    </row>
    <row r="5" spans="2:6" ht="12.75">
      <c r="B5" s="49"/>
      <c r="C5" s="46"/>
      <c r="D5" s="42"/>
      <c r="E5" s="39"/>
      <c r="F5" s="42"/>
    </row>
    <row r="6" spans="2:6" ht="12.75">
      <c r="B6" s="49"/>
      <c r="C6" s="46"/>
      <c r="D6" s="42"/>
      <c r="E6" s="39"/>
      <c r="F6" s="43">
        <f>SUM(F8,F10,F12,F15)</f>
        <v>126925.84824999998</v>
      </c>
    </row>
    <row r="7" spans="2:6" ht="12.75">
      <c r="B7" s="49"/>
      <c r="C7" s="46"/>
      <c r="D7" s="42"/>
      <c r="E7" s="39"/>
      <c r="F7" s="42"/>
    </row>
    <row r="8" spans="2:6" ht="15.75">
      <c r="B8" s="50" t="s">
        <v>25</v>
      </c>
      <c r="C8" s="47" t="str">
        <f>LOOKUP(INPUT!C15,DATABASE!E155:E167,DATABASE!F155:F167)</f>
        <v>Custom Storage Trailer</v>
      </c>
      <c r="D8" s="151">
        <f>LOOKUP(INPUT!C15,DATABASE!E155:E167,DATABASE!G155:G167)</f>
        <v>0</v>
      </c>
      <c r="E8" s="40">
        <v>1</v>
      </c>
      <c r="F8" s="44">
        <f>E8*D8</f>
        <v>0</v>
      </c>
    </row>
    <row r="9" spans="2:6" ht="15.75">
      <c r="B9" s="74"/>
      <c r="C9" s="46"/>
      <c r="D9" s="42"/>
      <c r="E9" s="39"/>
      <c r="F9" s="43"/>
    </row>
    <row r="10" spans="2:6" ht="15.75">
      <c r="B10" s="50" t="s">
        <v>103</v>
      </c>
      <c r="C10" s="146">
        <f>'Power Breakdown'!H6</f>
        <v>865.125</v>
      </c>
      <c r="D10" s="58"/>
      <c r="E10" s="40"/>
      <c r="F10" s="147">
        <f>1.3*SUM(75.96*C10,18135.5)+0.05*(75.96*C10)</f>
        <v>112291.25824999998</v>
      </c>
    </row>
    <row r="11" spans="2:6" ht="15.75">
      <c r="B11" s="74"/>
      <c r="C11" s="152"/>
      <c r="D11" s="42"/>
      <c r="E11" s="39"/>
      <c r="F11" s="153"/>
    </row>
    <row r="12" spans="2:6" ht="15.75">
      <c r="B12" s="50" t="s">
        <v>26</v>
      </c>
      <c r="C12" s="47"/>
      <c r="D12" s="151">
        <v>0</v>
      </c>
      <c r="E12" s="40">
        <f>INPUT!H6</f>
        <v>0</v>
      </c>
      <c r="F12" s="44">
        <f>E12*D12</f>
        <v>0</v>
      </c>
    </row>
    <row r="13" spans="2:6" ht="12.75">
      <c r="B13" s="49"/>
      <c r="C13" s="46"/>
      <c r="D13" s="42"/>
      <c r="E13" s="39"/>
      <c r="F13" s="42"/>
    </row>
    <row r="14" spans="2:6" ht="12.75">
      <c r="B14" s="49"/>
      <c r="C14" s="46"/>
      <c r="D14" s="42"/>
      <c r="E14" s="39"/>
      <c r="F14" s="42"/>
    </row>
    <row r="15" spans="2:6" ht="15.75">
      <c r="B15" s="50" t="s">
        <v>102</v>
      </c>
      <c r="C15" s="47"/>
      <c r="D15" s="58"/>
      <c r="E15" s="40"/>
      <c r="F15" s="44">
        <f>SUM(F17,F25,F31,F34,F37,F41,F45,F48,F53)</f>
        <v>14634.59</v>
      </c>
    </row>
    <row r="16" spans="2:6" ht="12.75">
      <c r="B16" s="49"/>
      <c r="C16" s="46"/>
      <c r="D16" s="42"/>
      <c r="E16" s="39"/>
      <c r="F16" s="42"/>
    </row>
    <row r="17" spans="2:6" ht="15.75">
      <c r="B17" s="50" t="s">
        <v>32</v>
      </c>
      <c r="C17" s="47"/>
      <c r="D17" s="58"/>
      <c r="E17" s="40"/>
      <c r="F17" s="44">
        <f>SUM(F18:F23)</f>
        <v>988</v>
      </c>
    </row>
    <row r="18" spans="2:6" ht="12.75">
      <c r="B18" s="52"/>
      <c r="C18" s="48" t="str">
        <f>LOOKUP(INPUT!H13,DATABASE!$E$6:$E$17,DATABASE!$F$6:$F$17)</f>
        <v>Eurolux 13W</v>
      </c>
      <c r="D18" s="148">
        <f>LOOKUP(INPUT!H13,DATABASE!$E$6:$E$17,DATABASE!$G$6:$G$17)</f>
        <v>28</v>
      </c>
      <c r="E18" s="48">
        <f>INPUT!G13</f>
        <v>1</v>
      </c>
      <c r="F18" s="45">
        <f aca="true" t="shared" si="0" ref="F18:F23">E18*D18</f>
        <v>28</v>
      </c>
    </row>
    <row r="19" spans="2:6" ht="12.75">
      <c r="B19" s="52"/>
      <c r="C19" s="48" t="str">
        <f>LOOKUP(INPUT!H14,DATABASE!$E$6:$E$17,DATABASE!$F$6:$F$17)</f>
        <v>Eurolux 45W</v>
      </c>
      <c r="D19" s="148">
        <f>LOOKUP(INPUT!H14,DATABASE!$E$6:$E$17,DATABASE!$G$6:$G$17)</f>
        <v>240</v>
      </c>
      <c r="E19" s="48">
        <f>INPUT!G14</f>
        <v>4</v>
      </c>
      <c r="F19" s="45">
        <f t="shared" si="0"/>
        <v>960</v>
      </c>
    </row>
    <row r="20" spans="2:6" ht="12.75">
      <c r="B20" s="52"/>
      <c r="C20" s="48" t="str">
        <f>LOOKUP(INPUT!H15,DATABASE!$E$6:$E$17,DATABASE!$F$6:$F$17)</f>
        <v>Eurolux 45W</v>
      </c>
      <c r="D20" s="148">
        <f>LOOKUP(INPUT!H15,DATABASE!$E$6:$E$17,DATABASE!$G$6:$G$17)</f>
        <v>240</v>
      </c>
      <c r="E20" s="48">
        <f>INPUT!G15</f>
        <v>0</v>
      </c>
      <c r="F20" s="45">
        <f t="shared" si="0"/>
        <v>0</v>
      </c>
    </row>
    <row r="21" spans="2:6" ht="12.75">
      <c r="B21" s="52"/>
      <c r="C21" s="48" t="str">
        <f>LOOKUP(INPUT!H16,DATABASE!$E$6:$E$17,DATABASE!$F$6:$F$17)</f>
        <v>Eurolux 85W</v>
      </c>
      <c r="D21" s="148">
        <f>LOOKUP(INPUT!H16,DATABASE!$E$6:$E$17,DATABASE!$G$6:$G$17)</f>
        <v>263</v>
      </c>
      <c r="E21" s="48">
        <f>INPUT!G16</f>
        <v>0</v>
      </c>
      <c r="F21" s="45">
        <f t="shared" si="0"/>
        <v>0</v>
      </c>
    </row>
    <row r="22" spans="2:6" ht="12.75">
      <c r="B22" s="52"/>
      <c r="C22" s="48" t="str">
        <f>LOOKUP(INPUT!H17,DATABASE!$E$6:$E$17,DATABASE!$F$6:$F$17)</f>
        <v>Osram 14W</v>
      </c>
      <c r="D22" s="148">
        <f>LOOKUP(INPUT!H17,DATABASE!$E$6:$E$17,DATABASE!$G$6:$G$17)</f>
        <v>19.5</v>
      </c>
      <c r="E22" s="48">
        <f>INPUT!G17</f>
        <v>0</v>
      </c>
      <c r="F22" s="45">
        <f t="shared" si="0"/>
        <v>0</v>
      </c>
    </row>
    <row r="23" spans="2:6" ht="12.75">
      <c r="B23" s="49"/>
      <c r="C23" s="48" t="str">
        <f>LOOKUP(INPUT!H18,DATABASE!$E$6:$E$17,DATABASE!$F$6:$F$17)</f>
        <v>Major tech Work light, 2x26W</v>
      </c>
      <c r="D23" s="148">
        <f>LOOKUP(INPUT!H18,DATABASE!$E$6:$E$17,DATABASE!$G$6:$G$17)</f>
        <v>360</v>
      </c>
      <c r="E23" s="48">
        <f>INPUT!G18</f>
        <v>0</v>
      </c>
      <c r="F23" s="45">
        <f t="shared" si="0"/>
        <v>0</v>
      </c>
    </row>
    <row r="24" spans="2:6" ht="12.75">
      <c r="B24" s="49"/>
      <c r="C24" s="48"/>
      <c r="D24" s="148"/>
      <c r="E24" s="48"/>
      <c r="F24" s="45"/>
    </row>
    <row r="25" spans="2:6" ht="15.75">
      <c r="B25" s="50" t="s">
        <v>34</v>
      </c>
      <c r="C25" s="47"/>
      <c r="D25" s="149"/>
      <c r="E25" s="47"/>
      <c r="F25" s="44">
        <f>SUM(F26:F30)</f>
        <v>2038.9099999999999</v>
      </c>
    </row>
    <row r="26" spans="1:6" ht="12.75">
      <c r="A26" s="59"/>
      <c r="B26" s="52"/>
      <c r="C26" s="48" t="str">
        <f>LOOKUP(INPUT!H26,DATABASE!$E$23:$E$32,DATABASE!$F$23:$F$32)</f>
        <v>Okahandja 500 Liter Transport</v>
      </c>
      <c r="D26" s="148">
        <f>LOOKUP(INPUT!H26,DATABASE!$E$23:$E$32,DATABASE!$G$23:$G$32)</f>
        <v>1329.74</v>
      </c>
      <c r="E26" s="48">
        <f>INPUT!G26</f>
        <v>1</v>
      </c>
      <c r="F26" s="45">
        <f>E26*D26</f>
        <v>1329.74</v>
      </c>
    </row>
    <row r="27" spans="1:6" ht="12.75">
      <c r="A27" s="59"/>
      <c r="B27" s="52"/>
      <c r="C27" s="48" t="str">
        <f>LOOKUP(INPUT!H27,DATABASE!$E$23:$E$32,DATABASE!$F$23:$F$32)</f>
        <v>Okahandja 210 Liter</v>
      </c>
      <c r="D27" s="148">
        <f>LOOKUP(INPUT!H27,DATABASE!$E$23:$E$32,DATABASE!$G$23:$G$32)</f>
        <v>487.56</v>
      </c>
      <c r="E27" s="48">
        <f>INPUT!G27</f>
        <v>1</v>
      </c>
      <c r="F27" s="45">
        <f>E27*D27</f>
        <v>487.56</v>
      </c>
    </row>
    <row r="28" spans="1:6" ht="12.75">
      <c r="A28" s="59"/>
      <c r="B28" s="52"/>
      <c r="C28" s="48" t="str">
        <f>LOOKUP(INPUT!H28,DATABASE!$E$23:$E$32,DATABASE!$F$23:$F$32)</f>
        <v>Okahandja 100 Liter</v>
      </c>
      <c r="D28" s="148">
        <f>LOOKUP(INPUT!H28,DATABASE!$E$23:$E$32,DATABASE!$G$23:$G$32)</f>
        <v>221.61</v>
      </c>
      <c r="E28" s="48">
        <f>INPUT!G28</f>
        <v>1</v>
      </c>
      <c r="F28" s="45">
        <f>E28*D28</f>
        <v>221.61</v>
      </c>
    </row>
    <row r="29" spans="1:6" ht="12.75">
      <c r="A29" s="59"/>
      <c r="B29" s="52"/>
      <c r="C29" s="48" t="str">
        <f>LOOKUP(INPUT!H29,DATABASE!$E$23:$E$32,DATABASE!$F$23:$F$32)</f>
        <v>Okahandja 500 Liter</v>
      </c>
      <c r="D29" s="148">
        <f>LOOKUP(INPUT!H29,DATABASE!$E$23:$E$32,DATABASE!$G$23:$G$32)</f>
        <v>1014.3</v>
      </c>
      <c r="E29" s="48">
        <f>INPUT!G29</f>
        <v>0</v>
      </c>
      <c r="F29" s="45">
        <f>E29*D29</f>
        <v>0</v>
      </c>
    </row>
    <row r="30" spans="1:6" ht="12.75">
      <c r="A30" s="59"/>
      <c r="B30" s="52"/>
      <c r="C30" s="48"/>
      <c r="D30" s="148"/>
      <c r="E30" s="48"/>
      <c r="F30" s="45"/>
    </row>
    <row r="31" spans="2:6" ht="15.75">
      <c r="B31" s="50" t="s">
        <v>40</v>
      </c>
      <c r="C31" s="47"/>
      <c r="D31" s="149"/>
      <c r="E31" s="40"/>
      <c r="F31" s="44">
        <f>SUM(F32)</f>
        <v>9192</v>
      </c>
    </row>
    <row r="32" spans="2:6" ht="15">
      <c r="B32" s="51"/>
      <c r="C32" s="48" t="str">
        <f>LOOKUP(INPUT!H37,DATABASE!E39:E50,DATABASE!F39:F50)</f>
        <v>Freezer: SunDanzer DCF225</v>
      </c>
      <c r="D32" s="148">
        <f>LOOKUP(INPUT!H37,DATABASE!E39:E50,DATABASE!G39:G50)</f>
        <v>9192</v>
      </c>
      <c r="E32" s="48">
        <f>INPUT!G37</f>
        <v>1</v>
      </c>
      <c r="F32" s="45">
        <f>E32*D32</f>
        <v>9192</v>
      </c>
    </row>
    <row r="33" spans="2:6" ht="12.75">
      <c r="B33" s="49"/>
      <c r="C33" s="46"/>
      <c r="D33" s="150"/>
      <c r="E33" s="39"/>
      <c r="F33" s="42"/>
    </row>
    <row r="34" spans="2:6" ht="15.75">
      <c r="B34" s="50" t="s">
        <v>13</v>
      </c>
      <c r="C34" s="47"/>
      <c r="D34" s="149"/>
      <c r="E34" s="40"/>
      <c r="F34" s="44">
        <f>SUM(F35)</f>
        <v>0</v>
      </c>
    </row>
    <row r="35" spans="2:6" ht="15">
      <c r="B35" s="51"/>
      <c r="C35" s="46" t="str">
        <f>LOOKUP(INPUT!H75,DATABASE!E111:E118,DATABASE!F111:F118)</f>
        <v>80012SV-U</v>
      </c>
      <c r="D35" s="150">
        <f>LOOKUP(INPUT!H75,DATABASE!E111:E118,DATABASE!G111:G118)</f>
        <v>400</v>
      </c>
      <c r="E35" s="39">
        <f>INPUT!G75</f>
        <v>0</v>
      </c>
      <c r="F35" s="43">
        <f>E35*D35</f>
        <v>0</v>
      </c>
    </row>
    <row r="36" spans="2:6" ht="12.75">
      <c r="B36" s="49"/>
      <c r="C36" s="46"/>
      <c r="D36" s="150"/>
      <c r="E36" s="39"/>
      <c r="F36" s="42"/>
    </row>
    <row r="37" spans="2:6" ht="15.75">
      <c r="B37" s="50" t="s">
        <v>44</v>
      </c>
      <c r="C37" s="47"/>
      <c r="D37" s="149"/>
      <c r="E37" s="40"/>
      <c r="F37" s="44">
        <f>SUM(F38:F39)</f>
        <v>1543.68</v>
      </c>
    </row>
    <row r="38" spans="2:6" ht="12.75">
      <c r="B38" s="52" t="s">
        <v>45</v>
      </c>
      <c r="C38" s="48" t="str">
        <f>LOOKUP(INPUT!H64,DATABASE!E87:E93,DATABASE!F87:F93)</f>
        <v>Sylvania 15" LCD HDTV/DVD Combo</v>
      </c>
      <c r="D38" s="148">
        <f>LOOKUP(INPUT!H64,DATABASE!E87:E93,DATABASE!G87:G93)</f>
        <v>1543.68</v>
      </c>
      <c r="E38" s="41">
        <f>INPUT!G64</f>
        <v>1</v>
      </c>
      <c r="F38" s="45">
        <f>D38*E38</f>
        <v>1543.68</v>
      </c>
    </row>
    <row r="39" spans="2:6" ht="12.75">
      <c r="B39" s="52" t="s">
        <v>42</v>
      </c>
      <c r="C39" s="48" t="str">
        <f>LOOKUP(INPUT!H67,DATABASE!E97:E103,DATABASE!F97:F103)</f>
        <v>Toshiba S-D4000</v>
      </c>
      <c r="D39" s="148">
        <f>LOOKUP(INPUT!H67,DATABASE!E97:E103,DATABASE!G97:G103)</f>
        <v>400</v>
      </c>
      <c r="E39" s="41">
        <f>INPUT!G67</f>
        <v>0</v>
      </c>
      <c r="F39" s="45">
        <f>D39*E39</f>
        <v>0</v>
      </c>
    </row>
    <row r="40" spans="2:6" ht="12.75">
      <c r="B40" s="49"/>
      <c r="C40" s="46"/>
      <c r="D40" s="150"/>
      <c r="E40" s="39"/>
      <c r="F40" s="42"/>
    </row>
    <row r="41" spans="2:6" ht="15.75">
      <c r="B41" s="50" t="s">
        <v>24</v>
      </c>
      <c r="C41" s="47"/>
      <c r="D41" s="149"/>
      <c r="E41" s="40"/>
      <c r="F41" s="44">
        <f>SUM(F42:F43)</f>
        <v>0</v>
      </c>
    </row>
    <row r="42" spans="2:6" ht="15">
      <c r="B42" s="51"/>
      <c r="C42" s="48" t="str">
        <f>LOOKUP(INPUT!H83,DATABASE!E123:E133,DATABASE!F123:F133)</f>
        <v>Apex Camping Stool ST-G-140</v>
      </c>
      <c r="D42" s="148">
        <f>LOOKUP(INPUT!H83,DATABASE!E123:E133,DATABASE!G123:G133)</f>
        <v>71.6</v>
      </c>
      <c r="E42" s="41">
        <f>INPUT!G83</f>
        <v>0</v>
      </c>
      <c r="F42" s="45">
        <f>E42*D42</f>
        <v>0</v>
      </c>
    </row>
    <row r="43" spans="2:6" ht="15">
      <c r="B43" s="51"/>
      <c r="C43" s="48" t="str">
        <f>LOOKUP(INPUT!H84,DATABASE!E123:E133,DATABASE!F123:F133)</f>
        <v>None</v>
      </c>
      <c r="D43" s="148">
        <f>LOOKUP(INPUT!H84,DATABASE!E123:E133,DATABASE!G123:G133)</f>
        <v>0</v>
      </c>
      <c r="E43" s="41">
        <f>INPUT!G84</f>
        <v>0</v>
      </c>
      <c r="F43" s="45">
        <f>E43*D43</f>
        <v>0</v>
      </c>
    </row>
    <row r="44" spans="2:6" ht="12.75">
      <c r="B44" s="49"/>
      <c r="C44" s="46"/>
      <c r="D44" s="150"/>
      <c r="E44" s="39"/>
      <c r="F44" s="43"/>
    </row>
    <row r="45" spans="2:6" ht="15.75">
      <c r="B45" s="50" t="s">
        <v>57</v>
      </c>
      <c r="C45" s="47"/>
      <c r="D45" s="149"/>
      <c r="E45" s="40"/>
      <c r="F45" s="44">
        <f>SUM(F46)</f>
        <v>232</v>
      </c>
    </row>
    <row r="46" spans="2:6" ht="15">
      <c r="B46" s="53"/>
      <c r="C46" s="48" t="str">
        <f>LOOKUP(INPUT!H46,DATABASE!E57:E63,DATABASE!F57:F63)</f>
        <v>Vesto</v>
      </c>
      <c r="D46" s="148">
        <f>LOOKUP(INPUT!H46,DATABASE!E57:E63,DATABASE!G57:G63)</f>
        <v>232</v>
      </c>
      <c r="E46" s="41">
        <f>INPUT!G46</f>
        <v>1</v>
      </c>
      <c r="F46" s="45">
        <f>E46*D46</f>
        <v>232</v>
      </c>
    </row>
    <row r="47" spans="2:6" ht="15">
      <c r="B47" s="51"/>
      <c r="C47" s="46"/>
      <c r="D47" s="150"/>
      <c r="E47" s="39"/>
      <c r="F47" s="42"/>
    </row>
    <row r="48" spans="2:6" ht="15.75">
      <c r="B48" s="50" t="s">
        <v>67</v>
      </c>
      <c r="C48" s="47"/>
      <c r="D48" s="149"/>
      <c r="E48" s="40"/>
      <c r="F48" s="44">
        <f>SUM(F49:F51)</f>
        <v>640</v>
      </c>
    </row>
    <row r="49" spans="2:6" ht="12.75">
      <c r="B49" s="49"/>
      <c r="C49" s="48" t="str">
        <f>LOOKUP(INPUT!H54,DATABASE!$E$69:$E$79,DATABASE!$F$69:$F$79)</f>
        <v>DewaltDW756 6" Heavy Duty</v>
      </c>
      <c r="D49" s="148">
        <f>LOOKUP(INPUT!H54,DATABASE!$E$69:$E$79,DATABASE!$G$69:$G$79)</f>
        <v>640</v>
      </c>
      <c r="E49" s="41">
        <f>INPUT!G54</f>
        <v>1</v>
      </c>
      <c r="F49" s="45">
        <f>E49*D49</f>
        <v>640</v>
      </c>
    </row>
    <row r="50" spans="2:6" ht="12.75">
      <c r="B50" s="49"/>
      <c r="C50" s="48" t="str">
        <f>LOOKUP(INPUT!H55,DATABASE!$E$69:$E$79,DATABASE!$F$69:$F$79)</f>
        <v>Jet Bench Grinder 3450 rpm</v>
      </c>
      <c r="D50" s="148">
        <f>LOOKUP(INPUT!H55,DATABASE!$E$69:$E$79,DATABASE!$G$69:$G$79)</f>
        <v>1440</v>
      </c>
      <c r="E50" s="41">
        <f>INPUT!G55</f>
        <v>0</v>
      </c>
      <c r="F50" s="45">
        <f>E50*D50</f>
        <v>0</v>
      </c>
    </row>
    <row r="51" spans="2:6" ht="12.75">
      <c r="B51" s="49"/>
      <c r="C51" s="48" t="str">
        <f>LOOKUP(INPUT!H56,DATABASE!$E$69:$E$79,DATABASE!$F$69:$F$79)</f>
        <v>Northern Industrial Bench Grinder 3/4 hp</v>
      </c>
      <c r="D51" s="148">
        <f>LOOKUP(INPUT!H56,DATABASE!$E$69:$E$79,DATABASE!$G$69:$G$79)</f>
        <v>480</v>
      </c>
      <c r="E51" s="41">
        <f>INPUT!G56</f>
        <v>0</v>
      </c>
      <c r="F51" s="45">
        <f>E51*D51</f>
        <v>0</v>
      </c>
    </row>
    <row r="52" spans="2:6" ht="12.75">
      <c r="B52" s="49"/>
      <c r="C52" s="48"/>
      <c r="D52" s="148"/>
      <c r="E52" s="41"/>
      <c r="F52" s="45"/>
    </row>
    <row r="53" spans="2:6" ht="15.75">
      <c r="B53" s="50" t="s">
        <v>78</v>
      </c>
      <c r="C53" s="47"/>
      <c r="D53" s="149"/>
      <c r="E53" s="40"/>
      <c r="F53" s="44">
        <f>SUM(F54:F59)</f>
        <v>0</v>
      </c>
    </row>
    <row r="54" spans="1:6" ht="12.75">
      <c r="A54" s="59"/>
      <c r="B54" s="52"/>
      <c r="C54" s="48" t="str">
        <f>LOOKUP(INPUT!H92,DATABASE!$E$138:$E$150,DATABASE!$F$138:$F$150)</f>
        <v>Toilet</v>
      </c>
      <c r="D54" s="148">
        <f>LOOKUP(INPUT!H92,DATABASE!$E$138:$E$150,DATABASE!$G$138:$G$150)</f>
        <v>0</v>
      </c>
      <c r="E54" s="41">
        <f>INPUT!G92</f>
        <v>0</v>
      </c>
      <c r="F54" s="45">
        <f aca="true" t="shared" si="1" ref="F54:F59">E54*D54</f>
        <v>0</v>
      </c>
    </row>
    <row r="55" spans="1:6" ht="12.75">
      <c r="A55" s="59"/>
      <c r="B55" s="52"/>
      <c r="C55" s="48" t="str">
        <f>LOOKUP(INPUT!H93,DATABASE!$E$138:$E$150,DATABASE!$F$138:$F$150)</f>
        <v>Shower</v>
      </c>
      <c r="D55" s="148">
        <f>LOOKUP(INPUT!H93,DATABASE!$E$138:$E$150,DATABASE!$G$138:$G$150)</f>
        <v>0</v>
      </c>
      <c r="E55" s="41">
        <f>INPUT!G93</f>
        <v>0</v>
      </c>
      <c r="F55" s="45">
        <f t="shared" si="1"/>
        <v>0</v>
      </c>
    </row>
    <row r="56" spans="1:6" ht="12.75">
      <c r="A56" s="59"/>
      <c r="B56" s="52"/>
      <c r="C56" s="48" t="str">
        <f>LOOKUP(INPUT!H94,DATABASE!$E$138:$E$150,DATABASE!$F$138:$F$150)</f>
        <v>Tents</v>
      </c>
      <c r="D56" s="148">
        <f>LOOKUP(INPUT!H94,DATABASE!$E$138:$E$150,DATABASE!$G$138:$G$150)</f>
        <v>0</v>
      </c>
      <c r="E56" s="41">
        <f>INPUT!G94</f>
        <v>0</v>
      </c>
      <c r="F56" s="45">
        <f t="shared" si="1"/>
        <v>0</v>
      </c>
    </row>
    <row r="57" spans="1:6" ht="12.75">
      <c r="A57" s="59"/>
      <c r="B57" s="52"/>
      <c r="C57" s="48" t="str">
        <f>LOOKUP(INPUT!H95,DATABASE!$E$138:$E$150,DATABASE!$F$138:$F$150)</f>
        <v>Laundry Basin</v>
      </c>
      <c r="D57" s="148">
        <f>LOOKUP(INPUT!H95,DATABASE!$E$138:$E$150,DATABASE!$G$138:$G$150)</f>
        <v>0</v>
      </c>
      <c r="E57" s="41">
        <f>INPUT!G95</f>
        <v>0</v>
      </c>
      <c r="F57" s="45">
        <f t="shared" si="1"/>
        <v>0</v>
      </c>
    </row>
    <row r="58" spans="1:6" ht="12.75">
      <c r="A58" s="59"/>
      <c r="B58" s="52"/>
      <c r="C58" s="48" t="str">
        <f>LOOKUP(INPUT!H96,DATABASE!$E$138:$E$150,DATABASE!$F$138:$F$150)</f>
        <v>Fire Extinguisher</v>
      </c>
      <c r="D58" s="148">
        <f>LOOKUP(INPUT!H96,DATABASE!$E$138:$E$150,DATABASE!$G$138:$G$150)</f>
        <v>0</v>
      </c>
      <c r="E58" s="41">
        <f>INPUT!G96</f>
        <v>0</v>
      </c>
      <c r="F58" s="45">
        <f t="shared" si="1"/>
        <v>0</v>
      </c>
    </row>
    <row r="59" spans="1:6" ht="12.75">
      <c r="A59" s="59"/>
      <c r="B59" s="205"/>
      <c r="C59" s="197" t="str">
        <f>LOOKUP(INPUT!H97,DATABASE!$E$138:$E$150,DATABASE!$F$138:$F$150)</f>
        <v>Canopy</v>
      </c>
      <c r="D59" s="204">
        <f>LOOKUP(INPUT!H97,DATABASE!$E$138:$E$150,DATABASE!$G$138:$G$150)</f>
        <v>0</v>
      </c>
      <c r="E59" s="195">
        <f>INPUT!G97</f>
        <v>0</v>
      </c>
      <c r="F59" s="203">
        <f t="shared" si="1"/>
        <v>0</v>
      </c>
    </row>
  </sheetData>
  <mergeCells count="5">
    <mergeCell ref="B3:B4"/>
    <mergeCell ref="F3:F4"/>
    <mergeCell ref="E3:E4"/>
    <mergeCell ref="D3:D4"/>
    <mergeCell ref="C3:C4"/>
  </mergeCells>
  <printOptions/>
  <pageMargins left="0.75" right="0.75" top="1" bottom="1" header="0.5" footer="0.5"/>
  <pageSetup fitToHeight="1" fitToWidth="1" orientation="portrait" scale="8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6"/>
  <sheetViews>
    <sheetView showGridLines="0" workbookViewId="0" topLeftCell="A1">
      <pane ySplit="2" topLeftCell="BM6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1" max="1" width="11.00390625" style="32" customWidth="1"/>
    <col min="2" max="2" width="16.7109375" style="32" customWidth="1"/>
    <col min="3" max="3" width="26.57421875" style="75" customWidth="1"/>
    <col min="4" max="4" width="14.140625" style="176" customWidth="1"/>
    <col min="5" max="5" width="16.421875" style="200" customWidth="1"/>
    <col min="6" max="6" width="11.8515625" style="75" customWidth="1"/>
    <col min="7" max="7" width="19.00390625" style="177" customWidth="1"/>
    <col min="8" max="8" width="13.421875" style="178" customWidth="1"/>
    <col min="9" max="16384" width="9.140625" style="5" customWidth="1"/>
  </cols>
  <sheetData>
    <row r="1" spans="1:8" s="24" customFormat="1" ht="24" customHeight="1">
      <c r="A1" s="23"/>
      <c r="C1" s="29"/>
      <c r="D1" s="179"/>
      <c r="E1" s="206"/>
      <c r="F1" s="29"/>
      <c r="G1" s="180"/>
      <c r="H1" s="181"/>
    </row>
    <row r="2" spans="1:8" s="21" customFormat="1" ht="50.25" customHeight="1" thickBot="1">
      <c r="A2" s="20"/>
      <c r="B2" s="18"/>
      <c r="C2" s="8"/>
      <c r="D2" s="141"/>
      <c r="E2" s="207"/>
      <c r="F2" s="8"/>
      <c r="G2" s="198"/>
      <c r="H2" s="199"/>
    </row>
    <row r="3" spans="2:8" ht="18" customHeight="1">
      <c r="B3" s="258" t="s">
        <v>65</v>
      </c>
      <c r="C3" s="258" t="s">
        <v>27</v>
      </c>
      <c r="D3" s="268" t="s">
        <v>150</v>
      </c>
      <c r="E3" s="266" t="s">
        <v>80</v>
      </c>
      <c r="F3" s="258" t="s">
        <v>30</v>
      </c>
      <c r="G3" s="264" t="s">
        <v>79</v>
      </c>
      <c r="H3" s="262" t="s">
        <v>106</v>
      </c>
    </row>
    <row r="4" spans="2:8" ht="24" customHeight="1">
      <c r="B4" s="259"/>
      <c r="C4" s="259"/>
      <c r="D4" s="269"/>
      <c r="E4" s="267"/>
      <c r="F4" s="259"/>
      <c r="G4" s="265"/>
      <c r="H4" s="263"/>
    </row>
    <row r="5" spans="2:8" ht="12.75">
      <c r="B5" s="39"/>
      <c r="C5" s="46"/>
      <c r="D5" s="152"/>
      <c r="E5" s="68"/>
      <c r="F5" s="46"/>
      <c r="G5" s="220"/>
      <c r="H5" s="154"/>
    </row>
    <row r="6" spans="2:8" ht="15.75">
      <c r="B6" s="39"/>
      <c r="C6" s="46"/>
      <c r="D6" s="152"/>
      <c r="E6" s="68"/>
      <c r="F6" s="62" t="s">
        <v>70</v>
      </c>
      <c r="G6" s="219">
        <f>SUM(G8,G16,G19,G22,G27,G30)</f>
        <v>2.87</v>
      </c>
      <c r="H6" s="167">
        <f>SUM(H8,H16,H19,H22,H27,H30)</f>
        <v>865.125</v>
      </c>
    </row>
    <row r="7" spans="2:8" ht="12.75">
      <c r="B7" s="39"/>
      <c r="C7" s="46"/>
      <c r="D7" s="152"/>
      <c r="E7" s="68"/>
      <c r="F7" s="46"/>
      <c r="G7" s="220"/>
      <c r="H7" s="154"/>
    </row>
    <row r="8" spans="2:8" ht="15.75">
      <c r="B8" s="55" t="s">
        <v>32</v>
      </c>
      <c r="C8" s="47"/>
      <c r="D8" s="146"/>
      <c r="E8" s="60"/>
      <c r="F8" s="47"/>
      <c r="G8" s="221">
        <f>SUM(G9:G15)</f>
        <v>0.913</v>
      </c>
      <c r="H8" s="157">
        <f>SUM(H9:H14)</f>
        <v>193</v>
      </c>
    </row>
    <row r="9" spans="2:8" ht="12.75">
      <c r="B9" s="52"/>
      <c r="C9" s="48" t="str">
        <f>LOOKUP(INPUT!H13,DATABASE!$E$6:$E$17,DATABASE!$F$6:$F$17)</f>
        <v>Eurolux 13W</v>
      </c>
      <c r="D9" s="155">
        <f>LOOKUP(INPUT!H13,DATABASE!$E$6:$E$17,DATABASE!$H$6:$H$17)</f>
        <v>13</v>
      </c>
      <c r="E9" s="61">
        <f>INPUT!L13</f>
        <v>1</v>
      </c>
      <c r="F9" s="48">
        <f>INPUT!G13</f>
        <v>1</v>
      </c>
      <c r="G9" s="222">
        <f>D9*E9*F9/1000</f>
        <v>0.013</v>
      </c>
      <c r="H9" s="214">
        <f aca="true" t="shared" si="0" ref="H9:H14">D9*F9</f>
        <v>13</v>
      </c>
    </row>
    <row r="10" spans="2:8" ht="12.75">
      <c r="B10" s="52"/>
      <c r="C10" s="48" t="str">
        <f>LOOKUP(INPUT!H14,DATABASE!$E$6:$E$17,DATABASE!$F$6:$F$17)</f>
        <v>Eurolux 45W</v>
      </c>
      <c r="D10" s="155">
        <f>LOOKUP(INPUT!H14,DATABASE!$E$6:$E$17,DATABASE!$H$6:$H$17)</f>
        <v>45</v>
      </c>
      <c r="E10" s="61">
        <f>INPUT!L14</f>
        <v>5</v>
      </c>
      <c r="F10" s="48">
        <f>INPUT!G14</f>
        <v>4</v>
      </c>
      <c r="G10" s="222">
        <f aca="true" t="shared" si="1" ref="G10:G15">D10*E10*F10/1000</f>
        <v>0.9</v>
      </c>
      <c r="H10" s="214">
        <f t="shared" si="0"/>
        <v>180</v>
      </c>
    </row>
    <row r="11" spans="2:8" ht="12.75">
      <c r="B11" s="52"/>
      <c r="C11" s="48" t="str">
        <f>LOOKUP(INPUT!H15,DATABASE!$E$6:$E$17,DATABASE!$F$6:$F$17)</f>
        <v>Eurolux 45W</v>
      </c>
      <c r="D11" s="155">
        <f>LOOKUP(INPUT!H15,DATABASE!$E$6:$E$17,DATABASE!$H$6:$H$17)</f>
        <v>45</v>
      </c>
      <c r="E11" s="61">
        <f>INPUT!L15</f>
        <v>0</v>
      </c>
      <c r="F11" s="48">
        <f>INPUT!G15</f>
        <v>0</v>
      </c>
      <c r="G11" s="222">
        <f t="shared" si="1"/>
        <v>0</v>
      </c>
      <c r="H11" s="214">
        <f t="shared" si="0"/>
        <v>0</v>
      </c>
    </row>
    <row r="12" spans="2:8" ht="12.75">
      <c r="B12" s="52"/>
      <c r="C12" s="48" t="str">
        <f>LOOKUP(INPUT!H16,DATABASE!$E$6:$E$17,DATABASE!$F$6:$F$17)</f>
        <v>Eurolux 85W</v>
      </c>
      <c r="D12" s="155">
        <f>LOOKUP(INPUT!H16,DATABASE!$E$6:$E$17,DATABASE!$H$6:$H$17)</f>
        <v>85</v>
      </c>
      <c r="E12" s="61">
        <f>INPUT!L16</f>
        <v>0</v>
      </c>
      <c r="F12" s="48">
        <f>INPUT!G16</f>
        <v>0</v>
      </c>
      <c r="G12" s="222">
        <f t="shared" si="1"/>
        <v>0</v>
      </c>
      <c r="H12" s="214">
        <f t="shared" si="0"/>
        <v>0</v>
      </c>
    </row>
    <row r="13" spans="2:8" ht="12.75">
      <c r="B13" s="52"/>
      <c r="C13" s="48" t="str">
        <f>LOOKUP(INPUT!H17,DATABASE!$E$6:$E$17,DATABASE!$F$6:$F$17)</f>
        <v>Osram 14W</v>
      </c>
      <c r="D13" s="155">
        <f>LOOKUP(INPUT!H17,DATABASE!$E$6:$E$17,DATABASE!$H$6:$H$17)</f>
        <v>14</v>
      </c>
      <c r="E13" s="61">
        <f>INPUT!L17</f>
        <v>0</v>
      </c>
      <c r="F13" s="48">
        <f>INPUT!G17</f>
        <v>0</v>
      </c>
      <c r="G13" s="222">
        <f t="shared" si="1"/>
        <v>0</v>
      </c>
      <c r="H13" s="214">
        <f t="shared" si="0"/>
        <v>0</v>
      </c>
    </row>
    <row r="14" spans="2:8" ht="12.75">
      <c r="B14" s="52"/>
      <c r="C14" s="48" t="str">
        <f>LOOKUP(INPUT!H18,DATABASE!$E$6:$E$17,DATABASE!$F$6:$F$17)</f>
        <v>Major tech Work light, 2x26W</v>
      </c>
      <c r="D14" s="155">
        <f>LOOKUP(INPUT!H18,DATABASE!$E$6:$E$17,DATABASE!$H$6:$H$17)</f>
        <v>52</v>
      </c>
      <c r="E14" s="61">
        <f>INPUT!L18</f>
        <v>0</v>
      </c>
      <c r="F14" s="48">
        <f>INPUT!G18</f>
        <v>0</v>
      </c>
      <c r="G14" s="222">
        <f t="shared" si="1"/>
        <v>0</v>
      </c>
      <c r="H14" s="214">
        <f t="shared" si="0"/>
        <v>0</v>
      </c>
    </row>
    <row r="15" spans="2:8" ht="12.75">
      <c r="B15" s="39"/>
      <c r="C15" s="48"/>
      <c r="D15" s="155"/>
      <c r="E15" s="61"/>
      <c r="F15" s="48"/>
      <c r="G15" s="222">
        <f t="shared" si="1"/>
        <v>0</v>
      </c>
      <c r="H15" s="214"/>
    </row>
    <row r="16" spans="2:8" ht="15.75">
      <c r="B16" s="50" t="s">
        <v>40</v>
      </c>
      <c r="C16" s="47"/>
      <c r="D16" s="146"/>
      <c r="E16" s="60"/>
      <c r="F16" s="47"/>
      <c r="G16" s="223">
        <f>SUM(G17)</f>
        <v>0.817</v>
      </c>
      <c r="H16" s="157">
        <f>SUM(H17)</f>
        <v>102.125</v>
      </c>
    </row>
    <row r="17" spans="2:8" ht="12.75">
      <c r="B17" s="54"/>
      <c r="C17" s="48" t="str">
        <f>LOOKUP(INPUT!H37,DATABASE!E39:E50,DATABASE!F39:F50)</f>
        <v>Freezer: SunDanzer DCF225</v>
      </c>
      <c r="D17" s="155">
        <f>LOOKUP(INPUT!H37,DATABASE!E39:E50,DATABASE!I39:I50)</f>
        <v>102.125</v>
      </c>
      <c r="E17" s="61">
        <f>8</f>
        <v>8</v>
      </c>
      <c r="F17" s="48">
        <f>INPUT!$G$37</f>
        <v>1</v>
      </c>
      <c r="G17" s="222">
        <f>E17*F17*D17/1000</f>
        <v>0.817</v>
      </c>
      <c r="H17" s="214">
        <f>D17*F17</f>
        <v>102.125</v>
      </c>
    </row>
    <row r="18" spans="2:8" ht="12.75">
      <c r="B18" s="39"/>
      <c r="C18" s="48"/>
      <c r="D18" s="155"/>
      <c r="E18" s="61"/>
      <c r="F18" s="48"/>
      <c r="G18" s="222">
        <f>E18*F18*D18/1000</f>
        <v>0</v>
      </c>
      <c r="H18" s="214"/>
    </row>
    <row r="19" spans="2:8" ht="15.75">
      <c r="B19" s="55" t="s">
        <v>44</v>
      </c>
      <c r="C19" s="47"/>
      <c r="D19" s="146"/>
      <c r="E19" s="60"/>
      <c r="F19" s="47"/>
      <c r="G19" s="223">
        <f>SUM(G20:G21)</f>
        <v>0.088</v>
      </c>
      <c r="H19" s="157">
        <f>SUM(H20:H21)</f>
        <v>44</v>
      </c>
    </row>
    <row r="20" spans="2:8" ht="12.75">
      <c r="B20" s="52"/>
      <c r="C20" s="215" t="str">
        <f>LOOKUP(INPUT!H64,DATABASE!E87:E93,DATABASE!F87:F93)</f>
        <v>Sylvania 15" LCD HDTV/DVD Combo</v>
      </c>
      <c r="D20" s="155">
        <f>LOOKUP(INPUT!H64,DATABASE!E87:E93,DATABASE!H87:H93)</f>
        <v>44</v>
      </c>
      <c r="E20" s="61">
        <f>INPUT!L64</f>
        <v>2</v>
      </c>
      <c r="F20" s="48">
        <f>INPUT!G64</f>
        <v>1</v>
      </c>
      <c r="G20" s="222">
        <f>E20*F20*D20/1000</f>
        <v>0.088</v>
      </c>
      <c r="H20" s="214">
        <f>D20*F20</f>
        <v>44</v>
      </c>
    </row>
    <row r="21" spans="2:8" ht="12.75">
      <c r="B21" s="52"/>
      <c r="C21" s="48" t="str">
        <f>LOOKUP(INPUT!H67,DATABASE!E97:E103,DATABASE!F97:F103)</f>
        <v>Toshiba S-D4000</v>
      </c>
      <c r="D21" s="155">
        <f>LOOKUP(INPUT!H67,DATABASE!E97:E103,DATABASE!H97:H103)</f>
        <v>8</v>
      </c>
      <c r="E21" s="61">
        <f>INPUT!L67</f>
        <v>0</v>
      </c>
      <c r="F21" s="48">
        <f>INPUT!G67</f>
        <v>0</v>
      </c>
      <c r="G21" s="222">
        <f>E21*F21*D21/1000</f>
        <v>0</v>
      </c>
      <c r="H21" s="214">
        <f>D21*F21</f>
        <v>0</v>
      </c>
    </row>
    <row r="22" spans="2:8" ht="15.75">
      <c r="B22" s="55" t="s">
        <v>67</v>
      </c>
      <c r="C22" s="47"/>
      <c r="D22" s="146"/>
      <c r="E22" s="60"/>
      <c r="F22" s="47"/>
      <c r="G22" s="223">
        <f>SUM(G23:G26)</f>
        <v>0.932</v>
      </c>
      <c r="H22" s="157">
        <f>SUM(H23:H25)</f>
        <v>466</v>
      </c>
    </row>
    <row r="23" spans="2:8" ht="12.75">
      <c r="B23" s="39"/>
      <c r="C23" s="48" t="str">
        <f>LOOKUP(INPUT!H54,DATABASE!$E$69:$E$79,DATABASE!$F$69:$F$79)</f>
        <v>DewaltDW756 6" Heavy Duty</v>
      </c>
      <c r="D23" s="155">
        <f>LOOKUP(INPUT!H54,DATABASE!$E$69:$E$79,DATABASE!$H$69:$H$79)</f>
        <v>466</v>
      </c>
      <c r="E23" s="61">
        <f>INPUT!L54</f>
        <v>2</v>
      </c>
      <c r="F23" s="48">
        <f>INPUT!G54</f>
        <v>1</v>
      </c>
      <c r="G23" s="222">
        <f>E23*F23*D23/1000</f>
        <v>0.932</v>
      </c>
      <c r="H23" s="214">
        <f>D23*F23</f>
        <v>466</v>
      </c>
    </row>
    <row r="24" spans="2:8" ht="12.75">
      <c r="B24" s="39"/>
      <c r="C24" s="48" t="str">
        <f>LOOKUP(INPUT!H55,DATABASE!$E$69:$E$79,DATABASE!$F$69:$F$79)</f>
        <v>Jet Bench Grinder 3450 rpm</v>
      </c>
      <c r="D24" s="155">
        <f>LOOKUP(INPUT!H55,DATABASE!$E$69:$E$79,DATABASE!$H$69:$H$79)</f>
        <v>745</v>
      </c>
      <c r="E24" s="61">
        <f>INPUT!L55</f>
        <v>0</v>
      </c>
      <c r="F24" s="48">
        <f>INPUT!G55</f>
        <v>0</v>
      </c>
      <c r="G24" s="222">
        <f>E24*F24*D24/1000</f>
        <v>0</v>
      </c>
      <c r="H24" s="214">
        <f>D24*F24</f>
        <v>0</v>
      </c>
    </row>
    <row r="25" spans="2:8" ht="12.75">
      <c r="B25" s="39"/>
      <c r="C25" s="215" t="str">
        <f>LOOKUP(INPUT!H56,DATABASE!$E$69:$E$79,DATABASE!$F$69:$F$79)</f>
        <v>Northern Industrial Bench Grinder 3/4 hp</v>
      </c>
      <c r="D25" s="155">
        <f>LOOKUP(INPUT!H56,DATABASE!$E$69:$E$79,DATABASE!$H$69:$H$79)</f>
        <v>560</v>
      </c>
      <c r="E25" s="61">
        <f>INPUT!L56</f>
        <v>0</v>
      </c>
      <c r="F25" s="48">
        <f>INPUT!G56</f>
        <v>0</v>
      </c>
      <c r="G25" s="222">
        <f>E25*F25*D25/1000</f>
        <v>0</v>
      </c>
      <c r="H25" s="214">
        <f>D25*F25</f>
        <v>0</v>
      </c>
    </row>
    <row r="26" spans="2:8" ht="12.75">
      <c r="B26" s="39"/>
      <c r="C26" s="48"/>
      <c r="D26" s="155"/>
      <c r="E26" s="61"/>
      <c r="F26" s="48"/>
      <c r="G26" s="222">
        <f>E26*F26*D26/1000</f>
        <v>0</v>
      </c>
      <c r="H26" s="154"/>
    </row>
    <row r="27" spans="2:8" ht="15.75">
      <c r="B27" s="55" t="s">
        <v>71</v>
      </c>
      <c r="C27" s="63"/>
      <c r="D27" s="156"/>
      <c r="E27" s="64"/>
      <c r="F27" s="63"/>
      <c r="G27" s="223">
        <f>SUM(G28:G29)</f>
        <v>0.12</v>
      </c>
      <c r="H27" s="157">
        <f>SUM(H28)</f>
        <v>60</v>
      </c>
    </row>
    <row r="28" spans="2:8" ht="12.75">
      <c r="B28" s="39"/>
      <c r="C28" s="215" t="s">
        <v>139</v>
      </c>
      <c r="D28" s="155">
        <v>15</v>
      </c>
      <c r="E28" s="61">
        <v>2</v>
      </c>
      <c r="F28" s="48">
        <f>INPUT!J6</f>
        <v>4</v>
      </c>
      <c r="G28" s="222">
        <f>E28*F28*D28/1000</f>
        <v>0.12</v>
      </c>
      <c r="H28" s="214">
        <f>D28*F28</f>
        <v>60</v>
      </c>
    </row>
    <row r="29" spans="2:8" ht="12.75">
      <c r="B29" s="39"/>
      <c r="C29" s="48"/>
      <c r="D29" s="155"/>
      <c r="E29" s="61"/>
      <c r="F29" s="48"/>
      <c r="G29" s="222">
        <f>E29*F29*D29/1000</f>
        <v>0</v>
      </c>
      <c r="H29" s="214"/>
    </row>
    <row r="30" spans="2:8" ht="15.75">
      <c r="B30" s="55" t="s">
        <v>78</v>
      </c>
      <c r="C30" s="63"/>
      <c r="D30" s="146"/>
      <c r="E30" s="60"/>
      <c r="F30" s="63"/>
      <c r="G30" s="223">
        <f>SUM(G31:G36)</f>
        <v>0</v>
      </c>
      <c r="H30" s="157">
        <f>SUM(H31:H36)</f>
        <v>0</v>
      </c>
    </row>
    <row r="31" spans="1:8" ht="12.75">
      <c r="A31" s="201"/>
      <c r="B31" s="39"/>
      <c r="C31" s="48" t="str">
        <f>LOOKUP(INPUT!H92,DATABASE!$E$138:$E$150,DATABASE!$F$138:$F$150)</f>
        <v>Toilet</v>
      </c>
      <c r="D31" s="155">
        <f>LOOKUP(INPUT!H92,DATABASE!$E$138:$E$150,DATABASE!$H$138:$H$150)</f>
        <v>0</v>
      </c>
      <c r="E31" s="61">
        <f>INPUT!L92</f>
        <v>0</v>
      </c>
      <c r="F31" s="48">
        <f>INPUT!G92</f>
        <v>0</v>
      </c>
      <c r="G31" s="222">
        <f aca="true" t="shared" si="2" ref="G31:G36">E31*F31*D31/1000</f>
        <v>0</v>
      </c>
      <c r="H31" s="214">
        <f aca="true" t="shared" si="3" ref="H31:H36">D31*F31</f>
        <v>0</v>
      </c>
    </row>
    <row r="32" spans="1:8" ht="12.75">
      <c r="A32" s="201"/>
      <c r="B32" s="39"/>
      <c r="C32" s="48" t="str">
        <f>LOOKUP(INPUT!H93,DATABASE!$E$138:$E$150,DATABASE!$F$138:$F$150)</f>
        <v>Shower</v>
      </c>
      <c r="D32" s="155">
        <f>LOOKUP(INPUT!H93,DATABASE!$E$138:$E$150,DATABASE!$H$138:$H$150)</f>
        <v>0</v>
      </c>
      <c r="E32" s="61">
        <f>INPUT!L93</f>
        <v>0</v>
      </c>
      <c r="F32" s="48">
        <f>INPUT!G93</f>
        <v>0</v>
      </c>
      <c r="G32" s="222">
        <f t="shared" si="2"/>
        <v>0</v>
      </c>
      <c r="H32" s="214">
        <f t="shared" si="3"/>
        <v>0</v>
      </c>
    </row>
    <row r="33" spans="1:8" ht="12.75">
      <c r="A33" s="201"/>
      <c r="B33" s="39"/>
      <c r="C33" s="48" t="str">
        <f>LOOKUP(INPUT!H94,DATABASE!$E$138:$E$150,DATABASE!$F$138:$F$150)</f>
        <v>Tents</v>
      </c>
      <c r="D33" s="155">
        <f>LOOKUP(INPUT!H94,DATABASE!$E$138:$E$150,DATABASE!$H$138:$H$150)</f>
        <v>0</v>
      </c>
      <c r="E33" s="61">
        <f>INPUT!L94</f>
        <v>0</v>
      </c>
      <c r="F33" s="48">
        <f>INPUT!G94</f>
        <v>0</v>
      </c>
      <c r="G33" s="222">
        <f t="shared" si="2"/>
        <v>0</v>
      </c>
      <c r="H33" s="214">
        <f t="shared" si="3"/>
        <v>0</v>
      </c>
    </row>
    <row r="34" spans="1:8" ht="12.75">
      <c r="A34" s="201"/>
      <c r="B34" s="39"/>
      <c r="C34" s="48" t="str">
        <f>LOOKUP(INPUT!H95,DATABASE!$E$138:$E$150,DATABASE!$F$138:$F$150)</f>
        <v>Laundry Basin</v>
      </c>
      <c r="D34" s="155">
        <f>LOOKUP(INPUT!H95,DATABASE!$E$138:$E$150,DATABASE!$H$138:$H$150)</f>
        <v>0</v>
      </c>
      <c r="E34" s="61">
        <f>INPUT!L95</f>
        <v>0</v>
      </c>
      <c r="F34" s="48">
        <f>INPUT!G95</f>
        <v>0</v>
      </c>
      <c r="G34" s="222">
        <f t="shared" si="2"/>
        <v>0</v>
      </c>
      <c r="H34" s="214">
        <f t="shared" si="3"/>
        <v>0</v>
      </c>
    </row>
    <row r="35" spans="1:8" ht="12.75">
      <c r="A35" s="201"/>
      <c r="B35" s="39"/>
      <c r="C35" s="48" t="str">
        <f>LOOKUP(INPUT!H96,DATABASE!$E$138:$E$150,DATABASE!$F$138:$F$150)</f>
        <v>Fire Extinguisher</v>
      </c>
      <c r="D35" s="155">
        <f>LOOKUP(INPUT!H96,DATABASE!$E$138:$E$150,DATABASE!$H$138:$H$150)</f>
        <v>0</v>
      </c>
      <c r="E35" s="61">
        <f>INPUT!L96</f>
        <v>0</v>
      </c>
      <c r="F35" s="48">
        <f>INPUT!G96</f>
        <v>0</v>
      </c>
      <c r="G35" s="222">
        <f t="shared" si="2"/>
        <v>0</v>
      </c>
      <c r="H35" s="214">
        <f t="shared" si="3"/>
        <v>0</v>
      </c>
    </row>
    <row r="36" spans="1:8" ht="12.75">
      <c r="A36" s="201"/>
      <c r="B36" s="194"/>
      <c r="C36" s="197" t="str">
        <f>LOOKUP(INPUT!H97,DATABASE!$E$138:$E$150,DATABASE!$F$138:$F$150)</f>
        <v>Canopy</v>
      </c>
      <c r="D36" s="196">
        <f>LOOKUP(INPUT!H97,DATABASE!$E$138:$E$150,DATABASE!$H$138:$H$150)</f>
        <v>0</v>
      </c>
      <c r="E36" s="208">
        <f>INPUT!L97</f>
        <v>0</v>
      </c>
      <c r="F36" s="197">
        <f>INPUT!G97</f>
        <v>0</v>
      </c>
      <c r="G36" s="224">
        <f t="shared" si="2"/>
        <v>0</v>
      </c>
      <c r="H36" s="216">
        <f t="shared" si="3"/>
        <v>0</v>
      </c>
    </row>
  </sheetData>
  <mergeCells count="7">
    <mergeCell ref="H3:H4"/>
    <mergeCell ref="G3:G4"/>
    <mergeCell ref="B3:B4"/>
    <mergeCell ref="C3:C4"/>
    <mergeCell ref="F3:F4"/>
    <mergeCell ref="E3:E4"/>
    <mergeCell ref="D3:D4"/>
  </mergeCells>
  <conditionalFormatting sqref="C9:H15 C28:H29 C17:H18 G26 C23:H25 C31:H36 C20:H21">
    <cfRule type="expression" priority="1" dxfId="0" stopIfTrue="1">
      <formula>OR($F9=0,$E9=0)</formula>
    </cfRule>
  </conditionalFormatting>
  <printOptions/>
  <pageMargins left="0.75" right="0.75" top="1" bottom="1" header="0.5" footer="0.5"/>
  <pageSetup fitToHeight="1" fitToWidth="1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O168"/>
  <sheetViews>
    <sheetView showGridLines="0" workbookViewId="0" topLeftCell="A1">
      <pane ySplit="2" topLeftCell="BM106" activePane="bottomLeft" state="frozen"/>
      <selection pane="topLeft" activeCell="A1" sqref="A1"/>
      <selection pane="bottomLeft" activeCell="K117" sqref="K117"/>
    </sheetView>
  </sheetViews>
  <sheetFormatPr defaultColWidth="9.140625" defaultRowHeight="12.75"/>
  <cols>
    <col min="3" max="3" width="5.8515625" style="0" customWidth="1"/>
    <col min="4" max="4" width="6.421875" style="0" customWidth="1"/>
    <col min="5" max="5" width="2.140625" style="0" customWidth="1"/>
    <col min="6" max="6" width="27.421875" style="0" customWidth="1"/>
    <col min="8" max="8" width="22.7109375" style="0" customWidth="1"/>
    <col min="9" max="9" width="12.00390625" style="0" customWidth="1"/>
  </cols>
  <sheetData>
    <row r="1" s="24" customFormat="1" ht="24" customHeight="1">
      <c r="A1" s="23"/>
    </row>
    <row r="2" s="21" customFormat="1" ht="50.25" customHeight="1" thickBot="1">
      <c r="A2" s="20"/>
    </row>
    <row r="3" spans="4:15" ht="13.5" thickBot="1">
      <c r="D3" s="1"/>
      <c r="E3" s="1"/>
      <c r="F3" s="1"/>
      <c r="G3" s="1"/>
      <c r="H3" s="1"/>
      <c r="I3" s="1"/>
      <c r="J3" s="1"/>
      <c r="K3" s="1"/>
      <c r="L3" s="86"/>
      <c r="M3" s="1"/>
      <c r="N3" s="1"/>
      <c r="O3" s="1"/>
    </row>
    <row r="4" spans="4:15" ht="13.5" thickBot="1">
      <c r="D4" s="106"/>
      <c r="E4" s="248" t="s">
        <v>84</v>
      </c>
      <c r="F4" s="250"/>
      <c r="G4" s="76"/>
      <c r="H4" s="76"/>
      <c r="I4" s="1"/>
      <c r="J4" s="1"/>
      <c r="K4" s="1"/>
      <c r="L4" s="86"/>
      <c r="M4" s="1"/>
      <c r="N4" s="1"/>
      <c r="O4" s="1"/>
    </row>
    <row r="5" spans="4:15" ht="13.5" thickBot="1">
      <c r="D5" s="1"/>
      <c r="E5" s="193"/>
      <c r="F5" s="192" t="s">
        <v>3</v>
      </c>
      <c r="G5" s="192" t="s">
        <v>2</v>
      </c>
      <c r="H5" s="93" t="s">
        <v>58</v>
      </c>
      <c r="I5" s="1"/>
      <c r="J5" s="1"/>
      <c r="K5" s="1"/>
      <c r="L5" s="86"/>
      <c r="M5" s="1"/>
      <c r="N5" s="1"/>
      <c r="O5" s="1"/>
    </row>
    <row r="6" spans="4:15" ht="12.75">
      <c r="D6" s="1"/>
      <c r="E6" s="110">
        <f>IF(ISBLANK(F6),"",1)</f>
        <v>1</v>
      </c>
      <c r="F6" s="13" t="s">
        <v>6</v>
      </c>
      <c r="G6" s="92">
        <v>28</v>
      </c>
      <c r="H6" s="15">
        <v>13</v>
      </c>
      <c r="I6" s="1"/>
      <c r="J6" s="1"/>
      <c r="K6" s="1"/>
      <c r="L6" s="86"/>
      <c r="M6" s="1"/>
      <c r="N6" s="1"/>
      <c r="O6" s="1"/>
    </row>
    <row r="7" spans="4:15" ht="12.75">
      <c r="D7" s="1"/>
      <c r="E7" s="111">
        <f>IF(ISBLANK(F7),"",2)</f>
        <v>2</v>
      </c>
      <c r="F7" s="6" t="s">
        <v>7</v>
      </c>
      <c r="G7" s="90">
        <v>50</v>
      </c>
      <c r="H7" s="9">
        <v>18</v>
      </c>
      <c r="I7" s="1"/>
      <c r="J7" s="1"/>
      <c r="K7" s="1"/>
      <c r="L7" s="86"/>
      <c r="M7" s="1"/>
      <c r="N7" s="1"/>
      <c r="O7" s="1"/>
    </row>
    <row r="8" spans="4:15" ht="12.75">
      <c r="D8" s="1"/>
      <c r="E8" s="111">
        <f>IF(ISBLANK(F8),"",3)</f>
        <v>3</v>
      </c>
      <c r="F8" s="6" t="s">
        <v>9</v>
      </c>
      <c r="G8" s="7">
        <v>240</v>
      </c>
      <c r="H8" s="9">
        <v>45</v>
      </c>
      <c r="I8" s="1"/>
      <c r="J8" s="1"/>
      <c r="K8" s="1"/>
      <c r="L8" s="86"/>
      <c r="M8" s="1"/>
      <c r="N8" s="1"/>
      <c r="O8" s="1"/>
    </row>
    <row r="9" spans="4:15" ht="12.75">
      <c r="D9" s="1"/>
      <c r="E9" s="111">
        <f>IF(ISBLANK(F9),"",4)</f>
        <v>4</v>
      </c>
      <c r="F9" s="6" t="s">
        <v>10</v>
      </c>
      <c r="G9" s="7">
        <v>263</v>
      </c>
      <c r="H9" s="9">
        <v>85</v>
      </c>
      <c r="I9" s="1"/>
      <c r="J9" s="1"/>
      <c r="K9" s="1"/>
      <c r="L9" s="86"/>
      <c r="M9" s="1"/>
      <c r="N9" s="1"/>
      <c r="O9" s="1"/>
    </row>
    <row r="10" spans="4:15" ht="12.75">
      <c r="D10" s="1"/>
      <c r="E10" s="111">
        <f>IF(ISBLANK(F10),"",5)</f>
        <v>5</v>
      </c>
      <c r="F10" s="6" t="s">
        <v>8</v>
      </c>
      <c r="G10" s="90">
        <v>19.5</v>
      </c>
      <c r="H10" s="9">
        <v>14</v>
      </c>
      <c r="I10" s="1"/>
      <c r="J10" s="1"/>
      <c r="K10" s="1"/>
      <c r="L10" s="86"/>
      <c r="M10" s="1"/>
      <c r="N10" s="1"/>
      <c r="O10" s="1"/>
    </row>
    <row r="11" spans="4:15" ht="12.75">
      <c r="D11" s="1"/>
      <c r="E11" s="111">
        <f>IF(ISBLANK(F11),"",6)</f>
        <v>6</v>
      </c>
      <c r="F11" s="6" t="s">
        <v>68</v>
      </c>
      <c r="G11" s="89">
        <v>360</v>
      </c>
      <c r="H11" s="9">
        <v>52</v>
      </c>
      <c r="I11" s="1"/>
      <c r="J11" s="1"/>
      <c r="K11" s="1"/>
      <c r="L11" s="86"/>
      <c r="M11" s="1"/>
      <c r="N11" s="1"/>
      <c r="O11" s="1"/>
    </row>
    <row r="12" spans="4:15" ht="12.75">
      <c r="D12" s="1"/>
      <c r="E12" s="111">
        <f>IF(ISBLANK(F12),"",7)</f>
        <v>7</v>
      </c>
      <c r="F12" s="6" t="s">
        <v>69</v>
      </c>
      <c r="G12" s="7">
        <v>320</v>
      </c>
      <c r="H12" s="9">
        <v>1000</v>
      </c>
      <c r="I12" s="1"/>
      <c r="J12" s="1"/>
      <c r="K12" s="1"/>
      <c r="L12" s="86"/>
      <c r="M12" s="1"/>
      <c r="N12" s="1"/>
      <c r="O12" s="1"/>
    </row>
    <row r="13" spans="4:15" ht="12.75">
      <c r="D13" s="1"/>
      <c r="E13" s="111">
        <f>IF(ISBLANK(F13),"",8)</f>
        <v>8</v>
      </c>
      <c r="F13" s="6" t="s">
        <v>31</v>
      </c>
      <c r="G13" s="8">
        <v>0</v>
      </c>
      <c r="H13" s="9">
        <v>0</v>
      </c>
      <c r="I13" s="1"/>
      <c r="J13" s="1"/>
      <c r="K13" s="1"/>
      <c r="L13" s="86"/>
      <c r="M13" s="1"/>
      <c r="N13" s="1"/>
      <c r="O13" s="1"/>
    </row>
    <row r="14" spans="4:15" ht="12.75">
      <c r="D14" s="1"/>
      <c r="E14" s="111">
        <f>IF(ISBLANK(F14),"",9)</f>
      </c>
      <c r="F14" s="6"/>
      <c r="G14" s="8"/>
      <c r="H14" s="9"/>
      <c r="I14" s="1"/>
      <c r="J14" s="1"/>
      <c r="K14" s="1"/>
      <c r="L14" s="86"/>
      <c r="M14" s="1"/>
      <c r="N14" s="1"/>
      <c r="O14" s="1"/>
    </row>
    <row r="15" spans="4:15" ht="12.75">
      <c r="D15" s="1"/>
      <c r="E15" s="111">
        <f>IF(ISBLANK(F15),"",10)</f>
      </c>
      <c r="F15" s="6"/>
      <c r="G15" s="8"/>
      <c r="H15" s="9"/>
      <c r="I15" s="1"/>
      <c r="J15" s="1"/>
      <c r="K15" s="1"/>
      <c r="L15" s="86"/>
      <c r="M15" s="1"/>
      <c r="N15" s="1"/>
      <c r="O15" s="1"/>
    </row>
    <row r="16" spans="4:15" ht="12.75">
      <c r="D16" s="1"/>
      <c r="E16" s="111">
        <f>IF(ISBLANK(F16),"",11)</f>
      </c>
      <c r="F16" s="6"/>
      <c r="G16" s="8"/>
      <c r="H16" s="9"/>
      <c r="I16" s="1"/>
      <c r="J16" s="1"/>
      <c r="K16" s="1"/>
      <c r="L16" s="86"/>
      <c r="M16" s="1"/>
      <c r="N16" s="1"/>
      <c r="O16" s="1"/>
    </row>
    <row r="17" spans="4:15" ht="13.5" thickBot="1">
      <c r="D17" s="1"/>
      <c r="E17" s="112">
        <f>IF(ISBLANK(F17),"",12)</f>
      </c>
      <c r="F17" s="10"/>
      <c r="G17" s="11"/>
      <c r="H17" s="12"/>
      <c r="I17" s="1"/>
      <c r="J17" s="1"/>
      <c r="K17" s="1"/>
      <c r="L17" s="86"/>
      <c r="M17" s="1"/>
      <c r="N17" s="1"/>
      <c r="O17" s="1"/>
    </row>
    <row r="18" spans="4:15" ht="13.5" thickBot="1">
      <c r="D18" s="1"/>
      <c r="E18" s="75"/>
      <c r="F18" s="75"/>
      <c r="G18" s="280" t="s">
        <v>92</v>
      </c>
      <c r="H18" s="281"/>
      <c r="I18" s="1"/>
      <c r="J18" s="1"/>
      <c r="K18" s="1"/>
      <c r="L18" s="86"/>
      <c r="M18" s="1"/>
      <c r="N18" s="1"/>
      <c r="O18" s="1"/>
    </row>
    <row r="19" spans="4:15" ht="12.75">
      <c r="D19" s="1"/>
      <c r="E19" s="75"/>
      <c r="F19" s="75"/>
      <c r="G19" s="75"/>
      <c r="H19" s="75"/>
      <c r="I19" s="1"/>
      <c r="J19" s="1"/>
      <c r="K19" s="1"/>
      <c r="L19" s="86"/>
      <c r="M19" s="1"/>
      <c r="N19" s="1"/>
      <c r="O19" s="1"/>
    </row>
    <row r="20" spans="4:15" ht="13.5" thickBot="1">
      <c r="D20" s="1"/>
      <c r="E20" s="1"/>
      <c r="F20" s="1"/>
      <c r="G20" s="1"/>
      <c r="H20" s="1"/>
      <c r="I20" s="1"/>
      <c r="J20" s="1"/>
      <c r="K20" s="1"/>
      <c r="L20" s="86"/>
      <c r="M20" s="1"/>
      <c r="N20" s="1"/>
      <c r="O20" s="1"/>
    </row>
    <row r="21" spans="4:15" ht="13.5" thickBot="1">
      <c r="D21" s="106"/>
      <c r="E21" s="248" t="s">
        <v>19</v>
      </c>
      <c r="F21" s="250"/>
      <c r="G21" s="1"/>
      <c r="H21" s="1"/>
      <c r="J21" s="1"/>
      <c r="K21" s="1"/>
      <c r="L21" s="86"/>
      <c r="M21" s="1"/>
      <c r="N21" s="1"/>
      <c r="O21" s="1"/>
    </row>
    <row r="22" spans="4:15" ht="13.5" thickBot="1">
      <c r="D22" s="1"/>
      <c r="E22" s="108"/>
      <c r="F22" s="109" t="s">
        <v>3</v>
      </c>
      <c r="G22" s="3" t="s">
        <v>2</v>
      </c>
      <c r="H22" s="4" t="s">
        <v>5</v>
      </c>
      <c r="J22" s="1"/>
      <c r="K22" s="1"/>
      <c r="L22" s="86"/>
      <c r="M22" s="1"/>
      <c r="N22" s="1"/>
      <c r="O22" s="1"/>
    </row>
    <row r="23" spans="4:15" ht="12.75">
      <c r="D23" s="1"/>
      <c r="E23" s="13">
        <f>IF(ISBLANK(F23),"",1)</f>
        <v>1</v>
      </c>
      <c r="F23" s="107" t="s">
        <v>20</v>
      </c>
      <c r="G23" s="92">
        <v>1329.74</v>
      </c>
      <c r="H23" s="15">
        <v>500</v>
      </c>
      <c r="J23" s="1"/>
      <c r="K23" s="1"/>
      <c r="L23" s="86"/>
      <c r="M23" s="1"/>
      <c r="N23" s="1"/>
      <c r="O23" s="1"/>
    </row>
    <row r="24" spans="4:15" ht="12.75">
      <c r="D24" s="1"/>
      <c r="E24" s="6">
        <f>IF(ISBLANK(F24),"",2)</f>
        <v>2</v>
      </c>
      <c r="F24" s="69" t="s">
        <v>21</v>
      </c>
      <c r="G24" s="90">
        <v>221.61</v>
      </c>
      <c r="H24" s="9">
        <v>100</v>
      </c>
      <c r="J24" s="1"/>
      <c r="K24" s="1"/>
      <c r="L24" s="86"/>
      <c r="M24" s="1"/>
      <c r="N24" s="1"/>
      <c r="O24" s="1"/>
    </row>
    <row r="25" spans="4:15" ht="12.75">
      <c r="D25" s="1"/>
      <c r="E25" s="6">
        <f>IF(ISBLANK(F25),"",3)</f>
        <v>3</v>
      </c>
      <c r="F25" s="69" t="s">
        <v>22</v>
      </c>
      <c r="G25" s="90">
        <v>487.56</v>
      </c>
      <c r="H25" s="9">
        <v>210</v>
      </c>
      <c r="J25" s="1"/>
      <c r="K25" s="1"/>
      <c r="L25" s="86"/>
      <c r="M25" s="1"/>
      <c r="N25" s="1"/>
      <c r="O25" s="1"/>
    </row>
    <row r="26" spans="4:15" ht="12.75">
      <c r="D26" s="1"/>
      <c r="E26" s="6">
        <f>IF(ISBLANK(F26),"",4)</f>
        <v>4</v>
      </c>
      <c r="F26" s="69" t="s">
        <v>23</v>
      </c>
      <c r="G26" s="8">
        <v>1014.3</v>
      </c>
      <c r="H26" s="9">
        <v>500</v>
      </c>
      <c r="J26" s="1"/>
      <c r="K26" s="1"/>
      <c r="L26" s="86"/>
      <c r="M26" s="1"/>
      <c r="N26" s="1"/>
      <c r="O26" s="1"/>
    </row>
    <row r="27" spans="4:15" ht="12.75">
      <c r="D27" s="1"/>
      <c r="E27" s="6">
        <f>IF(ISBLANK(F27),"",5)</f>
        <v>5</v>
      </c>
      <c r="F27" s="69" t="s">
        <v>66</v>
      </c>
      <c r="G27" s="8"/>
      <c r="H27" s="9"/>
      <c r="J27" s="1"/>
      <c r="K27" s="1"/>
      <c r="L27" s="86"/>
      <c r="M27" s="1"/>
      <c r="N27" s="1"/>
      <c r="O27" s="1"/>
    </row>
    <row r="28" spans="4:15" ht="12.75">
      <c r="D28" s="86"/>
      <c r="E28" s="6">
        <f>IF(ISBLANK(F28),"",6)</f>
        <v>6</v>
      </c>
      <c r="F28" s="17" t="s">
        <v>31</v>
      </c>
      <c r="G28" s="8">
        <v>0</v>
      </c>
      <c r="H28" s="9">
        <v>0</v>
      </c>
      <c r="J28" s="86"/>
      <c r="K28" s="86"/>
      <c r="L28" s="86"/>
      <c r="M28" s="1"/>
      <c r="N28" s="1"/>
      <c r="O28" s="1"/>
    </row>
    <row r="29" spans="4:15" ht="12.75">
      <c r="D29" s="86"/>
      <c r="E29" s="6">
        <f>IF(ISBLANK(F29),"",7)</f>
      </c>
      <c r="F29" s="17"/>
      <c r="G29" s="8"/>
      <c r="H29" s="9"/>
      <c r="J29" s="86"/>
      <c r="L29" s="86"/>
      <c r="M29" s="1"/>
      <c r="N29" s="1"/>
      <c r="O29" s="1"/>
    </row>
    <row r="30" spans="4:15" ht="12.75">
      <c r="D30" s="86"/>
      <c r="E30" s="6">
        <f>IF(ISBLANK(F30),"",8)</f>
      </c>
      <c r="F30" s="17"/>
      <c r="G30" s="8"/>
      <c r="H30" s="9"/>
      <c r="J30" s="86"/>
      <c r="L30" s="86"/>
      <c r="M30" s="1"/>
      <c r="N30" s="1"/>
      <c r="O30" s="1"/>
    </row>
    <row r="31" spans="4:15" ht="12.75">
      <c r="D31" s="1"/>
      <c r="E31" s="6">
        <f>IF(ISBLANK(F31),"",9)</f>
      </c>
      <c r="F31" s="17"/>
      <c r="G31" s="8"/>
      <c r="H31" s="9"/>
      <c r="J31" s="86"/>
      <c r="L31" s="1"/>
      <c r="M31" s="1"/>
      <c r="N31" s="1"/>
      <c r="O31" s="1"/>
    </row>
    <row r="32" spans="4:15" ht="13.5" thickBot="1">
      <c r="D32" s="1"/>
      <c r="E32" s="10">
        <f>IF(ISBLANK(F32),"",10)</f>
      </c>
      <c r="F32" s="20"/>
      <c r="G32" s="11"/>
      <c r="H32" s="12"/>
      <c r="J32" s="86"/>
      <c r="L32" s="1"/>
      <c r="M32" s="1"/>
      <c r="N32" s="1"/>
      <c r="O32" s="1"/>
    </row>
    <row r="33" spans="4:15" ht="13.5" thickBot="1">
      <c r="D33" s="1"/>
      <c r="E33" s="75"/>
      <c r="F33" s="32"/>
      <c r="G33" s="226" t="s">
        <v>93</v>
      </c>
      <c r="H33" s="249"/>
      <c r="J33" s="86"/>
      <c r="L33" s="1"/>
      <c r="M33" s="1"/>
      <c r="N33" s="1"/>
      <c r="O33" s="1"/>
    </row>
    <row r="34" spans="3:12" ht="12.75">
      <c r="C34" s="1"/>
      <c r="D34" s="1"/>
      <c r="E34" s="75">
        <f>IF(ISBLANK(F34),"",11)</f>
      </c>
      <c r="F34" s="75"/>
      <c r="G34" s="75"/>
      <c r="H34" s="75"/>
      <c r="I34" s="75"/>
      <c r="J34" s="1"/>
      <c r="K34" s="1"/>
      <c r="L34" s="1"/>
    </row>
    <row r="35" spans="3:12" ht="12.75">
      <c r="C35" s="1"/>
      <c r="D35" s="1"/>
      <c r="E35" s="75">
        <f>IF(ISBLANK(F35),"",12)</f>
      </c>
      <c r="F35" s="75"/>
      <c r="G35" s="75"/>
      <c r="H35" s="75"/>
      <c r="I35" s="75"/>
      <c r="J35" s="1"/>
      <c r="K35" s="1"/>
      <c r="L35" s="1"/>
    </row>
    <row r="36" spans="3:12" ht="13.5" thickBot="1">
      <c r="C36" s="1"/>
      <c r="D36" s="76"/>
      <c r="E36" s="75">
        <f>IF(ISBLANK(F36),"",13)</f>
      </c>
      <c r="F36" s="75"/>
      <c r="G36" s="75"/>
      <c r="H36" s="75"/>
      <c r="I36" s="75"/>
      <c r="J36" s="1"/>
      <c r="K36" s="1"/>
      <c r="L36" s="1"/>
    </row>
    <row r="37" spans="3:12" ht="13.5" thickBot="1">
      <c r="C37" s="1"/>
      <c r="D37" s="106"/>
      <c r="E37" s="248" t="s">
        <v>1</v>
      </c>
      <c r="F37" s="250"/>
      <c r="G37" s="1"/>
      <c r="H37" s="1"/>
      <c r="I37" s="1"/>
      <c r="J37" s="1"/>
      <c r="K37" s="1"/>
      <c r="L37" s="1"/>
    </row>
    <row r="38" spans="3:12" ht="13.5" thickBot="1">
      <c r="C38" s="1"/>
      <c r="D38" s="1"/>
      <c r="E38" s="36"/>
      <c r="F38" s="101" t="s">
        <v>3</v>
      </c>
      <c r="G38" s="3" t="s">
        <v>2</v>
      </c>
      <c r="H38" s="3" t="s">
        <v>5</v>
      </c>
      <c r="I38" s="282" t="s">
        <v>85</v>
      </c>
      <c r="J38" s="283"/>
      <c r="K38" s="1"/>
      <c r="L38" s="1"/>
    </row>
    <row r="39" spans="3:12" ht="12.75">
      <c r="C39" s="1"/>
      <c r="D39" s="1"/>
      <c r="E39" s="13">
        <f>IF(ISBLANK(F39),"",1)</f>
        <v>1</v>
      </c>
      <c r="F39" s="13" t="s">
        <v>36</v>
      </c>
      <c r="G39" s="14">
        <v>8392</v>
      </c>
      <c r="H39" s="29">
        <v>163</v>
      </c>
      <c r="I39" s="273">
        <v>43.5</v>
      </c>
      <c r="J39" s="274"/>
      <c r="K39" s="1"/>
      <c r="L39" s="1"/>
    </row>
    <row r="40" spans="3:12" ht="12.75">
      <c r="C40" s="1"/>
      <c r="D40" s="1"/>
      <c r="E40" s="6">
        <f>IF(ISBLANK(F40),"",2)</f>
        <v>2</v>
      </c>
      <c r="F40" s="6" t="s">
        <v>37</v>
      </c>
      <c r="G40" s="7">
        <v>9192</v>
      </c>
      <c r="H40" s="8">
        <v>229</v>
      </c>
      <c r="I40" s="275">
        <v>49.125</v>
      </c>
      <c r="J40" s="272"/>
      <c r="K40" s="1"/>
      <c r="L40" s="1"/>
    </row>
    <row r="41" spans="3:12" ht="12.75">
      <c r="C41" s="1"/>
      <c r="D41" s="1"/>
      <c r="E41" s="6">
        <f>IF(ISBLANK(F41),"",3)</f>
        <v>3</v>
      </c>
      <c r="F41" s="6" t="s">
        <v>38</v>
      </c>
      <c r="G41" s="7">
        <v>8392</v>
      </c>
      <c r="H41" s="8">
        <v>163</v>
      </c>
      <c r="I41" s="275">
        <v>95.75</v>
      </c>
      <c r="J41" s="272"/>
      <c r="K41" s="1"/>
      <c r="L41" s="1"/>
    </row>
    <row r="42" spans="3:12" ht="12.75">
      <c r="C42" s="1"/>
      <c r="D42" s="1"/>
      <c r="E42" s="6">
        <f>IF(ISBLANK(F42),"",4)</f>
        <v>4</v>
      </c>
      <c r="F42" s="6" t="s">
        <v>39</v>
      </c>
      <c r="G42" s="7">
        <v>9192</v>
      </c>
      <c r="H42" s="8">
        <v>229</v>
      </c>
      <c r="I42" s="275">
        <v>102.125</v>
      </c>
      <c r="J42" s="272"/>
      <c r="K42" s="1"/>
      <c r="L42" s="1"/>
    </row>
    <row r="43" spans="3:12" ht="12.75">
      <c r="C43" s="1"/>
      <c r="D43" s="1"/>
      <c r="E43" s="6">
        <f>IF(ISBLANK(F43),"",5)</f>
        <v>5</v>
      </c>
      <c r="F43" s="6" t="s">
        <v>31</v>
      </c>
      <c r="G43" s="8">
        <v>0</v>
      </c>
      <c r="H43" s="8">
        <v>0</v>
      </c>
      <c r="I43" s="229">
        <v>0</v>
      </c>
      <c r="J43" s="272"/>
      <c r="K43" s="1"/>
      <c r="L43" s="1"/>
    </row>
    <row r="44" spans="3:12" ht="12.75">
      <c r="C44" s="1"/>
      <c r="D44" s="1"/>
      <c r="E44" s="6">
        <f>IF(ISBLANK(F44),"",6)</f>
      </c>
      <c r="F44" s="6"/>
      <c r="G44" s="8"/>
      <c r="H44" s="8"/>
      <c r="I44" s="229"/>
      <c r="J44" s="272"/>
      <c r="K44" s="1"/>
      <c r="L44" s="1"/>
    </row>
    <row r="45" spans="3:12" ht="12.75">
      <c r="C45" s="1"/>
      <c r="D45" s="1"/>
      <c r="E45" s="6">
        <f>IF(ISBLANK(F45),"",7)</f>
      </c>
      <c r="F45" s="6"/>
      <c r="G45" s="8"/>
      <c r="H45" s="8"/>
      <c r="I45" s="229"/>
      <c r="J45" s="272"/>
      <c r="K45" s="1"/>
      <c r="L45" s="1"/>
    </row>
    <row r="46" spans="3:12" ht="12.75">
      <c r="C46" s="1"/>
      <c r="D46" s="1"/>
      <c r="E46" s="6">
        <f>IF(ISBLANK(F46),"",8)</f>
      </c>
      <c r="F46" s="6"/>
      <c r="G46" s="8"/>
      <c r="H46" s="8"/>
      <c r="I46" s="229"/>
      <c r="J46" s="272"/>
      <c r="K46" s="1"/>
      <c r="L46" s="1"/>
    </row>
    <row r="47" spans="3:12" ht="12.75">
      <c r="C47" s="1"/>
      <c r="D47" s="1"/>
      <c r="E47" s="6">
        <f>IF(ISBLANK(F47),"",9)</f>
      </c>
      <c r="F47" s="6"/>
      <c r="G47" s="8"/>
      <c r="H47" s="8"/>
      <c r="I47" s="229"/>
      <c r="J47" s="272"/>
      <c r="K47" s="1"/>
      <c r="L47" s="1"/>
    </row>
    <row r="48" spans="3:12" ht="12.75">
      <c r="C48" s="1"/>
      <c r="D48" s="1"/>
      <c r="E48" s="6">
        <f>IF(ISBLANK(F48),"",10)</f>
      </c>
      <c r="F48" s="6"/>
      <c r="G48" s="8"/>
      <c r="H48" s="8"/>
      <c r="I48" s="229"/>
      <c r="J48" s="272"/>
      <c r="K48" s="1"/>
      <c r="L48" s="1"/>
    </row>
    <row r="49" spans="3:12" ht="12.75">
      <c r="C49" s="1"/>
      <c r="D49" s="1"/>
      <c r="E49" s="6">
        <f>IF(ISBLANK(F49),"",11)</f>
      </c>
      <c r="F49" s="6"/>
      <c r="G49" s="8"/>
      <c r="H49" s="8"/>
      <c r="I49" s="229"/>
      <c r="J49" s="272"/>
      <c r="K49" s="1"/>
      <c r="L49" s="1"/>
    </row>
    <row r="50" spans="3:12" ht="13.5" thickBot="1">
      <c r="C50" s="1"/>
      <c r="D50" s="1"/>
      <c r="E50" s="10">
        <f>IF(ISBLANK(F50),"",12)</f>
      </c>
      <c r="F50" s="10"/>
      <c r="G50" s="11"/>
      <c r="H50" s="11"/>
      <c r="I50" s="276"/>
      <c r="J50" s="277"/>
      <c r="K50" s="1"/>
      <c r="L50" s="1"/>
    </row>
    <row r="51" spans="3:12" ht="13.5" thickBot="1">
      <c r="C51" s="1"/>
      <c r="D51" s="1"/>
      <c r="E51" s="75"/>
      <c r="F51" s="75"/>
      <c r="G51" s="75"/>
      <c r="H51" s="226" t="s">
        <v>94</v>
      </c>
      <c r="I51" s="227"/>
      <c r="J51" s="249"/>
      <c r="K51" s="1"/>
      <c r="L51" s="1"/>
    </row>
    <row r="52" spans="3:12" ht="12.75"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3:12" ht="12.75"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4:12" ht="13.5" thickBot="1">
      <c r="D54" s="1"/>
      <c r="E54" s="1"/>
      <c r="F54" s="1"/>
      <c r="G54" s="1"/>
      <c r="H54" s="1"/>
      <c r="I54" s="1"/>
      <c r="J54" s="1"/>
      <c r="K54" s="1"/>
      <c r="L54" s="1"/>
    </row>
    <row r="55" spans="4:10" ht="13.5" thickBot="1">
      <c r="D55" s="94"/>
      <c r="E55" s="80"/>
      <c r="F55" s="70" t="s">
        <v>4</v>
      </c>
      <c r="G55" s="1"/>
      <c r="H55" s="1"/>
      <c r="J55" s="1"/>
    </row>
    <row r="56" spans="4:10" ht="12.75">
      <c r="D56" s="94"/>
      <c r="E56" s="57"/>
      <c r="F56" s="103" t="s">
        <v>3</v>
      </c>
      <c r="G56" s="93" t="s">
        <v>2</v>
      </c>
      <c r="H56" s="102"/>
      <c r="J56" s="1"/>
    </row>
    <row r="57" spans="4:10" ht="12.75">
      <c r="D57" s="94"/>
      <c r="E57" s="6">
        <f>IF(ISBLANK(F57),"",1)</f>
        <v>1</v>
      </c>
      <c r="F57" s="6" t="s">
        <v>11</v>
      </c>
      <c r="G57" s="104">
        <v>150</v>
      </c>
      <c r="H57" s="35"/>
      <c r="J57" s="1"/>
    </row>
    <row r="58" spans="4:10" ht="12.75">
      <c r="D58" s="94"/>
      <c r="E58" s="6">
        <f>IF(ISBLANK(F58),"",2)</f>
        <v>2</v>
      </c>
      <c r="F58" s="6" t="s">
        <v>12</v>
      </c>
      <c r="G58" s="104">
        <v>232</v>
      </c>
      <c r="H58" s="35"/>
      <c r="J58" s="1"/>
    </row>
    <row r="59" spans="4:10" ht="12.75">
      <c r="D59" s="94"/>
      <c r="E59" s="6">
        <f>IF(ISBLANK(F59),"",3)</f>
        <v>3</v>
      </c>
      <c r="F59" s="6" t="s">
        <v>31</v>
      </c>
      <c r="G59" s="9">
        <v>0</v>
      </c>
      <c r="H59" s="35"/>
      <c r="J59" s="1"/>
    </row>
    <row r="60" spans="4:10" ht="12.75">
      <c r="D60" s="94"/>
      <c r="E60" s="6">
        <f>IF(ISBLANK(F60),"",4)</f>
      </c>
      <c r="F60" s="6"/>
      <c r="G60" s="9"/>
      <c r="H60" s="35"/>
      <c r="J60" s="1"/>
    </row>
    <row r="61" spans="4:10" ht="12.75">
      <c r="D61" s="94"/>
      <c r="E61" s="6">
        <f>IF(ISBLANK(F61),"",5)</f>
      </c>
      <c r="F61" s="6"/>
      <c r="G61" s="9"/>
      <c r="H61" s="35"/>
      <c r="J61" s="1"/>
    </row>
    <row r="62" spans="4:10" ht="12.75">
      <c r="D62" s="94"/>
      <c r="E62" s="6">
        <f>IF(ISBLANK(F62),"",6)</f>
      </c>
      <c r="F62" s="6"/>
      <c r="G62" s="9"/>
      <c r="H62" s="35"/>
      <c r="J62" s="1"/>
    </row>
    <row r="63" spans="4:10" ht="13.5" thickBot="1">
      <c r="D63" s="94"/>
      <c r="E63" s="10">
        <f>IF(ISBLANK(F63),"",7)</f>
      </c>
      <c r="F63" s="10"/>
      <c r="G63" s="12"/>
      <c r="H63" s="35"/>
      <c r="J63" s="1"/>
    </row>
    <row r="64" spans="4:10" ht="13.5" thickBot="1">
      <c r="D64" s="2"/>
      <c r="E64" s="75"/>
      <c r="F64" s="226" t="s">
        <v>95</v>
      </c>
      <c r="G64" s="249"/>
      <c r="H64" s="35"/>
      <c r="J64" s="1"/>
    </row>
    <row r="65" spans="6:10" ht="12.75">
      <c r="F65" s="1"/>
      <c r="G65" s="34">
        <f>IF(ISBLANK(H65),"",8)</f>
      </c>
      <c r="H65" s="35"/>
      <c r="I65" s="35"/>
      <c r="J65" s="1"/>
    </row>
    <row r="66" ht="13.5" thickBot="1"/>
    <row r="67" spans="5:6" ht="13.5" thickBot="1">
      <c r="E67" s="80"/>
      <c r="F67" s="16" t="s">
        <v>67</v>
      </c>
    </row>
    <row r="68" spans="5:8" ht="13.5" thickBot="1">
      <c r="E68" s="173"/>
      <c r="F68" s="37" t="s">
        <v>3</v>
      </c>
      <c r="G68" s="26" t="s">
        <v>60</v>
      </c>
      <c r="H68" s="67" t="s">
        <v>51</v>
      </c>
    </row>
    <row r="69" spans="5:8" ht="12.75">
      <c r="E69" s="111">
        <f>IF(ISBLANK(F69),"",1)</f>
        <v>1</v>
      </c>
      <c r="F69" s="17" t="s">
        <v>59</v>
      </c>
      <c r="G69" s="8">
        <f>8*80</f>
        <v>640</v>
      </c>
      <c r="H69" s="9">
        <v>466</v>
      </c>
    </row>
    <row r="70" spans="5:8" ht="12.75">
      <c r="E70" s="111">
        <f>IF(ISBLANK(F70),"",2)</f>
        <v>2</v>
      </c>
      <c r="F70" s="17" t="s">
        <v>62</v>
      </c>
      <c r="G70" s="8">
        <f>8*180</f>
        <v>1440</v>
      </c>
      <c r="H70" s="9">
        <v>745</v>
      </c>
    </row>
    <row r="71" spans="5:8" ht="12.75">
      <c r="E71" s="111">
        <f>IF(ISBLANK(F71),"",3)</f>
        <v>3</v>
      </c>
      <c r="F71" s="17" t="s">
        <v>63</v>
      </c>
      <c r="G71" s="8">
        <f>8*60</f>
        <v>480</v>
      </c>
      <c r="H71" s="9">
        <v>560</v>
      </c>
    </row>
    <row r="72" spans="5:8" ht="12.75">
      <c r="E72" s="111">
        <f>IF(ISBLANK(F72),"",4)</f>
        <v>4</v>
      </c>
      <c r="F72" s="17" t="s">
        <v>64</v>
      </c>
      <c r="G72" s="8">
        <f>8*60</f>
        <v>480</v>
      </c>
      <c r="H72" s="9">
        <v>373</v>
      </c>
    </row>
    <row r="73" spans="5:8" ht="12.75">
      <c r="E73" s="111">
        <f>IF(ISBLANK(F73),"",5)</f>
        <v>5</v>
      </c>
      <c r="F73" s="17" t="s">
        <v>31</v>
      </c>
      <c r="G73" s="8">
        <v>0</v>
      </c>
      <c r="H73" s="9">
        <v>0</v>
      </c>
    </row>
    <row r="74" spans="5:8" ht="12.75">
      <c r="E74" s="111">
        <f>IF(ISBLANK(F74),"",6)</f>
      </c>
      <c r="F74" s="17"/>
      <c r="G74" s="8"/>
      <c r="H74" s="9"/>
    </row>
    <row r="75" spans="5:8" ht="12.75">
      <c r="E75" s="111">
        <f>IF(ISBLANK(F75),"",7)</f>
      </c>
      <c r="F75" s="17"/>
      <c r="G75" s="8"/>
      <c r="H75" s="9"/>
    </row>
    <row r="76" spans="5:8" ht="12.75">
      <c r="E76" s="111">
        <f>IF(ISBLANK(F76),"",8)</f>
      </c>
      <c r="F76" s="17"/>
      <c r="G76" s="8"/>
      <c r="H76" s="9"/>
    </row>
    <row r="77" spans="5:8" ht="12.75">
      <c r="E77" s="111">
        <f>IF(ISBLANK(F77),"",9)</f>
      </c>
      <c r="F77" s="17"/>
      <c r="G77" s="8"/>
      <c r="H77" s="9"/>
    </row>
    <row r="78" spans="5:8" ht="12.75">
      <c r="E78" s="111">
        <f>IF(ISBLANK(F78),"",10)</f>
      </c>
      <c r="F78" s="17"/>
      <c r="G78" s="18"/>
      <c r="H78" s="19"/>
    </row>
    <row r="79" spans="5:8" ht="13.5" thickBot="1">
      <c r="E79" s="112">
        <f>IF(ISBLANK(F79),"",11)</f>
      </c>
      <c r="F79" s="20"/>
      <c r="G79" s="21"/>
      <c r="H79" s="22"/>
    </row>
    <row r="80" spans="6:8" ht="13.5" thickBot="1">
      <c r="F80" t="s">
        <v>61</v>
      </c>
      <c r="G80" s="226" t="s">
        <v>96</v>
      </c>
      <c r="H80" s="249"/>
    </row>
    <row r="82" ht="13.5" thickBot="1"/>
    <row r="83" spans="3:10" ht="16.5" thickBot="1">
      <c r="C83" s="130"/>
      <c r="D83" s="131"/>
      <c r="E83" s="131"/>
      <c r="F83" s="232" t="s">
        <v>44</v>
      </c>
      <c r="G83" s="233"/>
      <c r="H83" s="234"/>
      <c r="I83" s="131"/>
      <c r="J83" s="132"/>
    </row>
    <row r="84" spans="3:12" ht="13.5" thickBot="1">
      <c r="C84" s="133"/>
      <c r="D84" s="32"/>
      <c r="E84" s="32"/>
      <c r="F84" s="32"/>
      <c r="G84" s="32"/>
      <c r="H84" s="32"/>
      <c r="I84" s="32"/>
      <c r="J84" s="134"/>
      <c r="K84" s="5"/>
      <c r="L84" s="5"/>
    </row>
    <row r="85" spans="3:12" ht="13.5" thickBot="1">
      <c r="C85" s="133"/>
      <c r="D85" s="32"/>
      <c r="E85" s="32"/>
      <c r="F85" s="16" t="s">
        <v>41</v>
      </c>
      <c r="G85" s="32"/>
      <c r="H85" s="32"/>
      <c r="I85" s="32"/>
      <c r="J85" s="134"/>
      <c r="K85" s="170"/>
      <c r="L85" s="171"/>
    </row>
    <row r="86" spans="3:12" ht="13.5" thickBot="1">
      <c r="C86" s="133"/>
      <c r="D86" s="32"/>
      <c r="E86" s="137"/>
      <c r="F86" s="37" t="s">
        <v>3</v>
      </c>
      <c r="G86" s="26" t="s">
        <v>2</v>
      </c>
      <c r="H86" s="27" t="s">
        <v>51</v>
      </c>
      <c r="I86" s="32"/>
      <c r="J86" s="134"/>
      <c r="K86" s="5"/>
      <c r="L86" s="5"/>
    </row>
    <row r="87" spans="3:10" ht="12.75">
      <c r="C87" s="133"/>
      <c r="D87" s="32"/>
      <c r="E87" s="23">
        <f>IF(ISBLANK(F87),"",1)</f>
        <v>1</v>
      </c>
      <c r="F87" s="23" t="s">
        <v>46</v>
      </c>
      <c r="G87" s="24">
        <f>8*300</f>
        <v>2400</v>
      </c>
      <c r="H87" s="25">
        <v>60</v>
      </c>
      <c r="I87" s="32"/>
      <c r="J87" s="134"/>
    </row>
    <row r="88" spans="3:10" ht="12.75">
      <c r="C88" s="133"/>
      <c r="D88" s="32"/>
      <c r="E88" s="17">
        <f>IF(ISBLANK(F88),"",2)</f>
        <v>2</v>
      </c>
      <c r="F88" s="17" t="s">
        <v>47</v>
      </c>
      <c r="G88" s="18">
        <f>8*270</f>
        <v>2160</v>
      </c>
      <c r="H88" s="19">
        <v>80</v>
      </c>
      <c r="I88" s="32"/>
      <c r="J88" s="134"/>
    </row>
    <row r="89" spans="3:10" ht="12.75">
      <c r="C89" s="133"/>
      <c r="D89" s="32"/>
      <c r="E89" s="17">
        <f>IF(ISBLANK(F89),"",3)</f>
        <v>3</v>
      </c>
      <c r="F89" s="17" t="s">
        <v>43</v>
      </c>
      <c r="G89" s="18">
        <f>8*192.96</f>
        <v>1543.68</v>
      </c>
      <c r="H89" s="19">
        <v>44</v>
      </c>
      <c r="I89" s="32"/>
      <c r="J89" s="134"/>
    </row>
    <row r="90" spans="3:10" ht="12.75">
      <c r="C90" s="133"/>
      <c r="D90" s="32"/>
      <c r="E90" s="17">
        <f>IF(ISBLANK(F90),"",4)</f>
        <v>4</v>
      </c>
      <c r="F90" s="17" t="s">
        <v>31</v>
      </c>
      <c r="G90" s="18">
        <v>0</v>
      </c>
      <c r="H90" s="19">
        <v>0</v>
      </c>
      <c r="I90" s="32"/>
      <c r="J90" s="134"/>
    </row>
    <row r="91" spans="3:10" ht="12.75">
      <c r="C91" s="133"/>
      <c r="D91" s="32"/>
      <c r="E91" s="17">
        <f>IF(ISBLANK(F91),"",5)</f>
      </c>
      <c r="F91" s="17"/>
      <c r="G91" s="18"/>
      <c r="H91" s="19"/>
      <c r="I91" s="32"/>
      <c r="J91" s="134"/>
    </row>
    <row r="92" spans="3:10" ht="12.75">
      <c r="C92" s="133"/>
      <c r="D92" s="32"/>
      <c r="E92" s="17">
        <f>IF(ISBLANK(F92),"",6)</f>
      </c>
      <c r="F92" s="17"/>
      <c r="G92" s="18"/>
      <c r="H92" s="19"/>
      <c r="I92" s="32"/>
      <c r="J92" s="134"/>
    </row>
    <row r="93" spans="3:10" ht="13.5" thickBot="1">
      <c r="C93" s="133"/>
      <c r="D93" s="32"/>
      <c r="E93" s="20">
        <f>IF(ISBLANK(F93),"",7)</f>
      </c>
      <c r="F93" s="20"/>
      <c r="G93" s="21"/>
      <c r="H93" s="22"/>
      <c r="I93" s="32"/>
      <c r="J93" s="134"/>
    </row>
    <row r="94" spans="3:10" ht="13.5" thickBot="1">
      <c r="C94" s="133"/>
      <c r="D94" s="32"/>
      <c r="E94" s="32"/>
      <c r="F94" s="32"/>
      <c r="G94" s="32"/>
      <c r="H94" s="32"/>
      <c r="I94" s="32"/>
      <c r="J94" s="134"/>
    </row>
    <row r="95" spans="3:10" ht="13.5" thickBot="1">
      <c r="C95" s="133"/>
      <c r="D95" s="32"/>
      <c r="E95" s="32"/>
      <c r="F95" s="16" t="s">
        <v>42</v>
      </c>
      <c r="G95" s="32"/>
      <c r="H95" s="32"/>
      <c r="I95" s="32"/>
      <c r="J95" s="134"/>
    </row>
    <row r="96" spans="3:10" ht="13.5" thickBot="1">
      <c r="C96" s="133"/>
      <c r="D96" s="32"/>
      <c r="E96" s="137"/>
      <c r="F96" s="37" t="s">
        <v>3</v>
      </c>
      <c r="G96" s="26" t="s">
        <v>2</v>
      </c>
      <c r="H96" s="27" t="s">
        <v>51</v>
      </c>
      <c r="I96" s="32"/>
      <c r="J96" s="134"/>
    </row>
    <row r="97" spans="3:10" ht="12.75">
      <c r="C97" s="133"/>
      <c r="D97" s="32"/>
      <c r="E97" s="23">
        <f>IF(ISBLANK(F97),"",1)</f>
        <v>1</v>
      </c>
      <c r="F97" s="23" t="s">
        <v>48</v>
      </c>
      <c r="G97" s="24">
        <f>8*50</f>
        <v>400</v>
      </c>
      <c r="H97" s="25">
        <v>8</v>
      </c>
      <c r="I97" s="32"/>
      <c r="J97" s="134"/>
    </row>
    <row r="98" spans="3:10" ht="12.75">
      <c r="C98" s="133"/>
      <c r="D98" s="32"/>
      <c r="E98" s="17">
        <f>IF(ISBLANK(F98),"",2)</f>
        <v>2</v>
      </c>
      <c r="F98" s="17" t="s">
        <v>49</v>
      </c>
      <c r="G98" s="18">
        <f>8*43</f>
        <v>344</v>
      </c>
      <c r="H98" s="33">
        <v>10</v>
      </c>
      <c r="I98" s="32"/>
      <c r="J98" s="134"/>
    </row>
    <row r="99" spans="3:10" ht="12.75">
      <c r="C99" s="133"/>
      <c r="D99" s="32"/>
      <c r="E99" s="17">
        <f>IF(ISBLANK(F99),"",3)</f>
        <v>3</v>
      </c>
      <c r="F99" s="17" t="s">
        <v>50</v>
      </c>
      <c r="G99" s="18">
        <f>8*55</f>
        <v>440</v>
      </c>
      <c r="H99" s="19">
        <v>8</v>
      </c>
      <c r="I99" s="32"/>
      <c r="J99" s="134"/>
    </row>
    <row r="100" spans="3:10" ht="12.75">
      <c r="C100" s="133"/>
      <c r="D100" s="32"/>
      <c r="E100" s="17">
        <f>IF(ISBLANK(F100),"",4)</f>
        <v>4</v>
      </c>
      <c r="F100" s="17" t="s">
        <v>31</v>
      </c>
      <c r="G100" s="18">
        <v>0</v>
      </c>
      <c r="H100" s="19">
        <v>0</v>
      </c>
      <c r="I100" s="32"/>
      <c r="J100" s="134"/>
    </row>
    <row r="101" spans="3:10" ht="12.75">
      <c r="C101" s="133"/>
      <c r="D101" s="32"/>
      <c r="E101" s="17">
        <f>IF(ISBLANK(F101),"",5)</f>
      </c>
      <c r="F101" s="17"/>
      <c r="G101" s="18"/>
      <c r="H101" s="19"/>
      <c r="I101" s="32"/>
      <c r="J101" s="134"/>
    </row>
    <row r="102" spans="3:10" ht="12.75">
      <c r="C102" s="133"/>
      <c r="D102" s="32"/>
      <c r="E102" s="17">
        <f>IF(ISBLANK(F102),"",6)</f>
      </c>
      <c r="F102" s="17"/>
      <c r="G102" s="18"/>
      <c r="H102" s="19"/>
      <c r="I102" s="32"/>
      <c r="J102" s="134"/>
    </row>
    <row r="103" spans="3:10" ht="13.5" thickBot="1">
      <c r="C103" s="133"/>
      <c r="D103" s="32"/>
      <c r="E103" s="20">
        <f>IF(ISBLANK(F103),"",7)</f>
      </c>
      <c r="F103" s="20"/>
      <c r="G103" s="21"/>
      <c r="H103" s="22"/>
      <c r="I103" s="32"/>
      <c r="J103" s="134"/>
    </row>
    <row r="104" spans="3:10" ht="12.75">
      <c r="C104" s="133"/>
      <c r="D104" s="32"/>
      <c r="E104" s="32"/>
      <c r="F104" s="32"/>
      <c r="G104" s="32"/>
      <c r="H104" s="32"/>
      <c r="I104" s="32"/>
      <c r="J104" s="134"/>
    </row>
    <row r="105" spans="3:10" ht="12.75">
      <c r="C105" s="133"/>
      <c r="D105" s="32"/>
      <c r="E105" s="32"/>
      <c r="F105" s="32"/>
      <c r="G105" s="32"/>
      <c r="H105" s="32"/>
      <c r="I105" s="32"/>
      <c r="J105" s="134"/>
    </row>
    <row r="106" spans="3:10" ht="13.5" thickBot="1">
      <c r="C106" s="135"/>
      <c r="D106" s="136"/>
      <c r="E106" s="136"/>
      <c r="F106" s="136"/>
      <c r="G106" s="136"/>
      <c r="J106" s="172"/>
    </row>
    <row r="107" spans="3:10" ht="13.5" thickBot="1">
      <c r="C107" s="32"/>
      <c r="D107" s="32"/>
      <c r="E107" s="32"/>
      <c r="F107" s="32"/>
      <c r="G107" s="32"/>
      <c r="H107" s="226" t="s">
        <v>97</v>
      </c>
      <c r="I107" s="278"/>
      <c r="J107" s="279"/>
    </row>
    <row r="108" spans="3:10" ht="13.5" thickBot="1">
      <c r="C108" s="32"/>
      <c r="D108" s="32"/>
      <c r="E108" s="32"/>
      <c r="F108" s="32"/>
      <c r="G108" s="32"/>
      <c r="H108" s="168"/>
      <c r="I108" s="169"/>
      <c r="J108" s="169"/>
    </row>
    <row r="109" spans="3:10" ht="13.5" thickBot="1">
      <c r="C109" s="32"/>
      <c r="D109" s="32"/>
      <c r="E109" s="80"/>
      <c r="F109" s="16" t="s">
        <v>13</v>
      </c>
      <c r="G109" s="1"/>
      <c r="H109" s="1"/>
      <c r="I109" s="169"/>
      <c r="J109" s="169"/>
    </row>
    <row r="110" spans="3:10" ht="13.5" thickBot="1">
      <c r="C110" s="32"/>
      <c r="D110" s="32"/>
      <c r="E110" s="91"/>
      <c r="F110" s="65" t="s">
        <v>3</v>
      </c>
      <c r="G110" s="66" t="s">
        <v>2</v>
      </c>
      <c r="H110" s="67" t="s">
        <v>14</v>
      </c>
      <c r="I110" s="169"/>
      <c r="J110" s="169"/>
    </row>
    <row r="111" spans="3:10" ht="12.75">
      <c r="C111" s="32"/>
      <c r="D111" s="32"/>
      <c r="E111" s="110">
        <f>IF(ISBLANK(F113),"",1)</f>
        <v>1</v>
      </c>
      <c r="F111" s="13" t="s">
        <v>15</v>
      </c>
      <c r="G111" s="14">
        <v>400</v>
      </c>
      <c r="H111" s="15" t="s">
        <v>17</v>
      </c>
      <c r="I111" s="169"/>
      <c r="J111" s="169"/>
    </row>
    <row r="112" spans="3:10" ht="12.75">
      <c r="C112" s="32"/>
      <c r="D112" s="32"/>
      <c r="E112" s="111">
        <f>IF(ISBLANK(F111),"",2)</f>
        <v>2</v>
      </c>
      <c r="F112" s="6" t="s">
        <v>16</v>
      </c>
      <c r="G112" s="7">
        <v>480</v>
      </c>
      <c r="H112" s="9" t="s">
        <v>18</v>
      </c>
      <c r="I112" s="169"/>
      <c r="J112" s="169"/>
    </row>
    <row r="113" spans="3:10" ht="12.75">
      <c r="C113" s="32"/>
      <c r="D113" s="32"/>
      <c r="E113" s="111">
        <f>IF(ISBLANK(F112),"",3)</f>
        <v>3</v>
      </c>
      <c r="F113" s="6" t="s">
        <v>31</v>
      </c>
      <c r="G113" s="8">
        <v>0</v>
      </c>
      <c r="H113" s="9">
        <v>0</v>
      </c>
      <c r="I113" s="169"/>
      <c r="J113" s="169"/>
    </row>
    <row r="114" spans="3:10" ht="12.75">
      <c r="C114" s="32"/>
      <c r="D114" s="32"/>
      <c r="E114" s="231">
        <f>IF(ISBLANK(#REF!),"",4)</f>
        <v>4</v>
      </c>
      <c r="F114" s="17"/>
      <c r="G114" s="18"/>
      <c r="H114" s="19"/>
      <c r="I114" s="169"/>
      <c r="J114" s="169"/>
    </row>
    <row r="115" spans="3:10" ht="12.75">
      <c r="C115" s="32"/>
      <c r="D115" s="32"/>
      <c r="E115" s="231">
        <v>5</v>
      </c>
      <c r="F115" s="6"/>
      <c r="G115" s="8"/>
      <c r="H115" s="9"/>
      <c r="I115" s="169"/>
      <c r="J115" s="169"/>
    </row>
    <row r="116" spans="3:10" ht="12.75">
      <c r="C116" s="32"/>
      <c r="D116" s="32"/>
      <c r="E116" s="111">
        <f>IF(ISBLANK(F116),"",6)</f>
      </c>
      <c r="F116" s="6"/>
      <c r="G116" s="8"/>
      <c r="H116" s="9"/>
      <c r="I116" s="169"/>
      <c r="J116" s="169"/>
    </row>
    <row r="117" spans="3:10" ht="12.75">
      <c r="C117" s="32"/>
      <c r="D117" s="32"/>
      <c r="E117" s="111">
        <f>IF(ISBLANK(F117),"",7)</f>
      </c>
      <c r="F117" s="6"/>
      <c r="G117" s="8"/>
      <c r="H117" s="9"/>
      <c r="I117" s="169"/>
      <c r="J117" s="169"/>
    </row>
    <row r="118" spans="3:10" ht="13.5" thickBot="1">
      <c r="C118" s="32"/>
      <c r="D118" s="32"/>
      <c r="E118" s="112">
        <f>IF(ISBLANK(F118),"",8)</f>
      </c>
      <c r="F118" s="10"/>
      <c r="G118" s="11"/>
      <c r="H118" s="12"/>
      <c r="I118" s="169"/>
      <c r="J118" s="169"/>
    </row>
    <row r="119" spans="7:8" ht="13.5" thickBot="1">
      <c r="G119" s="226" t="s">
        <v>107</v>
      </c>
      <c r="H119" s="249"/>
    </row>
    <row r="120" ht="13.5" thickBot="1"/>
    <row r="121" spans="5:6" ht="13.5" thickBot="1">
      <c r="E121" s="80"/>
      <c r="F121" s="105" t="s">
        <v>24</v>
      </c>
    </row>
    <row r="122" spans="5:7" ht="13.5" thickBot="1">
      <c r="E122" s="138"/>
      <c r="F122" s="37" t="s">
        <v>3</v>
      </c>
      <c r="G122" s="27" t="s">
        <v>2</v>
      </c>
    </row>
    <row r="123" spans="5:7" ht="12.75">
      <c r="E123" s="110">
        <f>IF(ISBLANK(F123),"",1)</f>
        <v>1</v>
      </c>
      <c r="F123" s="17" t="s">
        <v>52</v>
      </c>
      <c r="G123" s="28">
        <v>210.88</v>
      </c>
    </row>
    <row r="124" spans="5:7" ht="12.75">
      <c r="E124" s="111">
        <f>IF(ISBLANK(F124),"",2)</f>
        <v>2</v>
      </c>
      <c r="F124" s="17" t="s">
        <v>56</v>
      </c>
      <c r="G124" s="28">
        <v>71.6</v>
      </c>
    </row>
    <row r="125" spans="5:7" ht="12.75">
      <c r="E125" s="111">
        <f>IF(ISBLANK(F125),"",3)</f>
        <v>3</v>
      </c>
      <c r="F125" s="17" t="s">
        <v>53</v>
      </c>
      <c r="G125" s="19">
        <v>119.6</v>
      </c>
    </row>
    <row r="126" spans="5:7" ht="12.75">
      <c r="E126" s="111">
        <f>IF(ISBLANK(F126),"",4)</f>
        <v>4</v>
      </c>
      <c r="F126" s="17" t="s">
        <v>54</v>
      </c>
      <c r="G126" s="19">
        <v>239.92</v>
      </c>
    </row>
    <row r="127" spans="5:7" ht="12.75">
      <c r="E127" s="111">
        <f>IF(ISBLANK(F127),"",5)</f>
        <v>5</v>
      </c>
      <c r="F127" s="17" t="s">
        <v>55</v>
      </c>
      <c r="G127" s="19">
        <v>111.92</v>
      </c>
    </row>
    <row r="128" spans="5:7" ht="12.75">
      <c r="E128" s="111">
        <f>IF(ISBLANK(F128),"",6)</f>
        <v>6</v>
      </c>
      <c r="F128" s="17" t="s">
        <v>31</v>
      </c>
      <c r="G128" s="19">
        <v>0</v>
      </c>
    </row>
    <row r="129" spans="5:7" ht="12.75">
      <c r="E129" s="111">
        <f>IF(ISBLANK(F129),"",7)</f>
      </c>
      <c r="F129" s="17"/>
      <c r="G129" s="19"/>
    </row>
    <row r="130" spans="5:7" ht="12.75">
      <c r="E130" s="111">
        <f>IF(ISBLANK(F130),"",8)</f>
      </c>
      <c r="F130" s="17"/>
      <c r="G130" s="19"/>
    </row>
    <row r="131" spans="5:7" ht="12.75">
      <c r="E131" s="111">
        <f>IF(ISBLANK(F131),"",9)</f>
      </c>
      <c r="F131" s="17"/>
      <c r="G131" s="19"/>
    </row>
    <row r="132" spans="5:7" ht="12.75">
      <c r="E132" s="111">
        <f>IF(ISBLANK(F132),"",10)</f>
      </c>
      <c r="F132" s="17"/>
      <c r="G132" s="19"/>
    </row>
    <row r="133" spans="5:7" ht="13.5" thickBot="1">
      <c r="E133" s="112">
        <f>IF(ISBLANK(F133),"",11)</f>
      </c>
      <c r="F133" s="20"/>
      <c r="G133" s="22"/>
    </row>
    <row r="134" spans="6:7" ht="13.5" thickBot="1">
      <c r="F134" s="226" t="s">
        <v>108</v>
      </c>
      <c r="G134" s="249"/>
    </row>
    <row r="135" ht="13.5" thickBot="1"/>
    <row r="136" spans="6:9" ht="13.5" thickBot="1">
      <c r="F136" s="71" t="s">
        <v>72</v>
      </c>
      <c r="G136" s="72"/>
      <c r="H136" s="1"/>
      <c r="I136" s="1"/>
    </row>
    <row r="137" spans="5:9" ht="13.5" thickBot="1">
      <c r="E137" s="138"/>
      <c r="F137" s="66" t="s">
        <v>27</v>
      </c>
      <c r="G137" s="66" t="s">
        <v>2</v>
      </c>
      <c r="H137" s="66" t="s">
        <v>51</v>
      </c>
      <c r="I137" s="67" t="s">
        <v>77</v>
      </c>
    </row>
    <row r="138" spans="5:9" ht="12.75">
      <c r="E138" s="111">
        <f>IF(ISBLANK(F138),"",1)</f>
        <v>1</v>
      </c>
      <c r="F138" s="8" t="s">
        <v>0</v>
      </c>
      <c r="G138" s="8"/>
      <c r="H138" s="8"/>
      <c r="I138" s="9"/>
    </row>
    <row r="139" spans="5:9" ht="12.75">
      <c r="E139" s="111">
        <f>IF(ISBLANK(F139),"",2)</f>
        <v>2</v>
      </c>
      <c r="F139" s="8" t="s">
        <v>73</v>
      </c>
      <c r="G139" s="8"/>
      <c r="H139" s="8"/>
      <c r="I139" s="9"/>
    </row>
    <row r="140" spans="5:9" ht="12.75">
      <c r="E140" s="111">
        <f>IF(ISBLANK(F140),"",3)</f>
        <v>3</v>
      </c>
      <c r="F140" s="8" t="s">
        <v>74</v>
      </c>
      <c r="G140" s="8"/>
      <c r="H140" s="8"/>
      <c r="I140" s="9"/>
    </row>
    <row r="141" spans="5:9" ht="12.75">
      <c r="E141" s="111">
        <f>IF(ISBLANK(F141),"",4)</f>
        <v>4</v>
      </c>
      <c r="F141" s="8" t="s">
        <v>75</v>
      </c>
      <c r="G141" s="8"/>
      <c r="H141" s="8"/>
      <c r="I141" s="9"/>
    </row>
    <row r="142" spans="5:9" ht="12.75">
      <c r="E142" s="111">
        <f>IF(ISBLANK(F142),"",5)</f>
        <v>5</v>
      </c>
      <c r="F142" s="8" t="s">
        <v>76</v>
      </c>
      <c r="G142" s="8"/>
      <c r="H142" s="8"/>
      <c r="I142" s="9"/>
    </row>
    <row r="143" spans="5:9" ht="12.75">
      <c r="E143" s="111">
        <f>IF(ISBLANK(F143),"",6)</f>
        <v>6</v>
      </c>
      <c r="F143" s="8" t="s">
        <v>156</v>
      </c>
      <c r="G143" s="8"/>
      <c r="H143" s="8"/>
      <c r="I143" s="9"/>
    </row>
    <row r="144" spans="5:9" ht="12.75">
      <c r="E144" s="111">
        <f>IF(ISBLANK(F144),"",7)</f>
        <v>7</v>
      </c>
      <c r="F144" s="8" t="s">
        <v>157</v>
      </c>
      <c r="G144" s="8"/>
      <c r="H144" s="8"/>
      <c r="I144" s="9"/>
    </row>
    <row r="145" spans="5:9" ht="12.75">
      <c r="E145" s="111">
        <f>IF(ISBLANK(F145),"",8)</f>
        <v>8</v>
      </c>
      <c r="F145" s="8" t="s">
        <v>31</v>
      </c>
      <c r="G145" s="8"/>
      <c r="H145" s="8"/>
      <c r="I145" s="9"/>
    </row>
    <row r="146" spans="5:9" ht="12.75">
      <c r="E146" s="111">
        <f>IF(ISBLANK(F146),"",9)</f>
      </c>
      <c r="F146" s="8"/>
      <c r="G146" s="8"/>
      <c r="H146" s="8"/>
      <c r="I146" s="9"/>
    </row>
    <row r="147" spans="5:9" ht="12.75">
      <c r="E147" s="111">
        <f>IF(ISBLANK(F147),"",10)</f>
      </c>
      <c r="F147" s="8"/>
      <c r="G147" s="8"/>
      <c r="H147" s="8"/>
      <c r="I147" s="9"/>
    </row>
    <row r="148" spans="5:9" ht="12.75">
      <c r="E148" s="111">
        <f>IF(ISBLANK(F148),"",11)</f>
      </c>
      <c r="F148" s="8"/>
      <c r="G148" s="8"/>
      <c r="H148" s="8"/>
      <c r="I148" s="9"/>
    </row>
    <row r="149" spans="5:9" ht="12.75">
      <c r="E149" s="111">
        <f>IF(ISBLANK(F149),"",12)</f>
      </c>
      <c r="F149" s="8"/>
      <c r="G149" s="8"/>
      <c r="H149" s="8"/>
      <c r="I149" s="9"/>
    </row>
    <row r="150" spans="5:9" ht="13.5" thickBot="1">
      <c r="E150" s="112">
        <f>IF(ISBLANK(F150),"",13)</f>
      </c>
      <c r="F150" s="11"/>
      <c r="G150" s="11"/>
      <c r="H150" s="11"/>
      <c r="I150" s="12"/>
    </row>
    <row r="151" spans="8:9" ht="13.5" thickBot="1">
      <c r="H151" s="280" t="s">
        <v>98</v>
      </c>
      <c r="I151" s="281"/>
    </row>
    <row r="152" ht="13.5" thickBot="1"/>
    <row r="153" spans="6:7" ht="13.5" thickBot="1">
      <c r="F153" s="270" t="s">
        <v>140</v>
      </c>
      <c r="G153" s="271"/>
    </row>
    <row r="154" spans="5:8" ht="13.5" thickBot="1">
      <c r="E154" s="182"/>
      <c r="F154" s="26" t="s">
        <v>141</v>
      </c>
      <c r="G154" s="26" t="s">
        <v>2</v>
      </c>
      <c r="H154" s="27" t="s">
        <v>142</v>
      </c>
    </row>
    <row r="155" spans="5:8" ht="12.75">
      <c r="E155" s="111">
        <f>IF(ISBLANK(F155),"",1)</f>
        <v>1</v>
      </c>
      <c r="F155" s="23" t="s">
        <v>143</v>
      </c>
      <c r="G155" s="24"/>
      <c r="H155" s="25">
        <v>8</v>
      </c>
    </row>
    <row r="156" spans="5:8" ht="12.75">
      <c r="E156" s="111">
        <f>IF(ISBLANK(F156),"",2)</f>
        <v>2</v>
      </c>
      <c r="F156" s="17" t="s">
        <v>144</v>
      </c>
      <c r="G156" s="18"/>
      <c r="H156" s="19">
        <v>4</v>
      </c>
    </row>
    <row r="157" spans="5:8" ht="12.75">
      <c r="E157" s="111">
        <f>IF(ISBLANK(F157),"",3)</f>
        <v>3</v>
      </c>
      <c r="F157" s="17" t="s">
        <v>145</v>
      </c>
      <c r="G157" s="18"/>
      <c r="H157" s="19">
        <v>0</v>
      </c>
    </row>
    <row r="158" spans="5:8" ht="12.75">
      <c r="E158" s="111">
        <f>IF(ISBLANK(F158),"",4)</f>
        <v>4</v>
      </c>
      <c r="F158" s="17" t="s">
        <v>146</v>
      </c>
      <c r="G158" s="18">
        <v>27226.48</v>
      </c>
      <c r="H158" s="19">
        <v>0</v>
      </c>
    </row>
    <row r="159" spans="5:8" ht="12.75">
      <c r="E159" s="111">
        <f>IF(ISBLANK(F159),"",5)</f>
      </c>
      <c r="F159" s="17"/>
      <c r="G159" s="18"/>
      <c r="H159" s="19"/>
    </row>
    <row r="160" spans="5:8" ht="12.75">
      <c r="E160" s="111">
        <f>IF(ISBLANK(F160),"",6)</f>
      </c>
      <c r="F160" s="17"/>
      <c r="G160" s="18"/>
      <c r="H160" s="19"/>
    </row>
    <row r="161" spans="5:8" ht="12.75">
      <c r="E161" s="111">
        <f>IF(ISBLANK(F161),"",7)</f>
      </c>
      <c r="F161" s="17"/>
      <c r="G161" s="18"/>
      <c r="H161" s="19"/>
    </row>
    <row r="162" spans="5:8" ht="12.75">
      <c r="E162" s="111">
        <f>IF(ISBLANK(F162),"",8)</f>
      </c>
      <c r="F162" s="17"/>
      <c r="G162" s="18"/>
      <c r="H162" s="19"/>
    </row>
    <row r="163" spans="5:8" ht="12.75">
      <c r="E163" s="111">
        <f>IF(ISBLANK(F163),"",9)</f>
      </c>
      <c r="F163" s="17"/>
      <c r="G163" s="18"/>
      <c r="H163" s="19"/>
    </row>
    <row r="164" spans="5:8" ht="12.75">
      <c r="E164" s="111">
        <f>IF(ISBLANK(F164),"",10)</f>
      </c>
      <c r="F164" s="17"/>
      <c r="G164" s="18"/>
      <c r="H164" s="19"/>
    </row>
    <row r="165" spans="5:8" ht="12.75">
      <c r="E165" s="111">
        <f>IF(ISBLANK(F165),"",11)</f>
      </c>
      <c r="F165" s="17"/>
      <c r="G165" s="18"/>
      <c r="H165" s="19"/>
    </row>
    <row r="166" spans="5:8" ht="12.75">
      <c r="E166" s="111">
        <f>IF(ISBLANK(F166),"",12)</f>
      </c>
      <c r="F166" s="17"/>
      <c r="G166" s="18"/>
      <c r="H166" s="19"/>
    </row>
    <row r="167" spans="5:8" ht="13.5" thickBot="1">
      <c r="E167" s="112">
        <f>IF(ISBLANK(F167),"",13)</f>
      </c>
      <c r="F167" s="20"/>
      <c r="G167" s="21"/>
      <c r="H167" s="22"/>
    </row>
    <row r="168" spans="7:8" ht="13.5" thickBot="1">
      <c r="G168" s="235" t="s">
        <v>148</v>
      </c>
      <c r="H168" s="237"/>
    </row>
  </sheetData>
  <mergeCells count="28">
    <mergeCell ref="H107:J107"/>
    <mergeCell ref="H151:I151"/>
    <mergeCell ref="G18:H18"/>
    <mergeCell ref="G33:H33"/>
    <mergeCell ref="H51:J51"/>
    <mergeCell ref="F64:G64"/>
    <mergeCell ref="E37:F37"/>
    <mergeCell ref="I38:J38"/>
    <mergeCell ref="F83:H83"/>
    <mergeCell ref="I47:J47"/>
    <mergeCell ref="I48:J48"/>
    <mergeCell ref="I49:J49"/>
    <mergeCell ref="I50:J50"/>
    <mergeCell ref="G80:H80"/>
    <mergeCell ref="E4:F4"/>
    <mergeCell ref="I44:J44"/>
    <mergeCell ref="I45:J45"/>
    <mergeCell ref="I46:J46"/>
    <mergeCell ref="I39:J39"/>
    <mergeCell ref="I40:J40"/>
    <mergeCell ref="I41:J41"/>
    <mergeCell ref="I42:J42"/>
    <mergeCell ref="I43:J43"/>
    <mergeCell ref="E21:F21"/>
    <mergeCell ref="G119:H119"/>
    <mergeCell ref="F134:G134"/>
    <mergeCell ref="F153:G153"/>
    <mergeCell ref="G168:H168"/>
  </mergeCells>
  <conditionalFormatting sqref="H163">
    <cfRule type="cellIs" priority="1" dxfId="1" operator="equal" stopIfTrue="1">
      <formula>1</formula>
    </cfRule>
    <cfRule type="cellIs" priority="2" dxfId="2" operator="equal" stopIfTrue="1">
      <formula>2</formula>
    </cfRule>
    <cfRule type="cellIs" priority="3" dxfId="3" operator="equal" stopIfTrue="1">
      <formula>3</formula>
    </cfRule>
  </conditionalFormatting>
  <conditionalFormatting sqref="H164">
    <cfRule type="cellIs" priority="4" dxfId="4" operator="equal" stopIfTrue="1">
      <formula>1</formula>
    </cfRule>
    <cfRule type="cellIs" priority="5" dxfId="5" operator="equal" stopIfTrue="1">
      <formula>2</formula>
    </cfRule>
    <cfRule type="cellIs" priority="6" dxfId="6" operator="equal" stopIfTrue="1">
      <formula>3</formula>
    </cfRule>
  </conditionalFormatting>
  <dataValidations count="1">
    <dataValidation type="list" allowBlank="1" showInputMessage="1" showErrorMessage="1" sqref="H57:H64">
      <formula1>$I$21:$I$24</formula1>
    </dataValidation>
  </dataValidations>
  <hyperlinks>
    <hyperlink ref="G18:H18" location="sel_Lights" display="Click to select lights"/>
    <hyperlink ref="G33:H33" location="Sel_Water" display="Click to select water storage"/>
    <hyperlink ref="H51:J51" location="Sel_Fridge" display="Click to select refrigerators"/>
    <hyperlink ref="F64:G64" location="Sel_Oven" display="Click to select ovens"/>
    <hyperlink ref="G80:H80" location="Sel_Power_Tools" display="Click to select power tools"/>
    <hyperlink ref="H107:J107" location="Sel_Entertainment" display="Click to select entertainment options"/>
    <hyperlink ref="G119:H119" location="Sel_Entertainment" display="Click to select storage options"/>
    <hyperlink ref="F134:G134" location="Sel_Seating" display="Click to select seating options"/>
    <hyperlink ref="H151:I151" location="Sel_Seating" display="Click to select misc options"/>
    <hyperlink ref="G168:H168" location="sel_trailer" display="Click to select trailer configurations"/>
  </hyperlink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3:B3"/>
  <sheetViews>
    <sheetView showGridLines="0" workbookViewId="0" topLeftCell="A1">
      <selection activeCell="R17" sqref="R17"/>
    </sheetView>
  </sheetViews>
  <sheetFormatPr defaultColWidth="9.140625" defaultRowHeight="12.75"/>
  <sheetData>
    <row r="3" spans="1:2" ht="12.75" hidden="1">
      <c r="A3" t="s">
        <v>153</v>
      </c>
      <c r="B3">
        <f>SaveConfig!C1</f>
        <v>3</v>
      </c>
    </row>
  </sheetData>
  <printOptions/>
  <pageMargins left="0.75" right="0.75" top="1" bottom="1" header="0.5" footer="0.5"/>
  <pageSetup fitToHeight="1" fitToWidth="1"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BZ71"/>
  <sheetViews>
    <sheetView workbookViewId="0" topLeftCell="A1">
      <selection activeCell="H32" sqref="H32"/>
    </sheetView>
  </sheetViews>
  <sheetFormatPr defaultColWidth="9.140625" defaultRowHeight="12.75"/>
  <cols>
    <col min="1" max="1" width="14.7109375" style="0" bestFit="1" customWidth="1"/>
    <col min="73" max="73" width="14.57421875" style="0" bestFit="1" customWidth="1"/>
    <col min="76" max="76" width="13.140625" style="0" bestFit="1" customWidth="1"/>
    <col min="77" max="77" width="18.57421875" style="0" bestFit="1" customWidth="1"/>
    <col min="78" max="78" width="17.7109375" style="0" bestFit="1" customWidth="1"/>
  </cols>
  <sheetData>
    <row r="1" spans="1:7" ht="12.75">
      <c r="A1" t="s">
        <v>114</v>
      </c>
      <c r="B1">
        <f>2+COUNTA(A:A)</f>
        <v>7</v>
      </c>
      <c r="C1">
        <f>B1-4</f>
        <v>3</v>
      </c>
      <c r="D1" t="s">
        <v>111</v>
      </c>
      <c r="E1">
        <f>B1-C1</f>
        <v>4</v>
      </c>
      <c r="F1" t="s">
        <v>112</v>
      </c>
      <c r="G1">
        <f>B1-1</f>
        <v>6</v>
      </c>
    </row>
    <row r="2" spans="1:75" ht="35.25" customHeight="1" thickBot="1">
      <c r="A2" s="191"/>
      <c r="B2" s="191"/>
      <c r="C2" s="191"/>
      <c r="D2" s="288" t="s">
        <v>32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9"/>
      <c r="V2" s="284" t="s">
        <v>34</v>
      </c>
      <c r="W2" s="285"/>
      <c r="X2" s="285"/>
      <c r="Y2" s="285"/>
      <c r="Z2" s="285"/>
      <c r="AA2" s="285"/>
      <c r="AB2" s="285"/>
      <c r="AC2" s="286"/>
      <c r="AD2" s="284" t="s">
        <v>135</v>
      </c>
      <c r="AE2" s="286"/>
      <c r="AF2" s="284" t="s">
        <v>4</v>
      </c>
      <c r="AG2" s="286"/>
      <c r="AH2" s="284" t="s">
        <v>67</v>
      </c>
      <c r="AI2" s="285"/>
      <c r="AJ2" s="285"/>
      <c r="AK2" s="285"/>
      <c r="AL2" s="285"/>
      <c r="AM2" s="285"/>
      <c r="AN2" s="285"/>
      <c r="AO2" s="285"/>
      <c r="AP2" s="286"/>
      <c r="AQ2" s="284" t="s">
        <v>44</v>
      </c>
      <c r="AR2" s="285"/>
      <c r="AS2" s="285"/>
      <c r="AT2" s="285"/>
      <c r="AU2" s="285"/>
      <c r="AV2" s="286"/>
      <c r="AW2" s="284" t="s">
        <v>136</v>
      </c>
      <c r="AX2" s="286"/>
      <c r="AY2" s="284" t="s">
        <v>24</v>
      </c>
      <c r="AZ2" s="285"/>
      <c r="BA2" s="285"/>
      <c r="BB2" s="286"/>
      <c r="BC2" s="287" t="s">
        <v>137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9"/>
      <c r="BU2" s="212"/>
      <c r="BV2" s="212"/>
      <c r="BW2" s="212"/>
    </row>
    <row r="3" spans="1:78" s="187" customFormat="1" ht="30" customHeight="1">
      <c r="A3" s="190" t="s">
        <v>138</v>
      </c>
      <c r="B3" s="190" t="s">
        <v>115</v>
      </c>
      <c r="C3" s="190" t="s">
        <v>116</v>
      </c>
      <c r="D3" s="189" t="s">
        <v>117</v>
      </c>
      <c r="E3" s="189" t="s">
        <v>118</v>
      </c>
      <c r="F3" s="189" t="s">
        <v>119</v>
      </c>
      <c r="G3" s="189" t="s">
        <v>120</v>
      </c>
      <c r="H3" s="189" t="s">
        <v>121</v>
      </c>
      <c r="I3" s="189" t="s">
        <v>122</v>
      </c>
      <c r="J3" s="189" t="s">
        <v>123</v>
      </c>
      <c r="K3" s="189" t="s">
        <v>124</v>
      </c>
      <c r="L3" s="189" t="s">
        <v>125</v>
      </c>
      <c r="M3" s="189" t="s">
        <v>126</v>
      </c>
      <c r="N3" s="189" t="s">
        <v>127</v>
      </c>
      <c r="O3" s="189" t="s">
        <v>128</v>
      </c>
      <c r="P3" s="189" t="s">
        <v>129</v>
      </c>
      <c r="Q3" s="189" t="s">
        <v>130</v>
      </c>
      <c r="R3" s="189" t="s">
        <v>131</v>
      </c>
      <c r="S3" s="189" t="s">
        <v>132</v>
      </c>
      <c r="T3" s="189" t="s">
        <v>133</v>
      </c>
      <c r="U3" s="190" t="s">
        <v>134</v>
      </c>
      <c r="V3" s="187" t="s">
        <v>117</v>
      </c>
      <c r="W3" s="187" t="s">
        <v>118</v>
      </c>
      <c r="X3" s="187" t="s">
        <v>119</v>
      </c>
      <c r="Y3" s="187" t="s">
        <v>120</v>
      </c>
      <c r="Z3" s="187" t="s">
        <v>123</v>
      </c>
      <c r="AA3" s="187" t="s">
        <v>124</v>
      </c>
      <c r="AB3" s="187" t="s">
        <v>125</v>
      </c>
      <c r="AC3" s="188" t="s">
        <v>126</v>
      </c>
      <c r="AD3" s="187" t="s">
        <v>117</v>
      </c>
      <c r="AE3" s="188" t="s">
        <v>123</v>
      </c>
      <c r="AF3" s="187" t="s">
        <v>117</v>
      </c>
      <c r="AG3" s="188" t="s">
        <v>123</v>
      </c>
      <c r="AH3" s="187" t="s">
        <v>117</v>
      </c>
      <c r="AI3" s="187" t="s">
        <v>118</v>
      </c>
      <c r="AJ3" s="187" t="s">
        <v>119</v>
      </c>
      <c r="AK3" s="187" t="s">
        <v>123</v>
      </c>
      <c r="AL3" s="187" t="s">
        <v>124</v>
      </c>
      <c r="AM3" s="187" t="s">
        <v>125</v>
      </c>
      <c r="AN3" s="187" t="s">
        <v>129</v>
      </c>
      <c r="AO3" s="187" t="s">
        <v>130</v>
      </c>
      <c r="AP3" s="188" t="s">
        <v>131</v>
      </c>
      <c r="AQ3" s="187" t="s">
        <v>117</v>
      </c>
      <c r="AR3" s="187" t="s">
        <v>118</v>
      </c>
      <c r="AS3" s="187" t="s">
        <v>123</v>
      </c>
      <c r="AT3" s="187" t="s">
        <v>124</v>
      </c>
      <c r="AU3" s="187" t="s">
        <v>129</v>
      </c>
      <c r="AV3" s="188" t="s">
        <v>130</v>
      </c>
      <c r="AW3" s="187" t="s">
        <v>117</v>
      </c>
      <c r="AX3" s="188" t="s">
        <v>123</v>
      </c>
      <c r="AY3" s="187" t="s">
        <v>117</v>
      </c>
      <c r="AZ3" s="187" t="s">
        <v>118</v>
      </c>
      <c r="BA3" s="187" t="s">
        <v>123</v>
      </c>
      <c r="BB3" s="188" t="s">
        <v>124</v>
      </c>
      <c r="BC3" s="187" t="s">
        <v>117</v>
      </c>
      <c r="BD3" s="187" t="s">
        <v>118</v>
      </c>
      <c r="BE3" s="187" t="s">
        <v>119</v>
      </c>
      <c r="BF3" s="187" t="s">
        <v>120</v>
      </c>
      <c r="BG3" s="187" t="s">
        <v>121</v>
      </c>
      <c r="BH3" s="187" t="s">
        <v>122</v>
      </c>
      <c r="BI3" s="187" t="s">
        <v>123</v>
      </c>
      <c r="BJ3" s="187" t="s">
        <v>124</v>
      </c>
      <c r="BK3" s="187" t="s">
        <v>125</v>
      </c>
      <c r="BL3" s="187" t="s">
        <v>126</v>
      </c>
      <c r="BM3" s="187" t="s">
        <v>127</v>
      </c>
      <c r="BN3" s="187" t="s">
        <v>128</v>
      </c>
      <c r="BO3" s="187" t="s">
        <v>129</v>
      </c>
      <c r="BP3" s="187" t="s">
        <v>130</v>
      </c>
      <c r="BQ3" s="187" t="s">
        <v>131</v>
      </c>
      <c r="BR3" s="187" t="s">
        <v>132</v>
      </c>
      <c r="BS3" s="187" t="s">
        <v>133</v>
      </c>
      <c r="BT3" s="188" t="s">
        <v>134</v>
      </c>
      <c r="BU3" s="213" t="s">
        <v>149</v>
      </c>
      <c r="BV3" s="213" t="s">
        <v>2</v>
      </c>
      <c r="BW3" s="213" t="s">
        <v>151</v>
      </c>
      <c r="BX3" s="187" t="s">
        <v>152</v>
      </c>
      <c r="BY3" s="187" t="s">
        <v>154</v>
      </c>
      <c r="BZ3" s="187" t="s">
        <v>155</v>
      </c>
    </row>
    <row r="4" spans="1:78" ht="12.75">
      <c r="A4" t="s">
        <v>158</v>
      </c>
      <c r="B4">
        <v>8</v>
      </c>
      <c r="C4">
        <v>8</v>
      </c>
      <c r="D4">
        <v>3</v>
      </c>
      <c r="E4">
        <v>4</v>
      </c>
      <c r="F4">
        <v>0</v>
      </c>
      <c r="G4">
        <v>0</v>
      </c>
      <c r="H4">
        <v>0</v>
      </c>
      <c r="I4">
        <v>0</v>
      </c>
      <c r="J4">
        <v>1</v>
      </c>
      <c r="K4">
        <v>3</v>
      </c>
      <c r="L4">
        <v>3</v>
      </c>
      <c r="M4">
        <v>4</v>
      </c>
      <c r="N4">
        <v>5</v>
      </c>
      <c r="O4">
        <v>6</v>
      </c>
      <c r="P4">
        <v>3</v>
      </c>
      <c r="Q4">
        <v>5</v>
      </c>
      <c r="R4">
        <v>0</v>
      </c>
      <c r="S4">
        <v>0</v>
      </c>
      <c r="T4">
        <v>0</v>
      </c>
      <c r="U4">
        <v>0</v>
      </c>
      <c r="V4">
        <v>3</v>
      </c>
      <c r="W4">
        <v>0</v>
      </c>
      <c r="X4">
        <v>0</v>
      </c>
      <c r="Y4">
        <v>0</v>
      </c>
      <c r="Z4">
        <v>1</v>
      </c>
      <c r="AA4">
        <v>2</v>
      </c>
      <c r="AB4">
        <v>3</v>
      </c>
      <c r="AC4">
        <v>4</v>
      </c>
      <c r="AD4">
        <v>1</v>
      </c>
      <c r="AE4">
        <v>4</v>
      </c>
      <c r="AF4">
        <v>1</v>
      </c>
      <c r="AG4">
        <v>2</v>
      </c>
      <c r="AH4">
        <v>1</v>
      </c>
      <c r="AI4">
        <v>0</v>
      </c>
      <c r="AJ4">
        <v>0</v>
      </c>
      <c r="AK4">
        <v>1</v>
      </c>
      <c r="AL4">
        <v>2</v>
      </c>
      <c r="AM4">
        <v>3</v>
      </c>
      <c r="AN4">
        <v>2</v>
      </c>
      <c r="AO4">
        <v>0</v>
      </c>
      <c r="AP4">
        <v>0</v>
      </c>
      <c r="AQ4">
        <v>1</v>
      </c>
      <c r="AR4">
        <v>0</v>
      </c>
      <c r="AS4">
        <v>3</v>
      </c>
      <c r="AT4">
        <v>1</v>
      </c>
      <c r="AU4">
        <v>2</v>
      </c>
      <c r="AV4">
        <v>0</v>
      </c>
      <c r="AW4">
        <v>8</v>
      </c>
      <c r="AX4">
        <v>1</v>
      </c>
      <c r="AY4">
        <v>8</v>
      </c>
      <c r="AZ4">
        <v>0</v>
      </c>
      <c r="BA4">
        <v>2</v>
      </c>
      <c r="BB4">
        <v>6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1</v>
      </c>
      <c r="BJ4">
        <v>2</v>
      </c>
      <c r="BK4">
        <v>3</v>
      </c>
      <c r="BL4">
        <v>4</v>
      </c>
      <c r="BM4">
        <v>5</v>
      </c>
      <c r="BN4">
        <v>6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1</v>
      </c>
      <c r="BV4">
        <v>141523.91424999997</v>
      </c>
      <c r="BW4">
        <v>3.0940000000000003</v>
      </c>
      <c r="BX4">
        <v>951.125</v>
      </c>
      <c r="BY4">
        <f aca="true" t="shared" si="0" ref="BY4:BY26">BV4/1000</f>
        <v>141.52391424999996</v>
      </c>
      <c r="BZ4">
        <f aca="true" t="shared" si="1" ref="BZ4:BZ26">BW4*1000</f>
        <v>3094.0000000000005</v>
      </c>
    </row>
    <row r="5" spans="1:78" ht="12.75">
      <c r="A5" t="s">
        <v>159</v>
      </c>
      <c r="B5">
        <v>4</v>
      </c>
      <c r="C5">
        <v>4</v>
      </c>
      <c r="D5">
        <v>2</v>
      </c>
      <c r="E5">
        <v>4</v>
      </c>
      <c r="F5">
        <v>0</v>
      </c>
      <c r="G5">
        <v>0</v>
      </c>
      <c r="H5">
        <v>0</v>
      </c>
      <c r="I5">
        <v>0</v>
      </c>
      <c r="J5">
        <v>1</v>
      </c>
      <c r="K5">
        <v>3</v>
      </c>
      <c r="L5">
        <v>3</v>
      </c>
      <c r="M5">
        <v>4</v>
      </c>
      <c r="N5">
        <v>5</v>
      </c>
      <c r="O5">
        <v>6</v>
      </c>
      <c r="P5">
        <v>3</v>
      </c>
      <c r="Q5">
        <v>5</v>
      </c>
      <c r="R5">
        <v>0</v>
      </c>
      <c r="S5">
        <v>0</v>
      </c>
      <c r="T5">
        <v>0</v>
      </c>
      <c r="U5">
        <v>0</v>
      </c>
      <c r="V5">
        <v>1</v>
      </c>
      <c r="W5">
        <v>1</v>
      </c>
      <c r="X5">
        <v>1</v>
      </c>
      <c r="Y5">
        <v>0</v>
      </c>
      <c r="Z5">
        <v>1</v>
      </c>
      <c r="AA5">
        <v>3</v>
      </c>
      <c r="AB5">
        <v>2</v>
      </c>
      <c r="AC5">
        <v>4</v>
      </c>
      <c r="AD5">
        <v>1</v>
      </c>
      <c r="AE5">
        <v>4</v>
      </c>
      <c r="AF5">
        <v>1</v>
      </c>
      <c r="AG5">
        <v>2</v>
      </c>
      <c r="AH5">
        <v>1</v>
      </c>
      <c r="AI5">
        <v>0</v>
      </c>
      <c r="AJ5">
        <v>0</v>
      </c>
      <c r="AK5">
        <v>1</v>
      </c>
      <c r="AL5">
        <v>2</v>
      </c>
      <c r="AM5">
        <v>3</v>
      </c>
      <c r="AN5">
        <v>2</v>
      </c>
      <c r="AO5">
        <v>0</v>
      </c>
      <c r="AP5">
        <v>0</v>
      </c>
      <c r="AQ5">
        <v>1</v>
      </c>
      <c r="AR5">
        <v>0</v>
      </c>
      <c r="AS5">
        <v>3</v>
      </c>
      <c r="AT5">
        <v>1</v>
      </c>
      <c r="AU5">
        <v>2</v>
      </c>
      <c r="AV5">
        <v>0</v>
      </c>
      <c r="AW5">
        <v>4</v>
      </c>
      <c r="AX5">
        <v>1</v>
      </c>
      <c r="AY5">
        <v>4</v>
      </c>
      <c r="AZ5">
        <v>0</v>
      </c>
      <c r="BA5">
        <v>2</v>
      </c>
      <c r="BB5">
        <v>6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1</v>
      </c>
      <c r="BJ5">
        <v>2</v>
      </c>
      <c r="BK5">
        <v>3</v>
      </c>
      <c r="BL5">
        <v>4</v>
      </c>
      <c r="BM5">
        <v>5</v>
      </c>
      <c r="BN5">
        <v>6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2</v>
      </c>
      <c r="BV5">
        <v>130173.34625</v>
      </c>
      <c r="BW5">
        <v>2.935</v>
      </c>
      <c r="BX5">
        <v>878.125</v>
      </c>
      <c r="BY5">
        <f t="shared" si="0"/>
        <v>130.17334625</v>
      </c>
      <c r="BZ5">
        <f t="shared" si="1"/>
        <v>2935</v>
      </c>
    </row>
    <row r="6" spans="1:78" ht="12.75">
      <c r="A6" t="s">
        <v>160</v>
      </c>
      <c r="B6">
        <v>0</v>
      </c>
      <c r="C6">
        <v>4</v>
      </c>
      <c r="D6">
        <v>1</v>
      </c>
      <c r="E6">
        <v>4</v>
      </c>
      <c r="F6">
        <v>0</v>
      </c>
      <c r="G6">
        <v>0</v>
      </c>
      <c r="H6">
        <v>0</v>
      </c>
      <c r="I6">
        <v>0</v>
      </c>
      <c r="J6">
        <v>1</v>
      </c>
      <c r="K6">
        <v>3</v>
      </c>
      <c r="L6">
        <v>3</v>
      </c>
      <c r="M6">
        <v>4</v>
      </c>
      <c r="N6">
        <v>5</v>
      </c>
      <c r="O6">
        <v>6</v>
      </c>
      <c r="P6">
        <v>1</v>
      </c>
      <c r="Q6">
        <v>5</v>
      </c>
      <c r="R6">
        <v>0</v>
      </c>
      <c r="S6">
        <v>0</v>
      </c>
      <c r="T6">
        <v>0</v>
      </c>
      <c r="U6">
        <v>0</v>
      </c>
      <c r="V6">
        <v>1</v>
      </c>
      <c r="W6">
        <v>1</v>
      </c>
      <c r="X6">
        <v>1</v>
      </c>
      <c r="Y6">
        <v>0</v>
      </c>
      <c r="Z6">
        <v>1</v>
      </c>
      <c r="AA6">
        <v>3</v>
      </c>
      <c r="AB6">
        <v>2</v>
      </c>
      <c r="AC6">
        <v>4</v>
      </c>
      <c r="AD6">
        <v>1</v>
      </c>
      <c r="AE6">
        <v>4</v>
      </c>
      <c r="AF6">
        <v>1</v>
      </c>
      <c r="AG6">
        <v>2</v>
      </c>
      <c r="AH6">
        <v>1</v>
      </c>
      <c r="AI6">
        <v>0</v>
      </c>
      <c r="AJ6">
        <v>0</v>
      </c>
      <c r="AK6">
        <v>1</v>
      </c>
      <c r="AL6">
        <v>2</v>
      </c>
      <c r="AM6">
        <v>3</v>
      </c>
      <c r="AN6">
        <v>2</v>
      </c>
      <c r="AO6">
        <v>0</v>
      </c>
      <c r="AP6">
        <v>0</v>
      </c>
      <c r="AQ6">
        <v>1</v>
      </c>
      <c r="AR6">
        <v>0</v>
      </c>
      <c r="AS6">
        <v>3</v>
      </c>
      <c r="AT6">
        <v>1</v>
      </c>
      <c r="AU6">
        <v>2</v>
      </c>
      <c r="AV6">
        <v>0</v>
      </c>
      <c r="AW6">
        <v>0</v>
      </c>
      <c r="AX6">
        <v>1</v>
      </c>
      <c r="AY6">
        <v>0</v>
      </c>
      <c r="AZ6">
        <v>0</v>
      </c>
      <c r="BA6">
        <v>2</v>
      </c>
      <c r="BB6">
        <v>6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1</v>
      </c>
      <c r="BJ6">
        <v>2</v>
      </c>
      <c r="BK6">
        <v>3</v>
      </c>
      <c r="BL6">
        <v>4</v>
      </c>
      <c r="BM6">
        <v>5</v>
      </c>
      <c r="BN6">
        <v>6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3</v>
      </c>
      <c r="BV6">
        <v>126925.84824999998</v>
      </c>
      <c r="BW6">
        <v>2.87</v>
      </c>
      <c r="BX6">
        <v>865.125</v>
      </c>
      <c r="BY6">
        <f t="shared" si="0"/>
        <v>126.92584824999999</v>
      </c>
      <c r="BZ6">
        <f t="shared" si="1"/>
        <v>2870</v>
      </c>
    </row>
    <row r="7" spans="77:78" ht="12.75">
      <c r="BY7">
        <f t="shared" si="0"/>
        <v>0</v>
      </c>
      <c r="BZ7">
        <f t="shared" si="1"/>
        <v>0</v>
      </c>
    </row>
    <row r="8" spans="77:78" ht="12.75">
      <c r="BY8">
        <f t="shared" si="0"/>
        <v>0</v>
      </c>
      <c r="BZ8">
        <f t="shared" si="1"/>
        <v>0</v>
      </c>
    </row>
    <row r="9" spans="77:78" ht="12.75">
      <c r="BY9">
        <f t="shared" si="0"/>
        <v>0</v>
      </c>
      <c r="BZ9">
        <f t="shared" si="1"/>
        <v>0</v>
      </c>
    </row>
    <row r="10" spans="77:78" ht="12.75">
      <c r="BY10">
        <f t="shared" si="0"/>
        <v>0</v>
      </c>
      <c r="BZ10">
        <f t="shared" si="1"/>
        <v>0</v>
      </c>
    </row>
    <row r="11" spans="77:78" ht="12.75">
      <c r="BY11">
        <f t="shared" si="0"/>
        <v>0</v>
      </c>
      <c r="BZ11">
        <f t="shared" si="1"/>
        <v>0</v>
      </c>
    </row>
    <row r="12" spans="77:78" ht="12.75">
      <c r="BY12">
        <f t="shared" si="0"/>
        <v>0</v>
      </c>
      <c r="BZ12">
        <f t="shared" si="1"/>
        <v>0</v>
      </c>
    </row>
    <row r="13" spans="77:78" ht="12.75">
      <c r="BY13">
        <f t="shared" si="0"/>
        <v>0</v>
      </c>
      <c r="BZ13">
        <f t="shared" si="1"/>
        <v>0</v>
      </c>
    </row>
    <row r="14" spans="77:78" ht="12.75">
      <c r="BY14">
        <f t="shared" si="0"/>
        <v>0</v>
      </c>
      <c r="BZ14">
        <f t="shared" si="1"/>
        <v>0</v>
      </c>
    </row>
    <row r="15" spans="77:78" ht="12.75">
      <c r="BY15">
        <f t="shared" si="0"/>
        <v>0</v>
      </c>
      <c r="BZ15">
        <f t="shared" si="1"/>
        <v>0</v>
      </c>
    </row>
    <row r="16" spans="77:78" ht="12.75">
      <c r="BY16">
        <f t="shared" si="0"/>
        <v>0</v>
      </c>
      <c r="BZ16">
        <f t="shared" si="1"/>
        <v>0</v>
      </c>
    </row>
    <row r="17" spans="77:78" ht="12.75">
      <c r="BY17">
        <f t="shared" si="0"/>
        <v>0</v>
      </c>
      <c r="BZ17">
        <f t="shared" si="1"/>
        <v>0</v>
      </c>
    </row>
    <row r="18" spans="77:78" ht="12.75">
      <c r="BY18">
        <f t="shared" si="0"/>
        <v>0</v>
      </c>
      <c r="BZ18">
        <f t="shared" si="1"/>
        <v>0</v>
      </c>
    </row>
    <row r="19" spans="77:78" ht="12.75">
      <c r="BY19">
        <f t="shared" si="0"/>
        <v>0</v>
      </c>
      <c r="BZ19">
        <f t="shared" si="1"/>
        <v>0</v>
      </c>
    </row>
    <row r="20" spans="77:78" ht="12.75">
      <c r="BY20">
        <f t="shared" si="0"/>
        <v>0</v>
      </c>
      <c r="BZ20">
        <f t="shared" si="1"/>
        <v>0</v>
      </c>
    </row>
    <row r="21" spans="77:78" ht="12.75">
      <c r="BY21">
        <f t="shared" si="0"/>
        <v>0</v>
      </c>
      <c r="BZ21">
        <f t="shared" si="1"/>
        <v>0</v>
      </c>
    </row>
    <row r="22" spans="77:78" ht="12.75">
      <c r="BY22">
        <f t="shared" si="0"/>
        <v>0</v>
      </c>
      <c r="BZ22">
        <f t="shared" si="1"/>
        <v>0</v>
      </c>
    </row>
    <row r="23" spans="77:78" ht="12.75">
      <c r="BY23">
        <f t="shared" si="0"/>
        <v>0</v>
      </c>
      <c r="BZ23">
        <f t="shared" si="1"/>
        <v>0</v>
      </c>
    </row>
    <row r="24" spans="77:78" ht="12.75">
      <c r="BY24">
        <f t="shared" si="0"/>
        <v>0</v>
      </c>
      <c r="BZ24">
        <f t="shared" si="1"/>
        <v>0</v>
      </c>
    </row>
    <row r="25" spans="77:78" ht="12.75">
      <c r="BY25">
        <f t="shared" si="0"/>
        <v>0</v>
      </c>
      <c r="BZ25">
        <f t="shared" si="1"/>
        <v>0</v>
      </c>
    </row>
    <row r="26" spans="77:78" ht="12.75">
      <c r="BY26">
        <f t="shared" si="0"/>
        <v>0</v>
      </c>
      <c r="BZ26">
        <f t="shared" si="1"/>
        <v>0</v>
      </c>
    </row>
    <row r="27" spans="77:78" ht="12.75">
      <c r="BY27">
        <f aca="true" t="shared" si="2" ref="BY27:BY71">BV27/1000</f>
        <v>0</v>
      </c>
      <c r="BZ27">
        <f aca="true" t="shared" si="3" ref="BZ27:BZ71">BW27*1000</f>
        <v>0</v>
      </c>
    </row>
    <row r="28" spans="77:78" ht="12.75">
      <c r="BY28">
        <f t="shared" si="2"/>
        <v>0</v>
      </c>
      <c r="BZ28">
        <f t="shared" si="3"/>
        <v>0</v>
      </c>
    </row>
    <row r="29" spans="77:78" ht="12.75">
      <c r="BY29">
        <f t="shared" si="2"/>
        <v>0</v>
      </c>
      <c r="BZ29">
        <f t="shared" si="3"/>
        <v>0</v>
      </c>
    </row>
    <row r="30" spans="77:78" ht="12.75">
      <c r="BY30">
        <f t="shared" si="2"/>
        <v>0</v>
      </c>
      <c r="BZ30">
        <f t="shared" si="3"/>
        <v>0</v>
      </c>
    </row>
    <row r="31" spans="77:78" ht="12.75">
      <c r="BY31">
        <f t="shared" si="2"/>
        <v>0</v>
      </c>
      <c r="BZ31">
        <f t="shared" si="3"/>
        <v>0</v>
      </c>
    </row>
    <row r="32" spans="77:78" ht="12.75">
      <c r="BY32">
        <f t="shared" si="2"/>
        <v>0</v>
      </c>
      <c r="BZ32">
        <f t="shared" si="3"/>
        <v>0</v>
      </c>
    </row>
    <row r="33" spans="77:78" ht="12.75">
      <c r="BY33">
        <f t="shared" si="2"/>
        <v>0</v>
      </c>
      <c r="BZ33">
        <f t="shared" si="3"/>
        <v>0</v>
      </c>
    </row>
    <row r="34" spans="77:78" ht="12.75">
      <c r="BY34">
        <f t="shared" si="2"/>
        <v>0</v>
      </c>
      <c r="BZ34">
        <f t="shared" si="3"/>
        <v>0</v>
      </c>
    </row>
    <row r="35" spans="77:78" ht="12.75">
      <c r="BY35">
        <f t="shared" si="2"/>
        <v>0</v>
      </c>
      <c r="BZ35">
        <f t="shared" si="3"/>
        <v>0</v>
      </c>
    </row>
    <row r="36" spans="77:78" ht="12.75">
      <c r="BY36">
        <f t="shared" si="2"/>
        <v>0</v>
      </c>
      <c r="BZ36">
        <f t="shared" si="3"/>
        <v>0</v>
      </c>
    </row>
    <row r="37" spans="77:78" ht="12.75">
      <c r="BY37">
        <f t="shared" si="2"/>
        <v>0</v>
      </c>
      <c r="BZ37">
        <f t="shared" si="3"/>
        <v>0</v>
      </c>
    </row>
    <row r="38" spans="77:78" ht="12.75">
      <c r="BY38">
        <f t="shared" si="2"/>
        <v>0</v>
      </c>
      <c r="BZ38">
        <f t="shared" si="3"/>
        <v>0</v>
      </c>
    </row>
    <row r="39" spans="77:78" ht="12.75">
      <c r="BY39">
        <f t="shared" si="2"/>
        <v>0</v>
      </c>
      <c r="BZ39">
        <f t="shared" si="3"/>
        <v>0</v>
      </c>
    </row>
    <row r="40" spans="77:78" ht="12.75">
      <c r="BY40">
        <f t="shared" si="2"/>
        <v>0</v>
      </c>
      <c r="BZ40">
        <f t="shared" si="3"/>
        <v>0</v>
      </c>
    </row>
    <row r="41" spans="77:78" ht="12.75">
      <c r="BY41">
        <f t="shared" si="2"/>
        <v>0</v>
      </c>
      <c r="BZ41">
        <f t="shared" si="3"/>
        <v>0</v>
      </c>
    </row>
    <row r="42" spans="77:78" ht="12.75">
      <c r="BY42">
        <f t="shared" si="2"/>
        <v>0</v>
      </c>
      <c r="BZ42">
        <f t="shared" si="3"/>
        <v>0</v>
      </c>
    </row>
    <row r="43" spans="77:78" ht="12.75">
      <c r="BY43">
        <f t="shared" si="2"/>
        <v>0</v>
      </c>
      <c r="BZ43">
        <f t="shared" si="3"/>
        <v>0</v>
      </c>
    </row>
    <row r="44" spans="77:78" ht="12.75">
      <c r="BY44">
        <f t="shared" si="2"/>
        <v>0</v>
      </c>
      <c r="BZ44">
        <f t="shared" si="3"/>
        <v>0</v>
      </c>
    </row>
    <row r="45" spans="77:78" ht="12.75">
      <c r="BY45">
        <f t="shared" si="2"/>
        <v>0</v>
      </c>
      <c r="BZ45">
        <f t="shared" si="3"/>
        <v>0</v>
      </c>
    </row>
    <row r="46" spans="77:78" ht="12.75">
      <c r="BY46">
        <f t="shared" si="2"/>
        <v>0</v>
      </c>
      <c r="BZ46">
        <f t="shared" si="3"/>
        <v>0</v>
      </c>
    </row>
    <row r="47" spans="77:78" ht="12.75">
      <c r="BY47">
        <f t="shared" si="2"/>
        <v>0</v>
      </c>
      <c r="BZ47">
        <f t="shared" si="3"/>
        <v>0</v>
      </c>
    </row>
    <row r="48" spans="77:78" ht="12.75">
      <c r="BY48">
        <f t="shared" si="2"/>
        <v>0</v>
      </c>
      <c r="BZ48">
        <f t="shared" si="3"/>
        <v>0</v>
      </c>
    </row>
    <row r="49" spans="77:78" ht="12.75">
      <c r="BY49">
        <f t="shared" si="2"/>
        <v>0</v>
      </c>
      <c r="BZ49">
        <f t="shared" si="3"/>
        <v>0</v>
      </c>
    </row>
    <row r="50" spans="77:78" ht="12.75">
      <c r="BY50">
        <f t="shared" si="2"/>
        <v>0</v>
      </c>
      <c r="BZ50">
        <f t="shared" si="3"/>
        <v>0</v>
      </c>
    </row>
    <row r="51" spans="77:78" ht="12.75">
      <c r="BY51">
        <f t="shared" si="2"/>
        <v>0</v>
      </c>
      <c r="BZ51">
        <f t="shared" si="3"/>
        <v>0</v>
      </c>
    </row>
    <row r="52" spans="77:78" ht="12.75">
      <c r="BY52">
        <f t="shared" si="2"/>
        <v>0</v>
      </c>
      <c r="BZ52">
        <f t="shared" si="3"/>
        <v>0</v>
      </c>
    </row>
    <row r="53" spans="77:78" ht="12.75">
      <c r="BY53">
        <f t="shared" si="2"/>
        <v>0</v>
      </c>
      <c r="BZ53">
        <f t="shared" si="3"/>
        <v>0</v>
      </c>
    </row>
    <row r="54" spans="77:78" ht="12.75">
      <c r="BY54">
        <f t="shared" si="2"/>
        <v>0</v>
      </c>
      <c r="BZ54">
        <f t="shared" si="3"/>
        <v>0</v>
      </c>
    </row>
    <row r="55" spans="77:78" ht="12.75">
      <c r="BY55">
        <f t="shared" si="2"/>
        <v>0</v>
      </c>
      <c r="BZ55">
        <f t="shared" si="3"/>
        <v>0</v>
      </c>
    </row>
    <row r="56" spans="77:78" ht="12.75">
      <c r="BY56">
        <f t="shared" si="2"/>
        <v>0</v>
      </c>
      <c r="BZ56">
        <f t="shared" si="3"/>
        <v>0</v>
      </c>
    </row>
    <row r="57" spans="77:78" ht="12.75">
      <c r="BY57">
        <f t="shared" si="2"/>
        <v>0</v>
      </c>
      <c r="BZ57">
        <f t="shared" si="3"/>
        <v>0</v>
      </c>
    </row>
    <row r="58" spans="77:78" ht="12.75">
      <c r="BY58">
        <f t="shared" si="2"/>
        <v>0</v>
      </c>
      <c r="BZ58">
        <f t="shared" si="3"/>
        <v>0</v>
      </c>
    </row>
    <row r="59" spans="77:78" ht="12.75">
      <c r="BY59">
        <f t="shared" si="2"/>
        <v>0</v>
      </c>
      <c r="BZ59">
        <f t="shared" si="3"/>
        <v>0</v>
      </c>
    </row>
    <row r="60" spans="77:78" ht="12.75">
      <c r="BY60">
        <f t="shared" si="2"/>
        <v>0</v>
      </c>
      <c r="BZ60">
        <f t="shared" si="3"/>
        <v>0</v>
      </c>
    </row>
    <row r="61" spans="77:78" ht="12.75">
      <c r="BY61">
        <f t="shared" si="2"/>
        <v>0</v>
      </c>
      <c r="BZ61">
        <f t="shared" si="3"/>
        <v>0</v>
      </c>
    </row>
    <row r="62" spans="77:78" ht="12.75">
      <c r="BY62">
        <f t="shared" si="2"/>
        <v>0</v>
      </c>
      <c r="BZ62">
        <f t="shared" si="3"/>
        <v>0</v>
      </c>
    </row>
    <row r="63" spans="77:78" ht="12.75">
      <c r="BY63">
        <f t="shared" si="2"/>
        <v>0</v>
      </c>
      <c r="BZ63">
        <f t="shared" si="3"/>
        <v>0</v>
      </c>
    </row>
    <row r="64" spans="77:78" ht="12.75">
      <c r="BY64">
        <f t="shared" si="2"/>
        <v>0</v>
      </c>
      <c r="BZ64">
        <f t="shared" si="3"/>
        <v>0</v>
      </c>
    </row>
    <row r="65" spans="77:78" ht="12.75">
      <c r="BY65">
        <f t="shared" si="2"/>
        <v>0</v>
      </c>
      <c r="BZ65">
        <f t="shared" si="3"/>
        <v>0</v>
      </c>
    </row>
    <row r="66" spans="77:78" ht="12.75">
      <c r="BY66">
        <f t="shared" si="2"/>
        <v>0</v>
      </c>
      <c r="BZ66">
        <f t="shared" si="3"/>
        <v>0</v>
      </c>
    </row>
    <row r="67" spans="77:78" ht="12.75">
      <c r="BY67">
        <f t="shared" si="2"/>
        <v>0</v>
      </c>
      <c r="BZ67">
        <f t="shared" si="3"/>
        <v>0</v>
      </c>
    </row>
    <row r="68" spans="77:78" ht="12.75">
      <c r="BY68">
        <f t="shared" si="2"/>
        <v>0</v>
      </c>
      <c r="BZ68">
        <f t="shared" si="3"/>
        <v>0</v>
      </c>
    </row>
    <row r="69" spans="77:78" ht="12.75">
      <c r="BY69">
        <f t="shared" si="2"/>
        <v>0</v>
      </c>
      <c r="BZ69">
        <f t="shared" si="3"/>
        <v>0</v>
      </c>
    </row>
    <row r="70" spans="77:78" ht="12.75">
      <c r="BY70">
        <f t="shared" si="2"/>
        <v>0</v>
      </c>
      <c r="BZ70">
        <f t="shared" si="3"/>
        <v>0</v>
      </c>
    </row>
    <row r="71" spans="77:78" ht="12.75">
      <c r="BY71">
        <f t="shared" si="2"/>
        <v>0</v>
      </c>
      <c r="BZ71">
        <f t="shared" si="3"/>
        <v>0</v>
      </c>
    </row>
  </sheetData>
  <mergeCells count="9">
    <mergeCell ref="D2:U2"/>
    <mergeCell ref="V2:AC2"/>
    <mergeCell ref="AD2:AE2"/>
    <mergeCell ref="AF2:AG2"/>
    <mergeCell ref="AY2:BB2"/>
    <mergeCell ref="BC2:BT2"/>
    <mergeCell ref="AH2:AP2"/>
    <mergeCell ref="AQ2:AV2"/>
    <mergeCell ref="AW2:AX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Ghostwheel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 Van Ness</dc:creator>
  <cp:keywords/>
  <dc:description/>
  <cp:lastModifiedBy>JBALDIGA</cp:lastModifiedBy>
  <cp:lastPrinted>2008-04-22T15:16:01Z</cp:lastPrinted>
  <dcterms:created xsi:type="dcterms:W3CDTF">2008-03-27T08:40:08Z</dcterms:created>
  <dcterms:modified xsi:type="dcterms:W3CDTF">2008-05-02T06:58:21Z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